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9F1F59BA-0137-4FCC-B74D-762A8F7B4F7E}"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AU Infection Rate by Age" sheetId="3" r:id="rId5"/>
    <sheet name="US Death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24" i="6" l="1"/>
  <c r="R23" i="6"/>
  <c r="D8" i="6" l="1"/>
  <c r="C8" i="6"/>
  <c r="D18" i="6"/>
  <c r="C18" i="6"/>
  <c r="R5" i="6" l="1"/>
  <c r="C17" i="6"/>
  <c r="D19" i="6"/>
  <c r="D17" i="6" l="1"/>
  <c r="BB283" i="1" l="1"/>
  <c r="D26" i="6"/>
  <c r="C26" i="6"/>
  <c r="AK311" i="1"/>
  <c r="D38" i="6" l="1"/>
  <c r="D37" i="6"/>
  <c r="D41" i="6"/>
  <c r="D42" i="6"/>
  <c r="D45" i="6"/>
  <c r="D39" i="6"/>
  <c r="D40" i="6"/>
  <c r="D43" i="6"/>
  <c r="D44" i="6"/>
  <c r="D46" i="6"/>
  <c r="D47" i="6"/>
  <c r="P4" i="6"/>
  <c r="Q4" i="6" s="1"/>
  <c r="S4" i="6" s="1"/>
  <c r="T4" i="6" s="1"/>
  <c r="C23" i="6"/>
  <c r="C24" i="6"/>
  <c r="C25" i="6"/>
  <c r="C27" i="6"/>
  <c r="C28" i="6"/>
  <c r="C29" i="6"/>
  <c r="C30" i="6"/>
  <c r="C31" i="6"/>
  <c r="C32" i="6"/>
  <c r="C33" i="6"/>
  <c r="D24" i="6"/>
  <c r="D25" i="6"/>
  <c r="D27" i="6"/>
  <c r="D28" i="6"/>
  <c r="D29" i="6"/>
  <c r="D30" i="6"/>
  <c r="D31" i="6"/>
  <c r="D32" i="6"/>
  <c r="D33" i="6"/>
  <c r="D23" i="6"/>
  <c r="AK216" i="1" l="1"/>
  <c r="AH149" i="1"/>
  <c r="B271" i="1" l="1"/>
  <c r="P288" i="1" l="1"/>
  <c r="AJ311" i="1" l="1"/>
  <c r="AI311" i="1" l="1"/>
  <c r="AM308" i="1" l="1"/>
  <c r="AR308" i="1" l="1"/>
  <c r="AG311" i="1"/>
  <c r="AH311" i="1"/>
  <c r="AW308" i="1" l="1"/>
  <c r="AF311" i="1"/>
  <c r="AE311" i="1" l="1"/>
  <c r="V76" i="1" l="1"/>
  <c r="BF284" i="1" l="1"/>
  <c r="Q311" i="1"/>
  <c r="R311" i="1"/>
  <c r="S311" i="1"/>
  <c r="T311" i="1"/>
  <c r="U311" i="1"/>
  <c r="V311" i="1"/>
  <c r="W311" i="1"/>
  <c r="X311" i="1"/>
  <c r="Y311" i="1"/>
  <c r="Z311" i="1"/>
  <c r="AA311" i="1"/>
  <c r="AB311" i="1"/>
  <c r="AC311" i="1"/>
  <c r="AD311" i="1"/>
  <c r="P311" i="1"/>
  <c r="E34" i="4" l="1"/>
  <c r="C45" i="4"/>
  <c r="BH288" i="1" l="1"/>
  <c r="BH285" i="1"/>
  <c r="BH284" i="1" s="1"/>
  <c r="BH292" i="1" s="1"/>
  <c r="BE288" i="1"/>
  <c r="BF288" i="1"/>
  <c r="BD288" i="1"/>
  <c r="BH290" i="1" l="1"/>
  <c r="BH289" i="1"/>
  <c r="C5" i="5"/>
  <c r="C4" i="5"/>
  <c r="B332" i="1"/>
  <c r="B328" i="1"/>
  <c r="B330" i="1"/>
  <c r="B326" i="1"/>
  <c r="B324" i="1"/>
  <c r="B322" i="1"/>
  <c r="B320" i="1"/>
  <c r="B318" i="1"/>
  <c r="B316" i="1"/>
  <c r="C41" i="2"/>
  <c r="D41" i="2" s="1"/>
  <c r="C37" i="2"/>
  <c r="D37" i="2" s="1"/>
  <c r="C33" i="2"/>
  <c r="D33" i="2" s="1"/>
  <c r="C29" i="2"/>
  <c r="D29" i="2" s="1"/>
  <c r="C25" i="2"/>
  <c r="D25" i="2" s="1"/>
  <c r="C21" i="2"/>
  <c r="D21" i="2" s="1"/>
  <c r="C17" i="2"/>
  <c r="D17" i="2" s="1"/>
  <c r="C13" i="2"/>
  <c r="D13" i="2" s="1"/>
  <c r="D9" i="2"/>
  <c r="C9" i="2"/>
  <c r="B43" i="2"/>
  <c r="B44" i="2"/>
  <c r="B41" i="2"/>
  <c r="B39" i="2"/>
  <c r="B37" i="2"/>
  <c r="B35" i="2"/>
  <c r="B33" i="2"/>
  <c r="B31" i="2"/>
  <c r="B29" i="2"/>
  <c r="B27" i="2"/>
  <c r="B25" i="2"/>
  <c r="B23" i="2"/>
  <c r="B21" i="2"/>
  <c r="B19" i="2"/>
  <c r="B17" i="2"/>
  <c r="B15" i="2"/>
  <c r="B13" i="2"/>
  <c r="B11" i="2"/>
  <c r="B9" i="2"/>
  <c r="B7" i="2"/>
  <c r="Q283" i="1"/>
  <c r="P307" i="1"/>
  <c r="R283" i="1" l="1"/>
  <c r="Q309" i="1"/>
  <c r="S283" i="1" l="1"/>
  <c r="Q307" i="1"/>
  <c r="P309" i="1"/>
  <c r="P306" i="1"/>
  <c r="T283" i="1" l="1"/>
  <c r="R307" i="1"/>
  <c r="P294" i="1"/>
  <c r="P295" i="1" s="1"/>
  <c r="P296" i="1"/>
  <c r="P297" i="1" s="1"/>
  <c r="U283" i="1" l="1"/>
  <c r="S307" i="1"/>
  <c r="P292" i="1"/>
  <c r="P293" i="1" s="1"/>
  <c r="P290" i="1"/>
  <c r="P291" i="1" s="1"/>
  <c r="C12" i="5"/>
  <c r="C7" i="5"/>
  <c r="C8" i="5" s="1"/>
  <c r="C9" i="5" s="1"/>
  <c r="C21" i="5"/>
  <c r="C18" i="5"/>
  <c r="C15" i="5"/>
  <c r="C24" i="5"/>
  <c r="C3" i="5"/>
  <c r="V283" i="1" l="1"/>
  <c r="C30" i="5"/>
  <c r="P289" i="1"/>
  <c r="T307" i="1"/>
  <c r="P286" i="1"/>
  <c r="P287" i="1" s="1"/>
  <c r="C34" i="5"/>
  <c r="W283" i="1" l="1"/>
  <c r="U307" i="1"/>
  <c r="C13" i="5"/>
  <c r="C14" i="5" s="1"/>
  <c r="BG284" i="1"/>
  <c r="P302" i="1"/>
  <c r="P300" i="1"/>
  <c r="P303" i="1"/>
  <c r="P301" i="1"/>
  <c r="BH308" i="1" l="1"/>
  <c r="BG308" i="1"/>
  <c r="X283" i="1"/>
  <c r="BG341" i="1"/>
  <c r="BG342" i="1" s="1"/>
  <c r="BG339" i="1"/>
  <c r="BG345" i="1"/>
  <c r="BG346" i="1" s="1"/>
  <c r="BG349" i="1"/>
  <c r="BG343" i="1"/>
  <c r="BG344" i="1" s="1"/>
  <c r="BG347" i="1"/>
  <c r="BG348" i="1" s="1"/>
  <c r="V307" i="1"/>
  <c r="BG285" i="1"/>
  <c r="BH298" i="1"/>
  <c r="BH296" i="1"/>
  <c r="BH294" i="1"/>
  <c r="BG292" i="1"/>
  <c r="BG288" i="1"/>
  <c r="BG290" i="1" s="1"/>
  <c r="C22" i="5"/>
  <c r="C23" i="5" s="1"/>
  <c r="C35" i="5"/>
  <c r="C40" i="5" s="1"/>
  <c r="C25" i="5"/>
  <c r="C19" i="5"/>
  <c r="C20" i="5" s="1"/>
  <c r="C16" i="5"/>
  <c r="C17" i="5" s="1"/>
  <c r="C31" i="5"/>
  <c r="AP25" i="4"/>
  <c r="E31" i="4"/>
  <c r="B17" i="4" s="1"/>
  <c r="K20" i="4" l="1"/>
  <c r="B18" i="4"/>
  <c r="B19" i="4" s="1"/>
  <c r="Y283" i="1"/>
  <c r="BG340" i="1"/>
  <c r="BG352" i="1" s="1"/>
  <c r="BG351"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Z283" i="1"/>
  <c r="E18" i="4"/>
  <c r="K21" i="4" s="1"/>
  <c r="N20" i="4"/>
  <c r="H17" i="4"/>
  <c r="P339" i="1"/>
  <c r="P340" i="1" s="1"/>
  <c r="AA283" i="1" l="1"/>
  <c r="E19" i="4"/>
  <c r="Q20" i="4"/>
  <c r="H18" i="4"/>
  <c r="N22" i="4" s="1"/>
  <c r="K17" i="4"/>
  <c r="Y24" i="4"/>
  <c r="B14" i="3"/>
  <c r="AB283" i="1" l="1"/>
  <c r="H19" i="4"/>
  <c r="T20" i="4"/>
  <c r="K18" i="4"/>
  <c r="K19" i="4" s="1"/>
  <c r="N21" i="4"/>
  <c r="AB24" i="4" s="1"/>
  <c r="N17" i="4"/>
  <c r="AC283" i="1" l="1"/>
  <c r="Q17" i="4"/>
  <c r="T17" i="4" s="1"/>
  <c r="W20" i="4"/>
  <c r="N18" i="4"/>
  <c r="N19" i="4" s="1"/>
  <c r="Q21" i="4"/>
  <c r="AE24" i="4" s="1"/>
  <c r="Q22" i="4"/>
  <c r="AD283" i="1" l="1"/>
  <c r="T18" i="4"/>
  <c r="T19" i="4" s="1"/>
  <c r="AC20" i="4"/>
  <c r="Z20" i="4"/>
  <c r="Q18" i="4"/>
  <c r="Q19" i="4" s="1"/>
  <c r="T21" i="4"/>
  <c r="AH24" i="4" s="1"/>
  <c r="T22" i="4"/>
  <c r="T23" i="4"/>
  <c r="W17" i="4"/>
  <c r="W21" i="4" l="1"/>
  <c r="AK24" i="4" s="1"/>
  <c r="W23" i="4"/>
  <c r="AH283" i="1"/>
  <c r="W18" i="4"/>
  <c r="W19" i="4" s="1"/>
  <c r="AF20" i="4"/>
  <c r="W22" i="4"/>
  <c r="Z21" i="4"/>
  <c r="AN24" i="4" s="1"/>
  <c r="Z23" i="4"/>
  <c r="Z22" i="4"/>
  <c r="Z17" i="4"/>
  <c r="C349" i="1"/>
  <c r="C347" i="1"/>
  <c r="C345" i="1"/>
  <c r="C343" i="1"/>
  <c r="C341" i="1"/>
  <c r="C339" i="1"/>
  <c r="P298" i="1"/>
  <c r="C5" i="3"/>
  <c r="D318" i="1" s="1"/>
  <c r="AH309" i="1" l="1"/>
  <c r="AG283" i="1"/>
  <c r="AE283" i="1"/>
  <c r="AF283" i="1"/>
  <c r="AL283" i="1"/>
  <c r="AJ283" i="1" s="1"/>
  <c r="Z18" i="4"/>
  <c r="Z19" i="4" s="1"/>
  <c r="AI20" i="4"/>
  <c r="BG318" i="1"/>
  <c r="BG319" i="1"/>
  <c r="AC21" i="4"/>
  <c r="AC22" i="4"/>
  <c r="AC23" i="4"/>
  <c r="AC17" i="4"/>
  <c r="BG298" i="1"/>
  <c r="C7" i="3"/>
  <c r="D322" i="1" s="1"/>
  <c r="C4" i="3"/>
  <c r="D316" i="1" s="1"/>
  <c r="C12" i="3"/>
  <c r="D332" i="1" s="1"/>
  <c r="C11" i="3"/>
  <c r="D330" i="1" s="1"/>
  <c r="C10" i="3"/>
  <c r="D328" i="1" s="1"/>
  <c r="C9" i="3"/>
  <c r="D326" i="1" s="1"/>
  <c r="C8" i="3"/>
  <c r="D324" i="1" s="1"/>
  <c r="C6" i="3"/>
  <c r="D320" i="1" s="1"/>
  <c r="C273" i="1"/>
  <c r="C10" i="5" s="1"/>
  <c r="C26" i="5" s="1"/>
  <c r="C27" i="5" s="1"/>
  <c r="C274" i="1"/>
  <c r="C11" i="5" s="1"/>
  <c r="C28" i="5" s="1"/>
  <c r="C29" i="5" s="1"/>
  <c r="P319" i="1"/>
  <c r="P349" i="1"/>
  <c r="P347" i="1"/>
  <c r="P345" i="1"/>
  <c r="P346" i="1" s="1"/>
  <c r="P343" i="1"/>
  <c r="P344" i="1" s="1"/>
  <c r="P341" i="1"/>
  <c r="P342" i="1" s="1"/>
  <c r="C318" i="1"/>
  <c r="C320" i="1"/>
  <c r="C322" i="1"/>
  <c r="C324" i="1"/>
  <c r="C326" i="1"/>
  <c r="C328" i="1"/>
  <c r="C330" i="1"/>
  <c r="C332" i="1"/>
  <c r="C316" i="1"/>
  <c r="P285" i="1"/>
  <c r="Q284" i="1"/>
  <c r="AK283" i="1" l="1"/>
  <c r="AI283" i="1"/>
  <c r="AE306" i="1"/>
  <c r="AE307" i="1"/>
  <c r="AG307" i="1"/>
  <c r="AG306" i="1"/>
  <c r="AF307" i="1"/>
  <c r="AF306" i="1"/>
  <c r="AE309" i="1"/>
  <c r="AG309" i="1"/>
  <c r="AF309" i="1"/>
  <c r="AQ283" i="1"/>
  <c r="BG316" i="1"/>
  <c r="BG317" i="1"/>
  <c r="AL20" i="4"/>
  <c r="AC18" i="4"/>
  <c r="AC19" i="4" s="1"/>
  <c r="BG328" i="1"/>
  <c r="BG329" i="1"/>
  <c r="BG321" i="1"/>
  <c r="BG320" i="1"/>
  <c r="BG324" i="1"/>
  <c r="BG325" i="1"/>
  <c r="BG331" i="1"/>
  <c r="BG330" i="1"/>
  <c r="BG323" i="1"/>
  <c r="BG322" i="1"/>
  <c r="BG327" i="1"/>
  <c r="BG326" i="1"/>
  <c r="P333" i="1"/>
  <c r="BG333" i="1"/>
  <c r="BG332" i="1"/>
  <c r="Q296" i="1"/>
  <c r="Q297" i="1" s="1"/>
  <c r="Q292" i="1"/>
  <c r="Q293" i="1" s="1"/>
  <c r="Q300" i="1"/>
  <c r="Q303" i="1"/>
  <c r="Q306" i="1"/>
  <c r="Q301" i="1"/>
  <c r="Q302" i="1"/>
  <c r="Q288" i="1"/>
  <c r="AF22" i="4"/>
  <c r="AF23" i="4"/>
  <c r="AF21" i="4"/>
  <c r="AF17" i="4"/>
  <c r="P317" i="1"/>
  <c r="P316" i="1"/>
  <c r="P325" i="1"/>
  <c r="P324" i="1"/>
  <c r="P328" i="1"/>
  <c r="P327" i="1"/>
  <c r="P330" i="1"/>
  <c r="P320" i="1"/>
  <c r="R284" i="1"/>
  <c r="Q343" i="1"/>
  <c r="Q344" i="1" s="1"/>
  <c r="P321" i="1"/>
  <c r="Q332" i="1"/>
  <c r="Q341" i="1"/>
  <c r="Q342" i="1" s="1"/>
  <c r="P329" i="1"/>
  <c r="Q330" i="1"/>
  <c r="Q349" i="1"/>
  <c r="P318" i="1"/>
  <c r="P326" i="1"/>
  <c r="Q347" i="1"/>
  <c r="Q348" i="1" s="1"/>
  <c r="Q345" i="1"/>
  <c r="Q346" i="1" s="1"/>
  <c r="Q328" i="1"/>
  <c r="Q321" i="1"/>
  <c r="Q325" i="1"/>
  <c r="Q329" i="1"/>
  <c r="Q333" i="1"/>
  <c r="P351" i="1"/>
  <c r="Q339" i="1"/>
  <c r="Q340" i="1" s="1"/>
  <c r="P322" i="1"/>
  <c r="Q318" i="1"/>
  <c r="P323" i="1"/>
  <c r="P331" i="1"/>
  <c r="Q322" i="1"/>
  <c r="Q319" i="1"/>
  <c r="Q326" i="1"/>
  <c r="P332" i="1"/>
  <c r="Q316" i="1"/>
  <c r="Q323" i="1"/>
  <c r="Q327" i="1"/>
  <c r="Q331" i="1"/>
  <c r="Q320" i="1"/>
  <c r="Q317" i="1"/>
  <c r="Q324" i="1"/>
  <c r="P348" i="1"/>
  <c r="P352" i="1" s="1"/>
  <c r="Q285" i="1"/>
  <c r="Q298" i="1"/>
  <c r="AK307" i="1" l="1"/>
  <c r="AK306" i="1"/>
  <c r="AJ306" i="1"/>
  <c r="AJ307" i="1"/>
  <c r="AI306" i="1"/>
  <c r="AI307" i="1"/>
  <c r="AM283" i="1"/>
  <c r="AO283" i="1"/>
  <c r="AN283" i="1"/>
  <c r="AP283" i="1"/>
  <c r="R292" i="1"/>
  <c r="R293" i="1" s="1"/>
  <c r="AV283" i="1"/>
  <c r="AS283" i="1" s="1"/>
  <c r="AO20" i="4"/>
  <c r="AF18" i="4"/>
  <c r="AF19" i="4" s="1"/>
  <c r="BG335" i="1"/>
  <c r="BG334" i="1"/>
  <c r="R341" i="1"/>
  <c r="R342" i="1" s="1"/>
  <c r="R322" i="1"/>
  <c r="R296" i="1"/>
  <c r="R297" i="1" s="1"/>
  <c r="R347" i="1"/>
  <c r="R348" i="1" s="1"/>
  <c r="R318" i="1"/>
  <c r="R317" i="1"/>
  <c r="R339" i="1"/>
  <c r="R340" i="1" s="1"/>
  <c r="R319" i="1"/>
  <c r="R285" i="1"/>
  <c r="Q289" i="1"/>
  <c r="Q290" i="1"/>
  <c r="Q291" i="1" s="1"/>
  <c r="R309" i="1"/>
  <c r="S284" i="1"/>
  <c r="R288" i="1"/>
  <c r="R298" i="1"/>
  <c r="R332" i="1"/>
  <c r="R331" i="1"/>
  <c r="R343" i="1"/>
  <c r="R344" i="1" s="1"/>
  <c r="R327" i="1"/>
  <c r="R326" i="1"/>
  <c r="R302" i="1"/>
  <c r="R300" i="1"/>
  <c r="R303" i="1"/>
  <c r="R306" i="1"/>
  <c r="R301" i="1"/>
  <c r="AI23" i="4"/>
  <c r="AI21" i="4"/>
  <c r="AI22" i="4"/>
  <c r="AI17" i="4"/>
  <c r="AI18" i="4" s="1"/>
  <c r="P335" i="1"/>
  <c r="Q335" i="1"/>
  <c r="R329" i="1"/>
  <c r="R328" i="1"/>
  <c r="R324" i="1"/>
  <c r="R321" i="1"/>
  <c r="R323" i="1"/>
  <c r="R316" i="1"/>
  <c r="R325" i="1"/>
  <c r="R330" i="1"/>
  <c r="R349" i="1"/>
  <c r="R320" i="1"/>
  <c r="R345" i="1"/>
  <c r="R346" i="1" s="1"/>
  <c r="R333" i="1"/>
  <c r="Q351" i="1"/>
  <c r="P334" i="1"/>
  <c r="Q334" i="1"/>
  <c r="Q352" i="1"/>
  <c r="AS307" i="1" l="1"/>
  <c r="AS306" i="1"/>
  <c r="AM306" i="1"/>
  <c r="AM307" i="1"/>
  <c r="AM309" i="1"/>
  <c r="AR283" i="1"/>
  <c r="BA283" i="1"/>
  <c r="AW283" i="1" s="1"/>
  <c r="AP307" i="1"/>
  <c r="AP306" i="1"/>
  <c r="AT283" i="1"/>
  <c r="AO307" i="1"/>
  <c r="AO306" i="1"/>
  <c r="AN307" i="1"/>
  <c r="AN306" i="1"/>
  <c r="AU283" i="1"/>
  <c r="S292" i="1"/>
  <c r="S293" i="1" s="1"/>
  <c r="S333" i="1"/>
  <c r="S323" i="1"/>
  <c r="S321" i="1"/>
  <c r="S319" i="1"/>
  <c r="S341" i="1"/>
  <c r="S342" i="1" s="1"/>
  <c r="S329" i="1"/>
  <c r="S328" i="1"/>
  <c r="S320" i="1"/>
  <c r="S331" i="1"/>
  <c r="S326" i="1"/>
  <c r="S349" i="1"/>
  <c r="S316" i="1"/>
  <c r="S296" i="1"/>
  <c r="S297" i="1" s="1"/>
  <c r="S327" i="1"/>
  <c r="S325" i="1"/>
  <c r="S318" i="1"/>
  <c r="S339" i="1"/>
  <c r="S340" i="1" s="1"/>
  <c r="S322" i="1"/>
  <c r="T284" i="1"/>
  <c r="S332" i="1"/>
  <c r="S330" i="1"/>
  <c r="S298" i="1"/>
  <c r="S343" i="1"/>
  <c r="S344" i="1" s="1"/>
  <c r="R352" i="1"/>
  <c r="S317" i="1"/>
  <c r="S345" i="1"/>
  <c r="S346" i="1" s="1"/>
  <c r="S347" i="1"/>
  <c r="S348" i="1" s="1"/>
  <c r="S285" i="1"/>
  <c r="S324" i="1"/>
  <c r="S309" i="1"/>
  <c r="R289" i="1"/>
  <c r="R290" i="1"/>
  <c r="R291" i="1" s="1"/>
  <c r="S301" i="1"/>
  <c r="S302" i="1"/>
  <c r="S303" i="1"/>
  <c r="S306" i="1"/>
  <c r="S300" i="1"/>
  <c r="R351" i="1"/>
  <c r="S288" i="1"/>
  <c r="AL22" i="4"/>
  <c r="AL21" i="4"/>
  <c r="AL23" i="4"/>
  <c r="AL17" i="4"/>
  <c r="AL18" i="4" s="1"/>
  <c r="AI19" i="4"/>
  <c r="R334" i="1"/>
  <c r="R335" i="1"/>
  <c r="AW306" i="1" l="1"/>
  <c r="AW307" i="1"/>
  <c r="AW309" i="1"/>
  <c r="AY283" i="1"/>
  <c r="AU307" i="1"/>
  <c r="AU306" i="1"/>
  <c r="AX283" i="1"/>
  <c r="AR306" i="1"/>
  <c r="AR307" i="1"/>
  <c r="AR309" i="1"/>
  <c r="AZ283" i="1"/>
  <c r="AT306" i="1"/>
  <c r="AT307" i="1"/>
  <c r="T328" i="1"/>
  <c r="T332" i="1"/>
  <c r="T329" i="1"/>
  <c r="T341" i="1"/>
  <c r="T342" i="1" s="1"/>
  <c r="T326" i="1"/>
  <c r="T327" i="1"/>
  <c r="T318" i="1"/>
  <c r="T324" i="1"/>
  <c r="T339" i="1"/>
  <c r="T340" i="1" s="1"/>
  <c r="S335" i="1"/>
  <c r="T325" i="1"/>
  <c r="T317" i="1"/>
  <c r="T347" i="1"/>
  <c r="T348" i="1" s="1"/>
  <c r="T331" i="1"/>
  <c r="T323" i="1"/>
  <c r="T330" i="1"/>
  <c r="T345" i="1"/>
  <c r="T346" i="1" s="1"/>
  <c r="S352" i="1"/>
  <c r="T292" i="1"/>
  <c r="T285" i="1"/>
  <c r="T319" i="1"/>
  <c r="T320" i="1"/>
  <c r="T343" i="1"/>
  <c r="T344" i="1" s="1"/>
  <c r="T288" i="1"/>
  <c r="T290" i="1" s="1"/>
  <c r="T298" i="1"/>
  <c r="T322" i="1"/>
  <c r="U284" i="1"/>
  <c r="U316" i="1" s="1"/>
  <c r="T333" i="1"/>
  <c r="S334" i="1"/>
  <c r="T321" i="1"/>
  <c r="T349" i="1"/>
  <c r="S351" i="1"/>
  <c r="T316" i="1"/>
  <c r="T309" i="1"/>
  <c r="S289" i="1"/>
  <c r="S290" i="1"/>
  <c r="S291" i="1" s="1"/>
  <c r="T301" i="1"/>
  <c r="T306" i="1"/>
  <c r="T302" i="1"/>
  <c r="T303" i="1"/>
  <c r="T300" i="1"/>
  <c r="AO21" i="4"/>
  <c r="AO22" i="4"/>
  <c r="AO23" i="4"/>
  <c r="AO17" i="4"/>
  <c r="AO18" i="4" s="1"/>
  <c r="AO19" i="4" s="1"/>
  <c r="AL19" i="4"/>
  <c r="AX306" i="1" l="1"/>
  <c r="AX307" i="1"/>
  <c r="AY307" i="1"/>
  <c r="AY306" i="1"/>
  <c r="U326" i="1"/>
  <c r="AZ307" i="1"/>
  <c r="AZ306" i="1"/>
  <c r="U329" i="1"/>
  <c r="BC283" i="1"/>
  <c r="BB306" i="1"/>
  <c r="BB307" i="1"/>
  <c r="U319" i="1"/>
  <c r="T334" i="1"/>
  <c r="T352" i="1"/>
  <c r="U332" i="1"/>
  <c r="U298" i="1"/>
  <c r="V284" i="1"/>
  <c r="V288" i="1" s="1"/>
  <c r="U321" i="1"/>
  <c r="U347" i="1"/>
  <c r="U348" i="1" s="1"/>
  <c r="U327" i="1"/>
  <c r="U328" i="1"/>
  <c r="T351" i="1"/>
  <c r="U324" i="1"/>
  <c r="T335" i="1"/>
  <c r="U285" i="1"/>
  <c r="U322" i="1"/>
  <c r="U345" i="1"/>
  <c r="U346" i="1" s="1"/>
  <c r="U292" i="1"/>
  <c r="U341" i="1"/>
  <c r="U342" i="1" s="1"/>
  <c r="U323" i="1"/>
  <c r="U288" i="1"/>
  <c r="U289" i="1" s="1"/>
  <c r="U331" i="1"/>
  <c r="U330" i="1"/>
  <c r="U325" i="1"/>
  <c r="U343" i="1"/>
  <c r="U344" i="1" s="1"/>
  <c r="U318" i="1"/>
  <c r="U339" i="1"/>
  <c r="U340" i="1" s="1"/>
  <c r="U349" i="1"/>
  <c r="U320" i="1"/>
  <c r="T289" i="1"/>
  <c r="U317" i="1"/>
  <c r="U333" i="1"/>
  <c r="U309" i="1"/>
  <c r="U301" i="1"/>
  <c r="U302" i="1"/>
  <c r="U300" i="1"/>
  <c r="U303" i="1"/>
  <c r="U306" i="1"/>
  <c r="V330" i="1" l="1"/>
  <c r="V292" i="1"/>
  <c r="BD283" i="1"/>
  <c r="BC307" i="1"/>
  <c r="BC306" i="1"/>
  <c r="V298" i="1"/>
  <c r="V327" i="1"/>
  <c r="V339" i="1"/>
  <c r="V349" i="1"/>
  <c r="V324" i="1"/>
  <c r="V325" i="1"/>
  <c r="V317" i="1"/>
  <c r="V331" i="1"/>
  <c r="V318" i="1"/>
  <c r="V316" i="1"/>
  <c r="V321" i="1"/>
  <c r="V328" i="1"/>
  <c r="V329" i="1"/>
  <c r="V285" i="1"/>
  <c r="V341" i="1"/>
  <c r="V342" i="1" s="1"/>
  <c r="V326" i="1"/>
  <c r="V319" i="1"/>
  <c r="V345" i="1"/>
  <c r="V346" i="1" s="1"/>
  <c r="V343" i="1"/>
  <c r="V344" i="1" s="1"/>
  <c r="V323" i="1"/>
  <c r="V322" i="1"/>
  <c r="W284" i="1"/>
  <c r="V333" i="1"/>
  <c r="V332" i="1"/>
  <c r="V347" i="1"/>
  <c r="V348" i="1" s="1"/>
  <c r="V320" i="1"/>
  <c r="U352" i="1"/>
  <c r="U335" i="1"/>
  <c r="U351" i="1"/>
  <c r="U334" i="1"/>
  <c r="U290" i="1"/>
  <c r="V309" i="1"/>
  <c r="V289" i="1"/>
  <c r="V290" i="1"/>
  <c r="V301" i="1"/>
  <c r="V302" i="1"/>
  <c r="V303" i="1"/>
  <c r="V300" i="1"/>
  <c r="V306" i="1"/>
  <c r="V340" i="1"/>
  <c r="W326" i="1" l="1"/>
  <c r="BE283" i="1"/>
  <c r="BD306" i="1"/>
  <c r="BD307" i="1"/>
  <c r="W329" i="1"/>
  <c r="W341" i="1"/>
  <c r="W342" i="1" s="1"/>
  <c r="W316" i="1"/>
  <c r="W339" i="1"/>
  <c r="W340" i="1" s="1"/>
  <c r="W298" i="1"/>
  <c r="W327" i="1"/>
  <c r="W332" i="1"/>
  <c r="W349" i="1"/>
  <c r="W321" i="1"/>
  <c r="X284" i="1"/>
  <c r="W328" i="1"/>
  <c r="W333" i="1"/>
  <c r="W317" i="1"/>
  <c r="V334" i="1"/>
  <c r="W323" i="1"/>
  <c r="V335" i="1"/>
  <c r="V351" i="1"/>
  <c r="W319" i="1"/>
  <c r="W330" i="1"/>
  <c r="W325" i="1"/>
  <c r="W324" i="1"/>
  <c r="W343" i="1"/>
  <c r="W344" i="1" s="1"/>
  <c r="V352" i="1"/>
  <c r="W288" i="1"/>
  <c r="W289" i="1" s="1"/>
  <c r="W345" i="1"/>
  <c r="W346" i="1" s="1"/>
  <c r="W292" i="1"/>
  <c r="W285" i="1"/>
  <c r="W318" i="1"/>
  <c r="W320" i="1"/>
  <c r="W331" i="1"/>
  <c r="W347" i="1"/>
  <c r="W348" i="1" s="1"/>
  <c r="W322" i="1"/>
  <c r="X309" i="1"/>
  <c r="W309" i="1"/>
  <c r="W307" i="1"/>
  <c r="W306" i="1"/>
  <c r="W301" i="1"/>
  <c r="W303" i="1"/>
  <c r="W302" i="1"/>
  <c r="W300" i="1"/>
  <c r="X292" i="1" l="1"/>
  <c r="BF283" i="1"/>
  <c r="BE306" i="1"/>
  <c r="BE307" i="1"/>
  <c r="X329" i="1"/>
  <c r="X332" i="1"/>
  <c r="X333" i="1"/>
  <c r="X285" i="1"/>
  <c r="X347" i="1"/>
  <c r="X348" i="1" s="1"/>
  <c r="X345" i="1"/>
  <c r="X346" i="1" s="1"/>
  <c r="X343" i="1"/>
  <c r="X344" i="1" s="1"/>
  <c r="X324" i="1"/>
  <c r="X341" i="1"/>
  <c r="X342" i="1" s="1"/>
  <c r="X327" i="1"/>
  <c r="X319" i="1"/>
  <c r="X317" i="1"/>
  <c r="X316" i="1"/>
  <c r="X325" i="1"/>
  <c r="X331" i="1"/>
  <c r="X298" i="1"/>
  <c r="X318" i="1"/>
  <c r="X326" i="1"/>
  <c r="X330" i="1"/>
  <c r="X339" i="1"/>
  <c r="X340" i="1" s="1"/>
  <c r="X323" i="1"/>
  <c r="X328" i="1"/>
  <c r="X322" i="1"/>
  <c r="X321" i="1"/>
  <c r="Y284" i="1"/>
  <c r="Y322" i="1" s="1"/>
  <c r="X320" i="1"/>
  <c r="X349" i="1"/>
  <c r="X288" i="1"/>
  <c r="X289" i="1" s="1"/>
  <c r="W335" i="1"/>
  <c r="W290" i="1"/>
  <c r="W334" i="1"/>
  <c r="W351" i="1"/>
  <c r="W352" i="1"/>
  <c r="X306" i="1"/>
  <c r="X307" i="1"/>
  <c r="X301" i="1"/>
  <c r="X303" i="1"/>
  <c r="X300" i="1"/>
  <c r="X302" i="1"/>
  <c r="Y349" i="1"/>
  <c r="Y345" i="1"/>
  <c r="Y346" i="1" s="1"/>
  <c r="Y298" i="1" l="1"/>
  <c r="Y288" i="1"/>
  <c r="Y290" i="1" s="1"/>
  <c r="Y285" i="1"/>
  <c r="BG283" i="1"/>
  <c r="BF306" i="1"/>
  <c r="BF307" i="1"/>
  <c r="X352" i="1"/>
  <c r="X351" i="1"/>
  <c r="X335" i="1"/>
  <c r="X334" i="1"/>
  <c r="Y319" i="1"/>
  <c r="Y321" i="1"/>
  <c r="Y329" i="1"/>
  <c r="Y316" i="1"/>
  <c r="Z284" i="1"/>
  <c r="Y330" i="1"/>
  <c r="Y343" i="1"/>
  <c r="Y344" i="1" s="1"/>
  <c r="Y339" i="1"/>
  <c r="Y340" i="1" s="1"/>
  <c r="Y332" i="1"/>
  <c r="Y341" i="1"/>
  <c r="Y342" i="1" s="1"/>
  <c r="Y327" i="1"/>
  <c r="Y323" i="1"/>
  <c r="Y328" i="1"/>
  <c r="Y318" i="1"/>
  <c r="Y292" i="1"/>
  <c r="Y326" i="1"/>
  <c r="Y324" i="1"/>
  <c r="Y317" i="1"/>
  <c r="Y333" i="1"/>
  <c r="Y325" i="1"/>
  <c r="Y347" i="1"/>
  <c r="Y348" i="1" s="1"/>
  <c r="Y331" i="1"/>
  <c r="Y320" i="1"/>
  <c r="X290" i="1"/>
  <c r="Y289" i="1"/>
  <c r="Y309" i="1"/>
  <c r="Y307" i="1"/>
  <c r="Y306" i="1"/>
  <c r="Y302" i="1"/>
  <c r="Y303" i="1"/>
  <c r="Y300" i="1"/>
  <c r="Y301" i="1"/>
  <c r="Z292" i="1" l="1"/>
  <c r="Z321" i="1"/>
  <c r="Z326" i="1"/>
  <c r="Z324" i="1"/>
  <c r="Z341" i="1"/>
  <c r="Z342" i="1" s="1"/>
  <c r="Z328" i="1"/>
  <c r="Y334" i="1"/>
  <c r="Z332" i="1"/>
  <c r="Z339" i="1"/>
  <c r="Z340" i="1" s="1"/>
  <c r="Z318" i="1"/>
  <c r="Z325" i="1"/>
  <c r="Z298" i="1"/>
  <c r="Z343" i="1"/>
  <c r="Z344" i="1" s="1"/>
  <c r="Z330" i="1"/>
  <c r="Z327" i="1"/>
  <c r="Z333" i="1"/>
  <c r="Z319" i="1"/>
  <c r="Z323" i="1"/>
  <c r="Z345" i="1"/>
  <c r="Z346" i="1" s="1"/>
  <c r="Z331" i="1"/>
  <c r="AA284" i="1"/>
  <c r="AA330" i="1" s="1"/>
  <c r="Z316" i="1"/>
  <c r="Z288" i="1"/>
  <c r="Z290" i="1" s="1"/>
  <c r="Y335" i="1"/>
  <c r="Z329" i="1"/>
  <c r="Z322" i="1"/>
  <c r="Z347" i="1"/>
  <c r="Z348" i="1" s="1"/>
  <c r="Z317" i="1"/>
  <c r="Z320" i="1"/>
  <c r="Z349" i="1"/>
  <c r="Z285" i="1"/>
  <c r="Y351" i="1"/>
  <c r="Y352" i="1"/>
  <c r="Z309" i="1"/>
  <c r="Z307" i="1"/>
  <c r="Z306" i="1"/>
  <c r="Z303" i="1"/>
  <c r="Z300" i="1"/>
  <c r="Z302" i="1"/>
  <c r="Z301" i="1"/>
  <c r="AA343" i="1" l="1"/>
  <c r="AA344" i="1" s="1"/>
  <c r="AA328" i="1"/>
  <c r="AA285" i="1"/>
  <c r="AA321" i="1"/>
  <c r="AA347" i="1"/>
  <c r="AA348" i="1" s="1"/>
  <c r="Z289" i="1"/>
  <c r="AA349" i="1"/>
  <c r="AA333" i="1"/>
  <c r="AA323" i="1"/>
  <c r="AA324" i="1"/>
  <c r="AA322" i="1"/>
  <c r="AA319" i="1"/>
  <c r="AA332" i="1"/>
  <c r="AA316" i="1"/>
  <c r="Z351" i="1"/>
  <c r="Z334" i="1"/>
  <c r="AA326" i="1"/>
  <c r="AA331" i="1"/>
  <c r="AA298" i="1"/>
  <c r="AA329" i="1"/>
  <c r="AA292" i="1"/>
  <c r="AA320" i="1"/>
  <c r="AA318" i="1"/>
  <c r="AB284" i="1"/>
  <c r="AB349" i="1" s="1"/>
  <c r="AA317" i="1"/>
  <c r="AA288" i="1"/>
  <c r="AA290" i="1" s="1"/>
  <c r="AA327" i="1"/>
  <c r="AA345" i="1"/>
  <c r="AA346" i="1" s="1"/>
  <c r="AA325" i="1"/>
  <c r="Z335" i="1"/>
  <c r="Z352" i="1"/>
  <c r="AA341" i="1"/>
  <c r="AA342" i="1" s="1"/>
  <c r="AA339" i="1"/>
  <c r="AA340" i="1" s="1"/>
  <c r="AA307" i="1"/>
  <c r="AA309" i="1"/>
  <c r="AA300" i="1"/>
  <c r="AA302" i="1"/>
  <c r="AA306" i="1"/>
  <c r="AA301" i="1"/>
  <c r="AA303" i="1"/>
  <c r="AB324" i="1" l="1"/>
  <c r="AB341" i="1"/>
  <c r="AB342" i="1" s="1"/>
  <c r="AB330" i="1"/>
  <c r="AB323" i="1"/>
  <c r="AB320" i="1"/>
  <c r="AB292" i="1"/>
  <c r="AB326" i="1"/>
  <c r="AB343" i="1"/>
  <c r="AB344" i="1" s="1"/>
  <c r="AB328" i="1"/>
  <c r="AB327" i="1"/>
  <c r="AB331" i="1"/>
  <c r="AB318" i="1"/>
  <c r="AB288" i="1"/>
  <c r="AB289" i="1" s="1"/>
  <c r="AB345" i="1"/>
  <c r="AB346" i="1" s="1"/>
  <c r="AB285" i="1"/>
  <c r="AA335" i="1"/>
  <c r="AA334" i="1"/>
  <c r="AB316" i="1"/>
  <c r="AB317" i="1"/>
  <c r="AB325" i="1"/>
  <c r="AB321" i="1"/>
  <c r="AB319" i="1"/>
  <c r="AB322" i="1"/>
  <c r="AA289" i="1"/>
  <c r="AB332" i="1"/>
  <c r="AC284" i="1"/>
  <c r="AB347" i="1"/>
  <c r="AB348" i="1" s="1"/>
  <c r="AA351" i="1"/>
  <c r="AB339" i="1"/>
  <c r="AB340" i="1" s="1"/>
  <c r="AB329" i="1"/>
  <c r="AB333" i="1"/>
  <c r="AB298" i="1"/>
  <c r="AA352" i="1"/>
  <c r="AB307" i="1"/>
  <c r="AB309" i="1"/>
  <c r="AB300" i="1"/>
  <c r="AB302" i="1"/>
  <c r="AB303" i="1"/>
  <c r="AB306" i="1"/>
  <c r="AB301" i="1"/>
  <c r="AC292" i="1" l="1"/>
  <c r="AB290" i="1"/>
  <c r="AB335" i="1"/>
  <c r="AB334" i="1"/>
  <c r="AC317" i="1"/>
  <c r="AC318" i="1"/>
  <c r="AC330" i="1"/>
  <c r="AC333" i="1"/>
  <c r="AC316" i="1"/>
  <c r="AC327" i="1"/>
  <c r="AC349" i="1"/>
  <c r="AC325" i="1"/>
  <c r="AC322" i="1"/>
  <c r="AC320" i="1"/>
  <c r="AC341" i="1"/>
  <c r="AC342" i="1" s="1"/>
  <c r="AC323" i="1"/>
  <c r="AC319" i="1"/>
  <c r="AC329" i="1"/>
  <c r="AC326" i="1"/>
  <c r="AC321" i="1"/>
  <c r="AC285" i="1"/>
  <c r="AD284" i="1"/>
  <c r="AC288" i="1"/>
  <c r="AC289" i="1" s="1"/>
  <c r="AC343" i="1"/>
  <c r="AC344" i="1" s="1"/>
  <c r="AC328" i="1"/>
  <c r="AC298" i="1"/>
  <c r="AC332" i="1"/>
  <c r="AB352" i="1"/>
  <c r="AB351" i="1"/>
  <c r="AC339" i="1"/>
  <c r="AC340" i="1" s="1"/>
  <c r="AC324" i="1"/>
  <c r="AC331" i="1"/>
  <c r="AC347" i="1"/>
  <c r="AC348" i="1" s="1"/>
  <c r="AC345" i="1"/>
  <c r="AC346" i="1" s="1"/>
  <c r="AC307" i="1"/>
  <c r="AC309" i="1"/>
  <c r="AC303" i="1"/>
  <c r="AC302" i="1"/>
  <c r="AC300" i="1"/>
  <c r="AC306" i="1"/>
  <c r="AC301" i="1"/>
  <c r="AD292" i="1" l="1"/>
  <c r="AD323" i="1"/>
  <c r="AD322" i="1"/>
  <c r="AD324" i="1"/>
  <c r="AD328" i="1"/>
  <c r="AH284" i="1"/>
  <c r="AH328" i="1" s="1"/>
  <c r="AD319" i="1"/>
  <c r="AD298" i="1"/>
  <c r="AD321" i="1"/>
  <c r="AD347" i="1"/>
  <c r="AD348" i="1" s="1"/>
  <c r="AD327" i="1"/>
  <c r="AD285" i="1"/>
  <c r="AD325" i="1"/>
  <c r="AD341" i="1"/>
  <c r="AD342" i="1" s="1"/>
  <c r="AD288" i="1"/>
  <c r="AD289" i="1" s="1"/>
  <c r="AD317" i="1"/>
  <c r="AD349" i="1"/>
  <c r="AD343" i="1"/>
  <c r="AD344" i="1" s="1"/>
  <c r="AD345" i="1"/>
  <c r="AD346" i="1" s="1"/>
  <c r="AD329" i="1"/>
  <c r="AC335" i="1"/>
  <c r="AD331" i="1"/>
  <c r="AD330" i="1"/>
  <c r="AD332" i="1"/>
  <c r="AD326" i="1"/>
  <c r="AD316" i="1"/>
  <c r="AD333" i="1"/>
  <c r="AC334" i="1"/>
  <c r="AC290" i="1"/>
  <c r="AC352" i="1"/>
  <c r="AC351" i="1"/>
  <c r="AD318" i="1"/>
  <c r="AD320" i="1"/>
  <c r="AD339" i="1"/>
  <c r="AD340" i="1" s="1"/>
  <c r="AD307" i="1"/>
  <c r="AD309" i="1"/>
  <c r="AD303" i="1"/>
  <c r="AD300" i="1"/>
  <c r="AD302" i="1"/>
  <c r="AD306" i="1"/>
  <c r="AD301" i="1"/>
  <c r="AH325" i="1" l="1"/>
  <c r="AH323" i="1"/>
  <c r="AH318" i="1"/>
  <c r="AE284" i="1"/>
  <c r="AG284" i="1"/>
  <c r="AF284" i="1"/>
  <c r="AH345" i="1"/>
  <c r="AH346" i="1" s="1"/>
  <c r="AH319" i="1"/>
  <c r="AH347" i="1"/>
  <c r="AH348" i="1" s="1"/>
  <c r="AH316" i="1"/>
  <c r="AH326" i="1"/>
  <c r="AH331" i="1"/>
  <c r="AH341" i="1"/>
  <c r="AH342" i="1" s="1"/>
  <c r="AH330" i="1"/>
  <c r="AH333" i="1"/>
  <c r="AH320" i="1"/>
  <c r="AH332" i="1"/>
  <c r="AH285" i="1"/>
  <c r="AH292" i="1"/>
  <c r="AH317" i="1"/>
  <c r="AH329" i="1"/>
  <c r="AH321" i="1"/>
  <c r="AH288" i="1"/>
  <c r="AH289" i="1" s="1"/>
  <c r="AH327" i="1"/>
  <c r="AH343" i="1"/>
  <c r="AH344" i="1" s="1"/>
  <c r="AH349" i="1"/>
  <c r="AH322" i="1"/>
  <c r="AL284" i="1"/>
  <c r="AI284" i="1" s="1"/>
  <c r="AH324" i="1"/>
  <c r="AH339" i="1"/>
  <c r="AH340" i="1" s="1"/>
  <c r="AH298" i="1"/>
  <c r="AD352" i="1"/>
  <c r="AD335" i="1"/>
  <c r="AD290" i="1"/>
  <c r="AD334" i="1"/>
  <c r="AD351" i="1"/>
  <c r="AH307" i="1"/>
  <c r="AH300" i="1"/>
  <c r="AH302" i="1"/>
  <c r="AH306" i="1"/>
  <c r="AH301" i="1"/>
  <c r="AH303" i="1"/>
  <c r="AL308" i="1" l="1"/>
  <c r="AJ284" i="1"/>
  <c r="AK284" i="1"/>
  <c r="AL329" i="1"/>
  <c r="AQ308" i="1"/>
  <c r="AV308" i="1" s="1"/>
  <c r="BA308" i="1" s="1"/>
  <c r="BB308" i="1" s="1"/>
  <c r="AL319" i="1"/>
  <c r="AL331" i="1"/>
  <c r="AL298" i="1"/>
  <c r="AQ284" i="1"/>
  <c r="AL330" i="1"/>
  <c r="AH290" i="1"/>
  <c r="AL333" i="1"/>
  <c r="AL345" i="1"/>
  <c r="AL346" i="1" s="1"/>
  <c r="AL320" i="1"/>
  <c r="AL316" i="1"/>
  <c r="AL341" i="1"/>
  <c r="AL342" i="1" s="1"/>
  <c r="AL324" i="1"/>
  <c r="AL326" i="1"/>
  <c r="AL285" i="1"/>
  <c r="AL347" i="1"/>
  <c r="AL348" i="1" s="1"/>
  <c r="AL343" i="1"/>
  <c r="AL344" i="1" s="1"/>
  <c r="AL349" i="1"/>
  <c r="AL332" i="1"/>
  <c r="AL317" i="1"/>
  <c r="AL318" i="1"/>
  <c r="AL325" i="1"/>
  <c r="AL292" i="1"/>
  <c r="AL339" i="1"/>
  <c r="AL340" i="1" s="1"/>
  <c r="AL322" i="1"/>
  <c r="AH334" i="1"/>
  <c r="AH335" i="1"/>
  <c r="AL328" i="1"/>
  <c r="AH351" i="1"/>
  <c r="AL288" i="1"/>
  <c r="AL289" i="1" s="1"/>
  <c r="AL321" i="1"/>
  <c r="AL323" i="1"/>
  <c r="AL327" i="1"/>
  <c r="AH352" i="1"/>
  <c r="AF341" i="1"/>
  <c r="AF342" i="1" s="1"/>
  <c r="AF347" i="1"/>
  <c r="AF348" i="1" s="1"/>
  <c r="AF343" i="1"/>
  <c r="AF344" i="1" s="1"/>
  <c r="AF298" i="1"/>
  <c r="AF285" i="1"/>
  <c r="AF288" i="1"/>
  <c r="AF339" i="1"/>
  <c r="AF292" i="1"/>
  <c r="AF349" i="1"/>
  <c r="AF345" i="1"/>
  <c r="AF346" i="1" s="1"/>
  <c r="AF319" i="1"/>
  <c r="AF318" i="1"/>
  <c r="AF327" i="1"/>
  <c r="AF320" i="1"/>
  <c r="AF324" i="1"/>
  <c r="AF326" i="1"/>
  <c r="AF330" i="1"/>
  <c r="AF321" i="1"/>
  <c r="AF325" i="1"/>
  <c r="AF331" i="1"/>
  <c r="AF332" i="1"/>
  <c r="AF328" i="1"/>
  <c r="AF316" i="1"/>
  <c r="AF322" i="1"/>
  <c r="AF333" i="1"/>
  <c r="AF329" i="1"/>
  <c r="AF323" i="1"/>
  <c r="AF317" i="1"/>
  <c r="AG341" i="1"/>
  <c r="AG342" i="1" s="1"/>
  <c r="AG347" i="1"/>
  <c r="AG348" i="1" s="1"/>
  <c r="AG288" i="1"/>
  <c r="AG343" i="1"/>
  <c r="AG344" i="1" s="1"/>
  <c r="AG345" i="1"/>
  <c r="AG346" i="1" s="1"/>
  <c r="AG339" i="1"/>
  <c r="AG292" i="1"/>
  <c r="AG349" i="1"/>
  <c r="AG298" i="1"/>
  <c r="AG285" i="1"/>
  <c r="AG318" i="1"/>
  <c r="AG319" i="1"/>
  <c r="AG330" i="1"/>
  <c r="AG331" i="1"/>
  <c r="AG320" i="1"/>
  <c r="AG324" i="1"/>
  <c r="AG316" i="1"/>
  <c r="AG327" i="1"/>
  <c r="AG326" i="1"/>
  <c r="AG321" i="1"/>
  <c r="AG325" i="1"/>
  <c r="AG323" i="1"/>
  <c r="AG332" i="1"/>
  <c r="AG328" i="1"/>
  <c r="AG322" i="1"/>
  <c r="AG333" i="1"/>
  <c r="AG329" i="1"/>
  <c r="AG317" i="1"/>
  <c r="AE285" i="1"/>
  <c r="AE292" i="1"/>
  <c r="AE339" i="1"/>
  <c r="AE288" i="1"/>
  <c r="AE349" i="1"/>
  <c r="AE345" i="1"/>
  <c r="AE346" i="1" s="1"/>
  <c r="AE298" i="1"/>
  <c r="AE341" i="1"/>
  <c r="AE342" i="1" s="1"/>
  <c r="AE347" i="1"/>
  <c r="AE348" i="1" s="1"/>
  <c r="AE343" i="1"/>
  <c r="AE344" i="1" s="1"/>
  <c r="AE318" i="1"/>
  <c r="AE319" i="1"/>
  <c r="AE320" i="1"/>
  <c r="AE324" i="1"/>
  <c r="AE326" i="1"/>
  <c r="AE330" i="1"/>
  <c r="AE321" i="1"/>
  <c r="AE325" i="1"/>
  <c r="AE331" i="1"/>
  <c r="AE327" i="1"/>
  <c r="AE328" i="1"/>
  <c r="AE316" i="1"/>
  <c r="AE322" i="1"/>
  <c r="AE333" i="1"/>
  <c r="AE329" i="1"/>
  <c r="AE317" i="1"/>
  <c r="AE332" i="1"/>
  <c r="AE323" i="1"/>
  <c r="AL309" i="1"/>
  <c r="AL307" i="1"/>
  <c r="W291" i="1" s="1"/>
  <c r="AL306" i="1"/>
  <c r="AL301" i="1"/>
  <c r="AL300" i="1"/>
  <c r="AL302" i="1"/>
  <c r="AL303" i="1"/>
  <c r="AQ320" i="1"/>
  <c r="Z293" i="1" l="1"/>
  <c r="AB299" i="1"/>
  <c r="W296" i="1"/>
  <c r="W297" i="1" s="1"/>
  <c r="V291" i="1"/>
  <c r="U291" i="1"/>
  <c r="AB291" i="1"/>
  <c r="AE293" i="1"/>
  <c r="V294" i="1"/>
  <c r="V295" i="1" s="1"/>
  <c r="AX294" i="1"/>
  <c r="AX296" i="1"/>
  <c r="T294" i="1"/>
  <c r="T295" i="1" s="1"/>
  <c r="AE296" i="1"/>
  <c r="AE297" i="1" s="1"/>
  <c r="V296" i="1"/>
  <c r="V297" i="1" s="1"/>
  <c r="Y294" i="1"/>
  <c r="Y295" i="1" s="1"/>
  <c r="AA291" i="1"/>
  <c r="Y293" i="1"/>
  <c r="AJ299" i="1"/>
  <c r="AF299" i="1"/>
  <c r="Q294" i="1"/>
  <c r="Q295" i="1" s="1"/>
  <c r="Q286" i="1" s="1"/>
  <c r="Q287" i="1" s="1"/>
  <c r="AC291" i="1"/>
  <c r="V293" i="1"/>
  <c r="U293" i="1"/>
  <c r="AE299" i="1"/>
  <c r="T291" i="1"/>
  <c r="AG299" i="1"/>
  <c r="U294" i="1"/>
  <c r="U295" i="1" s="1"/>
  <c r="X296" i="1"/>
  <c r="X297" i="1" s="1"/>
  <c r="AD299" i="1"/>
  <c r="U296" i="1"/>
  <c r="U297" i="1" s="1"/>
  <c r="T293" i="1"/>
  <c r="S294" i="1"/>
  <c r="S295" i="1" s="1"/>
  <c r="S286" i="1" s="1"/>
  <c r="S287" i="1" s="1"/>
  <c r="Z291" i="1"/>
  <c r="Y296" i="1"/>
  <c r="Y297" i="1" s="1"/>
  <c r="R294" i="1"/>
  <c r="R295" i="1" s="1"/>
  <c r="R286" i="1" s="1"/>
  <c r="R287" i="1" s="1"/>
  <c r="W294" i="1"/>
  <c r="W295" i="1" s="1"/>
  <c r="AC299" i="1"/>
  <c r="Z294" i="1"/>
  <c r="Z295" i="1" s="1"/>
  <c r="X293" i="1"/>
  <c r="AI299" i="1"/>
  <c r="T296" i="1"/>
  <c r="T297" i="1" s="1"/>
  <c r="W293" i="1"/>
  <c r="Y291" i="1"/>
  <c r="X291" i="1"/>
  <c r="Z296" i="1"/>
  <c r="Z297" i="1" s="1"/>
  <c r="AK299" i="1"/>
  <c r="X294" i="1"/>
  <c r="X295" i="1" s="1"/>
  <c r="AQ292" i="1"/>
  <c r="AQ345" i="1"/>
  <c r="AQ346" i="1" s="1"/>
  <c r="AN284" i="1"/>
  <c r="AQ339" i="1"/>
  <c r="AQ340" i="1" s="1"/>
  <c r="AM284" i="1"/>
  <c r="AO284" i="1"/>
  <c r="AP284" i="1"/>
  <c r="AQ288" i="1"/>
  <c r="AQ290" i="1" s="1"/>
  <c r="AV284" i="1"/>
  <c r="AV298" i="1" s="1"/>
  <c r="AQ323" i="1"/>
  <c r="AQ298" i="1"/>
  <c r="AQ332" i="1"/>
  <c r="AQ329" i="1"/>
  <c r="AQ322" i="1"/>
  <c r="AQ324" i="1"/>
  <c r="AQ333" i="1"/>
  <c r="AQ327" i="1"/>
  <c r="AQ349" i="1"/>
  <c r="AQ317" i="1"/>
  <c r="AQ325" i="1"/>
  <c r="AQ318" i="1"/>
  <c r="AQ331" i="1"/>
  <c r="AQ343" i="1"/>
  <c r="AQ344" i="1" s="1"/>
  <c r="AQ347" i="1"/>
  <c r="AQ348" i="1" s="1"/>
  <c r="AK288" i="1"/>
  <c r="AK343" i="1"/>
  <c r="AK344" i="1" s="1"/>
  <c r="AK347" i="1"/>
  <c r="AK348" i="1" s="1"/>
  <c r="AK316" i="1"/>
  <c r="AK320" i="1"/>
  <c r="AK324" i="1"/>
  <c r="AK328" i="1"/>
  <c r="AK332" i="1"/>
  <c r="AK339" i="1"/>
  <c r="AK323" i="1"/>
  <c r="AK317" i="1"/>
  <c r="AK321" i="1"/>
  <c r="AK325" i="1"/>
  <c r="AK329" i="1"/>
  <c r="AK333" i="1"/>
  <c r="AK331" i="1"/>
  <c r="AK341" i="1"/>
  <c r="AK342" i="1" s="1"/>
  <c r="AK345" i="1"/>
  <c r="AK346" i="1" s="1"/>
  <c r="AK349" i="1"/>
  <c r="AK318" i="1"/>
  <c r="AK322" i="1"/>
  <c r="AK326" i="1"/>
  <c r="AK330" i="1"/>
  <c r="AK327" i="1"/>
  <c r="AK319" i="1"/>
  <c r="AK298" i="1"/>
  <c r="AK292" i="1"/>
  <c r="AK285" i="1"/>
  <c r="AQ321" i="1"/>
  <c r="AQ285" i="1"/>
  <c r="AJ292" i="1"/>
  <c r="AJ343" i="1"/>
  <c r="AJ344" i="1" s="1"/>
  <c r="AJ347" i="1"/>
  <c r="AJ348" i="1" s="1"/>
  <c r="AJ316" i="1"/>
  <c r="AJ320" i="1"/>
  <c r="AJ324" i="1"/>
  <c r="AJ328" i="1"/>
  <c r="AJ332" i="1"/>
  <c r="AJ345" i="1"/>
  <c r="AJ346" i="1" s="1"/>
  <c r="AJ322" i="1"/>
  <c r="AJ319" i="1"/>
  <c r="AJ339" i="1"/>
  <c r="AJ341" i="1"/>
  <c r="AJ342" i="1" s="1"/>
  <c r="AJ318" i="1"/>
  <c r="AJ330" i="1"/>
  <c r="AJ327" i="1"/>
  <c r="AJ317" i="1"/>
  <c r="AJ321" i="1"/>
  <c r="AJ325" i="1"/>
  <c r="AJ329" i="1"/>
  <c r="AJ333" i="1"/>
  <c r="AJ349" i="1"/>
  <c r="AJ326" i="1"/>
  <c r="AJ323" i="1"/>
  <c r="AJ331" i="1"/>
  <c r="AJ285" i="1"/>
  <c r="AJ288" i="1"/>
  <c r="AJ298" i="1"/>
  <c r="AQ328" i="1"/>
  <c r="AQ319" i="1"/>
  <c r="AQ326" i="1"/>
  <c r="AQ316" i="1"/>
  <c r="AQ330" i="1"/>
  <c r="AQ341" i="1"/>
  <c r="AQ342" i="1" s="1"/>
  <c r="AI298" i="1"/>
  <c r="AI339" i="1"/>
  <c r="AI327" i="1"/>
  <c r="AI320" i="1"/>
  <c r="AI324" i="1"/>
  <c r="AI317" i="1"/>
  <c r="AI321" i="1"/>
  <c r="AI325" i="1"/>
  <c r="AI329" i="1"/>
  <c r="AI333" i="1"/>
  <c r="AI319" i="1"/>
  <c r="AI343" i="1"/>
  <c r="AI344" i="1" s="1"/>
  <c r="AI328" i="1"/>
  <c r="AI332" i="1"/>
  <c r="AI341" i="1"/>
  <c r="AI342" i="1" s="1"/>
  <c r="AI345" i="1"/>
  <c r="AI346" i="1" s="1"/>
  <c r="AI349" i="1"/>
  <c r="AI318" i="1"/>
  <c r="AI322" i="1"/>
  <c r="AI326" i="1"/>
  <c r="AI330" i="1"/>
  <c r="AI331" i="1"/>
  <c r="AI316" i="1"/>
  <c r="AI323" i="1"/>
  <c r="AI347" i="1"/>
  <c r="AI348" i="1" s="1"/>
  <c r="AI285" i="1"/>
  <c r="AI292" i="1"/>
  <c r="AI288" i="1"/>
  <c r="BC308" i="1"/>
  <c r="BB309" i="1"/>
  <c r="AL290" i="1"/>
  <c r="AL351" i="1"/>
  <c r="AL334" i="1"/>
  <c r="AL352" i="1"/>
  <c r="AL335" i="1"/>
  <c r="AG335" i="1"/>
  <c r="AE335" i="1"/>
  <c r="AE289" i="1"/>
  <c r="AE290" i="1"/>
  <c r="AE291" i="1" s="1"/>
  <c r="AE351" i="1"/>
  <c r="AE340" i="1"/>
  <c r="AE352" i="1" s="1"/>
  <c r="AF334" i="1"/>
  <c r="AG340" i="1"/>
  <c r="AG352" i="1" s="1"/>
  <c r="AG351" i="1"/>
  <c r="AG334" i="1"/>
  <c r="AG289" i="1"/>
  <c r="AG290" i="1"/>
  <c r="AF340" i="1"/>
  <c r="AF352" i="1" s="1"/>
  <c r="AF351" i="1"/>
  <c r="AE334" i="1"/>
  <c r="AF289" i="1"/>
  <c r="AF290" i="1"/>
  <c r="AF335" i="1"/>
  <c r="AD291" i="1"/>
  <c r="AB293" i="1"/>
  <c r="AC293" i="1"/>
  <c r="AD293" i="1"/>
  <c r="AA293" i="1"/>
  <c r="AA296" i="1"/>
  <c r="AA297" i="1" s="1"/>
  <c r="AA294" i="1"/>
  <c r="AA295" i="1" s="1"/>
  <c r="AB294" i="1"/>
  <c r="AB295" i="1" s="1"/>
  <c r="AB296" i="1"/>
  <c r="AB297" i="1" s="1"/>
  <c r="AC296" i="1"/>
  <c r="AC297" i="1" s="1"/>
  <c r="AC294" i="1"/>
  <c r="AC295" i="1" s="1"/>
  <c r="AD296" i="1"/>
  <c r="AD297" i="1" s="1"/>
  <c r="AH299" i="1"/>
  <c r="AQ307" i="1"/>
  <c r="AQ309" i="1"/>
  <c r="AQ301" i="1"/>
  <c r="AQ302" i="1"/>
  <c r="AQ300" i="1"/>
  <c r="AQ303" i="1"/>
  <c r="AQ306" i="1"/>
  <c r="V286" i="1" l="1"/>
  <c r="V287" i="1" s="1"/>
  <c r="U286" i="1"/>
  <c r="U287" i="1" s="1"/>
  <c r="T286" i="1"/>
  <c r="T287" i="1" s="1"/>
  <c r="W286" i="1"/>
  <c r="W287" i="1" s="1"/>
  <c r="AV320" i="1"/>
  <c r="Y286" i="1"/>
  <c r="Y287" i="1" s="1"/>
  <c r="X286" i="1"/>
  <c r="X287" i="1" s="1"/>
  <c r="Z286" i="1"/>
  <c r="Z287" i="1" s="1"/>
  <c r="AN341" i="1"/>
  <c r="AN342" i="1" s="1"/>
  <c r="AN345" i="1"/>
  <c r="AN346" i="1" s="1"/>
  <c r="AN349" i="1"/>
  <c r="AN317" i="1"/>
  <c r="AN320" i="1"/>
  <c r="AN323" i="1"/>
  <c r="AN326" i="1"/>
  <c r="AN329" i="1"/>
  <c r="AN332" i="1"/>
  <c r="AN321" i="1"/>
  <c r="AN333" i="1"/>
  <c r="AN318" i="1"/>
  <c r="AN327" i="1"/>
  <c r="AN330" i="1"/>
  <c r="AN339" i="1"/>
  <c r="AN343" i="1"/>
  <c r="AN344" i="1" s="1"/>
  <c r="AN324" i="1"/>
  <c r="AN347" i="1"/>
  <c r="AN348" i="1" s="1"/>
  <c r="AN316" i="1"/>
  <c r="AN319" i="1"/>
  <c r="AN322" i="1"/>
  <c r="AN325" i="1"/>
  <c r="AN328" i="1"/>
  <c r="AN331" i="1"/>
  <c r="AM332" i="1"/>
  <c r="AM325" i="1"/>
  <c r="AM328" i="1"/>
  <c r="AM341" i="1"/>
  <c r="AM342" i="1" s="1"/>
  <c r="AM345" i="1"/>
  <c r="AM346" i="1" s="1"/>
  <c r="AM349" i="1"/>
  <c r="AM317" i="1"/>
  <c r="AM320" i="1"/>
  <c r="AM323" i="1"/>
  <c r="AM326" i="1"/>
  <c r="AM329" i="1"/>
  <c r="AM319" i="1"/>
  <c r="AM322" i="1"/>
  <c r="AM339" i="1"/>
  <c r="AM343" i="1"/>
  <c r="AM344" i="1" s="1"/>
  <c r="AM318" i="1"/>
  <c r="AM321" i="1"/>
  <c r="AM324" i="1"/>
  <c r="AM327" i="1"/>
  <c r="AM330" i="1"/>
  <c r="AM333" i="1"/>
  <c r="AM331" i="1"/>
  <c r="AM347" i="1"/>
  <c r="AM348" i="1" s="1"/>
  <c r="AM316" i="1"/>
  <c r="AT284" i="1"/>
  <c r="AR284" i="1"/>
  <c r="AU284" i="1"/>
  <c r="AP321" i="1"/>
  <c r="AP347" i="1"/>
  <c r="AP348" i="1" s="1"/>
  <c r="AP316" i="1"/>
  <c r="AP319" i="1"/>
  <c r="AP322" i="1"/>
  <c r="AP325" i="1"/>
  <c r="AP328" i="1"/>
  <c r="AP331" i="1"/>
  <c r="AP327" i="1"/>
  <c r="AP318" i="1"/>
  <c r="AP339" i="1"/>
  <c r="AP343" i="1"/>
  <c r="AP344" i="1" s="1"/>
  <c r="AP341" i="1"/>
  <c r="AP342" i="1" s="1"/>
  <c r="AP345" i="1"/>
  <c r="AP346" i="1" s="1"/>
  <c r="AP349" i="1"/>
  <c r="AP317" i="1"/>
  <c r="AP320" i="1"/>
  <c r="AP323" i="1"/>
  <c r="AP326" i="1"/>
  <c r="AP329" i="1"/>
  <c r="AP332" i="1"/>
  <c r="AP324" i="1"/>
  <c r="AP333" i="1"/>
  <c r="AP330" i="1"/>
  <c r="AS284" i="1"/>
  <c r="AO347" i="1"/>
  <c r="AO348" i="1" s="1"/>
  <c r="AO316" i="1"/>
  <c r="AO319" i="1"/>
  <c r="AO322" i="1"/>
  <c r="AO325" i="1"/>
  <c r="AO328" i="1"/>
  <c r="AO331" i="1"/>
  <c r="AO321" i="1"/>
  <c r="AO327" i="1"/>
  <c r="AO341" i="1"/>
  <c r="AO342" i="1" s="1"/>
  <c r="AO345" i="1"/>
  <c r="AO346" i="1" s="1"/>
  <c r="AO349" i="1"/>
  <c r="AO317" i="1"/>
  <c r="AO320" i="1"/>
  <c r="AO323" i="1"/>
  <c r="AO326" i="1"/>
  <c r="AO329" i="1"/>
  <c r="AO332" i="1"/>
  <c r="AO330" i="1"/>
  <c r="AO324" i="1"/>
  <c r="AO333" i="1"/>
  <c r="AO339" i="1"/>
  <c r="AO343" i="1"/>
  <c r="AO344" i="1" s="1"/>
  <c r="AO318" i="1"/>
  <c r="AV322" i="1"/>
  <c r="AV324" i="1"/>
  <c r="AV328" i="1"/>
  <c r="AV326" i="1"/>
  <c r="AV316" i="1"/>
  <c r="AV318" i="1"/>
  <c r="BA284" i="1"/>
  <c r="D280" i="1" s="1"/>
  <c r="AV285" i="1"/>
  <c r="AQ289" i="1"/>
  <c r="AV319" i="1"/>
  <c r="AI309" i="1"/>
  <c r="AN308" i="1"/>
  <c r="AJ309" i="1"/>
  <c r="AO308" i="1"/>
  <c r="AV349" i="1"/>
  <c r="AP285" i="1"/>
  <c r="AP298" i="1"/>
  <c r="AP288" i="1"/>
  <c r="AP292" i="1"/>
  <c r="AV323" i="1"/>
  <c r="AV332" i="1"/>
  <c r="AV327" i="1"/>
  <c r="AV321" i="1"/>
  <c r="AV343" i="1"/>
  <c r="AV344" i="1" s="1"/>
  <c r="AO285" i="1"/>
  <c r="AO298" i="1"/>
  <c r="AO288" i="1"/>
  <c r="AO292" i="1"/>
  <c r="AK309" i="1"/>
  <c r="AP308" i="1"/>
  <c r="AM285" i="1"/>
  <c r="AM298" i="1"/>
  <c r="AM288" i="1"/>
  <c r="AM292" i="1"/>
  <c r="AV325" i="1"/>
  <c r="AV347" i="1"/>
  <c r="AV348" i="1" s="1"/>
  <c r="AV329" i="1"/>
  <c r="AV317" i="1"/>
  <c r="AV345" i="1"/>
  <c r="AV346" i="1" s="1"/>
  <c r="AV292" i="1"/>
  <c r="AV341" i="1"/>
  <c r="AV342" i="1" s="1"/>
  <c r="AV330" i="1"/>
  <c r="AV333" i="1"/>
  <c r="AV339" i="1"/>
  <c r="AV288" i="1"/>
  <c r="AV290" i="1" s="1"/>
  <c r="AN285" i="1"/>
  <c r="AN298" i="1"/>
  <c r="AN288" i="1"/>
  <c r="AN292" i="1"/>
  <c r="AV331" i="1"/>
  <c r="AK334" i="1"/>
  <c r="AQ334" i="1"/>
  <c r="AQ351" i="1"/>
  <c r="AQ335" i="1"/>
  <c r="AQ352" i="1"/>
  <c r="AI290" i="1"/>
  <c r="AI289" i="1"/>
  <c r="AJ290" i="1"/>
  <c r="AJ289" i="1"/>
  <c r="AJ334" i="1"/>
  <c r="AK335" i="1"/>
  <c r="AI335" i="1"/>
  <c r="AI340" i="1"/>
  <c r="AI352" i="1" s="1"/>
  <c r="AI351" i="1"/>
  <c r="AK340" i="1"/>
  <c r="AK352" i="1" s="1"/>
  <c r="AK351" i="1"/>
  <c r="AK290" i="1"/>
  <c r="AK289" i="1"/>
  <c r="AJ340" i="1"/>
  <c r="AJ352" i="1" s="1"/>
  <c r="AJ351" i="1"/>
  <c r="AI334" i="1"/>
  <c r="AJ335" i="1"/>
  <c r="BD308" i="1"/>
  <c r="BC309" i="1"/>
  <c r="AC286" i="1"/>
  <c r="AC287" i="1" s="1"/>
  <c r="AB286" i="1"/>
  <c r="AB287" i="1" s="1"/>
  <c r="AA286" i="1"/>
  <c r="AA287" i="1" s="1"/>
  <c r="AV307" i="1"/>
  <c r="AV309" i="1"/>
  <c r="AV302" i="1"/>
  <c r="AV301" i="1"/>
  <c r="AV300" i="1"/>
  <c r="AV303" i="1"/>
  <c r="AV306" i="1"/>
  <c r="AW294" i="1" l="1"/>
  <c r="BA322" i="1"/>
  <c r="BA339" i="1"/>
  <c r="BA317" i="1"/>
  <c r="BA345" i="1"/>
  <c r="BA346" i="1" s="1"/>
  <c r="BA343" i="1"/>
  <c r="BA344" i="1" s="1"/>
  <c r="BA328" i="1"/>
  <c r="BA288" i="1"/>
  <c r="BA290" i="1" s="1"/>
  <c r="AW296" i="1"/>
  <c r="AX284" i="1"/>
  <c r="AY284" i="1"/>
  <c r="AZ284" i="1"/>
  <c r="AW284" i="1"/>
  <c r="BA325" i="1"/>
  <c r="BA332" i="1"/>
  <c r="BA327" i="1"/>
  <c r="BA330" i="1"/>
  <c r="BA341" i="1"/>
  <c r="BA342" i="1" s="1"/>
  <c r="AM334" i="1"/>
  <c r="AM335" i="1"/>
  <c r="BA326" i="1"/>
  <c r="BA323" i="1"/>
  <c r="BA329" i="1"/>
  <c r="BA292" i="1"/>
  <c r="BA331" i="1"/>
  <c r="BA321" i="1"/>
  <c r="BA333" i="1"/>
  <c r="BA318" i="1"/>
  <c r="BA316" i="1"/>
  <c r="BA349" i="1"/>
  <c r="BA298" i="1"/>
  <c r="BA285" i="1"/>
  <c r="BA347" i="1"/>
  <c r="BA348" i="1" s="1"/>
  <c r="AR294" i="1"/>
  <c r="AO309" i="1"/>
  <c r="AT308" i="1"/>
  <c r="AN309" i="1"/>
  <c r="AS308" i="1"/>
  <c r="AO334" i="1"/>
  <c r="AS339" i="1"/>
  <c r="AS343" i="1"/>
  <c r="AS344" i="1" s="1"/>
  <c r="AS318" i="1"/>
  <c r="AS321" i="1"/>
  <c r="AS324" i="1"/>
  <c r="AS327" i="1"/>
  <c r="AS330" i="1"/>
  <c r="AS333" i="1"/>
  <c r="AS347" i="1"/>
  <c r="AS348" i="1" s="1"/>
  <c r="AS316" i="1"/>
  <c r="AS319" i="1"/>
  <c r="AS322" i="1"/>
  <c r="AS325" i="1"/>
  <c r="AS328" i="1"/>
  <c r="AS331" i="1"/>
  <c r="AS285" i="1"/>
  <c r="AS298" i="1"/>
  <c r="AS341" i="1"/>
  <c r="AS342" i="1" s="1"/>
  <c r="AS345" i="1"/>
  <c r="AS346" i="1" s="1"/>
  <c r="AS349" i="1"/>
  <c r="AS317" i="1"/>
  <c r="AS320" i="1"/>
  <c r="AS323" i="1"/>
  <c r="AS326" i="1"/>
  <c r="AS329" i="1"/>
  <c r="AS332" i="1"/>
  <c r="AS288" i="1"/>
  <c r="AS292" i="1"/>
  <c r="AP335" i="1"/>
  <c r="AU292" i="1"/>
  <c r="AU339" i="1"/>
  <c r="AU343" i="1"/>
  <c r="AU344" i="1" s="1"/>
  <c r="AU318" i="1"/>
  <c r="AU321" i="1"/>
  <c r="AU324" i="1"/>
  <c r="AU327" i="1"/>
  <c r="AU330" i="1"/>
  <c r="AU333" i="1"/>
  <c r="AU347" i="1"/>
  <c r="AU348" i="1" s="1"/>
  <c r="AU316" i="1"/>
  <c r="AU319" i="1"/>
  <c r="AU322" i="1"/>
  <c r="AU325" i="1"/>
  <c r="AU328" i="1"/>
  <c r="AU331" i="1"/>
  <c r="AU285" i="1"/>
  <c r="AU298" i="1"/>
  <c r="AU341" i="1"/>
  <c r="AU342" i="1" s="1"/>
  <c r="AU345" i="1"/>
  <c r="AU346" i="1" s="1"/>
  <c r="AU349" i="1"/>
  <c r="AU317" i="1"/>
  <c r="AU320" i="1"/>
  <c r="AU323" i="1"/>
  <c r="AU326" i="1"/>
  <c r="AU329" i="1"/>
  <c r="AU332" i="1"/>
  <c r="AU288" i="1"/>
  <c r="AN351" i="1"/>
  <c r="AN340" i="1"/>
  <c r="AN352" i="1" s="1"/>
  <c r="AO340" i="1"/>
  <c r="AO352" i="1" s="1"/>
  <c r="AO351" i="1"/>
  <c r="AP340" i="1"/>
  <c r="AP352" i="1" s="1"/>
  <c r="AP351" i="1"/>
  <c r="AR339" i="1"/>
  <c r="AR343" i="1"/>
  <c r="AR344" i="1" s="1"/>
  <c r="AR318" i="1"/>
  <c r="AR321" i="1"/>
  <c r="AR324" i="1"/>
  <c r="AR327" i="1"/>
  <c r="AR330" i="1"/>
  <c r="AR333" i="1"/>
  <c r="AR347" i="1"/>
  <c r="AR348" i="1" s="1"/>
  <c r="AR316" i="1"/>
  <c r="AR319" i="1"/>
  <c r="AR322" i="1"/>
  <c r="AR325" i="1"/>
  <c r="AR328" i="1"/>
  <c r="AR331" i="1"/>
  <c r="AR285" i="1"/>
  <c r="AR298" i="1"/>
  <c r="AR341" i="1"/>
  <c r="AR342" i="1" s="1"/>
  <c r="AR345" i="1"/>
  <c r="AR346" i="1" s="1"/>
  <c r="AR349" i="1"/>
  <c r="AR317" i="1"/>
  <c r="AR320" i="1"/>
  <c r="AR323" i="1"/>
  <c r="AR326" i="1"/>
  <c r="AR329" i="1"/>
  <c r="AR332" i="1"/>
  <c r="AR288" i="1"/>
  <c r="AR292" i="1"/>
  <c r="AR293" i="1" s="1"/>
  <c r="AM351" i="1"/>
  <c r="AM340" i="1"/>
  <c r="AM352" i="1" s="1"/>
  <c r="AP334" i="1"/>
  <c r="AT323" i="1"/>
  <c r="AT288" i="1"/>
  <c r="AT329" i="1"/>
  <c r="AT339" i="1"/>
  <c r="AT343" i="1"/>
  <c r="AT344" i="1" s="1"/>
  <c r="AT318" i="1"/>
  <c r="AT321" i="1"/>
  <c r="AT324" i="1"/>
  <c r="AT327" i="1"/>
  <c r="AT330" i="1"/>
  <c r="AT333" i="1"/>
  <c r="AT345" i="1"/>
  <c r="AT346" i="1" s="1"/>
  <c r="AT317" i="1"/>
  <c r="AT320" i="1"/>
  <c r="AT326" i="1"/>
  <c r="AT347" i="1"/>
  <c r="AT348" i="1" s="1"/>
  <c r="AT316" i="1"/>
  <c r="AT319" i="1"/>
  <c r="AT322" i="1"/>
  <c r="AT325" i="1"/>
  <c r="AT328" i="1"/>
  <c r="AT331" i="1"/>
  <c r="AT285" i="1"/>
  <c r="AT341" i="1"/>
  <c r="AT342" i="1" s="1"/>
  <c r="AT298" i="1"/>
  <c r="AT332" i="1"/>
  <c r="AT292" i="1"/>
  <c r="AT349" i="1"/>
  <c r="AN335" i="1"/>
  <c r="AV351" i="1"/>
  <c r="AO335" i="1"/>
  <c r="AN334" i="1"/>
  <c r="AP309" i="1"/>
  <c r="AR299" i="1" s="1"/>
  <c r="AU308" i="1"/>
  <c r="BA324" i="1"/>
  <c r="BB284" i="1"/>
  <c r="BB322" i="1" s="1"/>
  <c r="AV334" i="1"/>
  <c r="BA320" i="1"/>
  <c r="BA319" i="1"/>
  <c r="AV289" i="1"/>
  <c r="AN293" i="1"/>
  <c r="AV335" i="1"/>
  <c r="AO290" i="1"/>
  <c r="AO291" i="1" s="1"/>
  <c r="AO289" i="1"/>
  <c r="AN290" i="1"/>
  <c r="AN289" i="1"/>
  <c r="AP289" i="1"/>
  <c r="AP290" i="1"/>
  <c r="AV340" i="1"/>
  <c r="AV352" i="1" s="1"/>
  <c r="AI293" i="1"/>
  <c r="AM299" i="1"/>
  <c r="AN296" i="1"/>
  <c r="AN297" i="1" s="1"/>
  <c r="AN299" i="1"/>
  <c r="AN294" i="1"/>
  <c r="AP299" i="1"/>
  <c r="AM296" i="1"/>
  <c r="AM297" i="1" s="1"/>
  <c r="AM293" i="1"/>
  <c r="AM290" i="1"/>
  <c r="AM291" i="1" s="1"/>
  <c r="AM289" i="1"/>
  <c r="AJ294" i="1"/>
  <c r="AI294" i="1"/>
  <c r="AJ296" i="1"/>
  <c r="AJ297" i="1" s="1"/>
  <c r="AI296" i="1"/>
  <c r="AI297" i="1" s="1"/>
  <c r="AK294" i="1"/>
  <c r="AK296" i="1"/>
  <c r="AK297" i="1" s="1"/>
  <c r="AJ291" i="1"/>
  <c r="AI291" i="1"/>
  <c r="AK291" i="1"/>
  <c r="AJ293" i="1"/>
  <c r="AK293" i="1"/>
  <c r="BE308" i="1"/>
  <c r="BD309" i="1"/>
  <c r="BB347" i="1"/>
  <c r="BB348" i="1" s="1"/>
  <c r="BB345" i="1"/>
  <c r="BB346" i="1" s="1"/>
  <c r="BA307" i="1"/>
  <c r="AO296" i="1" s="1"/>
  <c r="AO297" i="1" s="1"/>
  <c r="BA309" i="1"/>
  <c r="BA303" i="1"/>
  <c r="BA300" i="1"/>
  <c r="BA306" i="1"/>
  <c r="BA301" i="1"/>
  <c r="BA302" i="1"/>
  <c r="BA340" i="1"/>
  <c r="BA289" i="1" l="1"/>
  <c r="BA352" i="1"/>
  <c r="BB298" i="1"/>
  <c r="BB319" i="1"/>
  <c r="BB317" i="1"/>
  <c r="BB285" i="1"/>
  <c r="AS309" i="1"/>
  <c r="AT293" i="1" s="1"/>
  <c r="AX308" i="1"/>
  <c r="AX309" i="1" s="1"/>
  <c r="AT309" i="1"/>
  <c r="AU293" i="1" s="1"/>
  <c r="AY308" i="1"/>
  <c r="AY309" i="1" s="1"/>
  <c r="AU309" i="1"/>
  <c r="AZ308" i="1"/>
  <c r="AZ309" i="1" s="1"/>
  <c r="BA293" i="1" s="1"/>
  <c r="AW339" i="1"/>
  <c r="AW343" i="1"/>
  <c r="AW344" i="1" s="1"/>
  <c r="AW347" i="1"/>
  <c r="AW348" i="1" s="1"/>
  <c r="AW285" i="1"/>
  <c r="AW341" i="1"/>
  <c r="AW342" i="1" s="1"/>
  <c r="AW298" i="1"/>
  <c r="AW345" i="1"/>
  <c r="AW346" i="1" s="1"/>
  <c r="AW349" i="1"/>
  <c r="AW288" i="1"/>
  <c r="AW292" i="1"/>
  <c r="AW293" i="1" s="1"/>
  <c r="AW319" i="1"/>
  <c r="AW318" i="1"/>
  <c r="AW321" i="1"/>
  <c r="AW324" i="1"/>
  <c r="AW329" i="1"/>
  <c r="AW316" i="1"/>
  <c r="AW332" i="1"/>
  <c r="AW317" i="1"/>
  <c r="AW333" i="1"/>
  <c r="AW326" i="1"/>
  <c r="AW328" i="1"/>
  <c r="AW331" i="1"/>
  <c r="AW322" i="1"/>
  <c r="AW325" i="1"/>
  <c r="AW320" i="1"/>
  <c r="AW327" i="1"/>
  <c r="AW330" i="1"/>
  <c r="AW323" i="1"/>
  <c r="AZ345" i="1"/>
  <c r="AZ346" i="1" s="1"/>
  <c r="AZ339" i="1"/>
  <c r="AZ343" i="1"/>
  <c r="AZ344" i="1" s="1"/>
  <c r="AZ298" i="1"/>
  <c r="AZ288" i="1"/>
  <c r="AZ347" i="1"/>
  <c r="AZ348" i="1" s="1"/>
  <c r="AZ285" i="1"/>
  <c r="AZ349" i="1"/>
  <c r="AZ292" i="1"/>
  <c r="AZ341" i="1"/>
  <c r="AZ342" i="1" s="1"/>
  <c r="AZ319" i="1"/>
  <c r="AZ318" i="1"/>
  <c r="AZ333" i="1"/>
  <c r="AZ325" i="1"/>
  <c r="AZ331" i="1"/>
  <c r="AZ328" i="1"/>
  <c r="AZ323" i="1"/>
  <c r="AZ332" i="1"/>
  <c r="AZ327" i="1"/>
  <c r="AZ316" i="1"/>
  <c r="AZ329" i="1"/>
  <c r="AZ330" i="1"/>
  <c r="AZ321" i="1"/>
  <c r="AZ326" i="1"/>
  <c r="AZ317" i="1"/>
  <c r="AZ324" i="1"/>
  <c r="AZ322" i="1"/>
  <c r="AZ320" i="1"/>
  <c r="AY292" i="1"/>
  <c r="AY339" i="1"/>
  <c r="AY343" i="1"/>
  <c r="AY344" i="1" s="1"/>
  <c r="AY349" i="1"/>
  <c r="AY347" i="1"/>
  <c r="AY348" i="1" s="1"/>
  <c r="AY285" i="1"/>
  <c r="AY288" i="1"/>
  <c r="AY298" i="1"/>
  <c r="AY341" i="1"/>
  <c r="AY342" i="1" s="1"/>
  <c r="AY345" i="1"/>
  <c r="AY346" i="1" s="1"/>
  <c r="AY319" i="1"/>
  <c r="AY318" i="1"/>
  <c r="AY328" i="1"/>
  <c r="AY320" i="1"/>
  <c r="AY333" i="1"/>
  <c r="AY323" i="1"/>
  <c r="AY329" i="1"/>
  <c r="AY316" i="1"/>
  <c r="AY330" i="1"/>
  <c r="AY322" i="1"/>
  <c r="AY332" i="1"/>
  <c r="AY327" i="1"/>
  <c r="AY331" i="1"/>
  <c r="AY321" i="1"/>
  <c r="AY324" i="1"/>
  <c r="AY326" i="1"/>
  <c r="AY317" i="1"/>
  <c r="AY325" i="1"/>
  <c r="AX339" i="1"/>
  <c r="AX343" i="1"/>
  <c r="AX344" i="1" s="1"/>
  <c r="AX347" i="1"/>
  <c r="AX348" i="1" s="1"/>
  <c r="AX285" i="1"/>
  <c r="AX292" i="1"/>
  <c r="AX293" i="1" s="1"/>
  <c r="AX298" i="1"/>
  <c r="AX349" i="1"/>
  <c r="AX288" i="1"/>
  <c r="AX345" i="1"/>
  <c r="AX346" i="1" s="1"/>
  <c r="AX341" i="1"/>
  <c r="AX342" i="1" s="1"/>
  <c r="AX318" i="1"/>
  <c r="AX319" i="1"/>
  <c r="AX320" i="1"/>
  <c r="AX323" i="1"/>
  <c r="AX325" i="1"/>
  <c r="AX327" i="1"/>
  <c r="AX330" i="1"/>
  <c r="AX332" i="1"/>
  <c r="AX329" i="1"/>
  <c r="AX321" i="1"/>
  <c r="AX316" i="1"/>
  <c r="AX324" i="1"/>
  <c r="AX326" i="1"/>
  <c r="AX331" i="1"/>
  <c r="AX317" i="1"/>
  <c r="AX322" i="1"/>
  <c r="AX333" i="1"/>
  <c r="AX328" i="1"/>
  <c r="BB320" i="1"/>
  <c r="BB318" i="1"/>
  <c r="BA335" i="1"/>
  <c r="AM294" i="1"/>
  <c r="AM295" i="1" s="1"/>
  <c r="AM286" i="1" s="1"/>
  <c r="AM287" i="1" s="1"/>
  <c r="AP294" i="1"/>
  <c r="AR296" i="1"/>
  <c r="AR297" i="1" s="1"/>
  <c r="AR295" i="1" s="1"/>
  <c r="AR286" i="1" s="1"/>
  <c r="AR287" i="1" s="1"/>
  <c r="AS293" i="1"/>
  <c r="AS294" i="1"/>
  <c r="AS299" i="1"/>
  <c r="AS296" i="1"/>
  <c r="AS297" i="1" s="1"/>
  <c r="AO293" i="1"/>
  <c r="AO299" i="1"/>
  <c r="AN291" i="1"/>
  <c r="BA334" i="1"/>
  <c r="AP293" i="1"/>
  <c r="BA351" i="1"/>
  <c r="AP296" i="1"/>
  <c r="AP297" i="1" s="1"/>
  <c r="AO294" i="1"/>
  <c r="AO295" i="1" s="1"/>
  <c r="AO286" i="1" s="1"/>
  <c r="AO287" i="1" s="1"/>
  <c r="AP291" i="1"/>
  <c r="AT334" i="1"/>
  <c r="BB292" i="1"/>
  <c r="BB293" i="1" s="1"/>
  <c r="BB349" i="1"/>
  <c r="BB316" i="1"/>
  <c r="AT351" i="1"/>
  <c r="AT340" i="1"/>
  <c r="AT352" i="1" s="1"/>
  <c r="BC284" i="1"/>
  <c r="BC333" i="1" s="1"/>
  <c r="BB339" i="1"/>
  <c r="BB340" i="1" s="1"/>
  <c r="BB343" i="1"/>
  <c r="BB344" i="1" s="1"/>
  <c r="AT289" i="1"/>
  <c r="AT290" i="1"/>
  <c r="AT291" i="1" s="1"/>
  <c r="AS289" i="1"/>
  <c r="AS290" i="1"/>
  <c r="AS291" i="1" s="1"/>
  <c r="AS334" i="1"/>
  <c r="BB333" i="1"/>
  <c r="BB341" i="1"/>
  <c r="BB342" i="1" s="1"/>
  <c r="BB288" i="1"/>
  <c r="BB290" i="1" s="1"/>
  <c r="BB291" i="1" s="1"/>
  <c r="AR351" i="1"/>
  <c r="AR340" i="1"/>
  <c r="AR352" i="1" s="1"/>
  <c r="AS351" i="1"/>
  <c r="AS340" i="1"/>
  <c r="AS352" i="1" s="1"/>
  <c r="AS335" i="1"/>
  <c r="BB330" i="1"/>
  <c r="AU335" i="1"/>
  <c r="BB331" i="1"/>
  <c r="BB329" i="1"/>
  <c r="BB328" i="1"/>
  <c r="AU289" i="1"/>
  <c r="AU290" i="1"/>
  <c r="AU334" i="1"/>
  <c r="BB332" i="1"/>
  <c r="BB327" i="1"/>
  <c r="BB325" i="1"/>
  <c r="BB326" i="1"/>
  <c r="AR335" i="1"/>
  <c r="AU351" i="1"/>
  <c r="AU340" i="1"/>
  <c r="AU352" i="1" s="1"/>
  <c r="BB323" i="1"/>
  <c r="BB324" i="1"/>
  <c r="BB321" i="1"/>
  <c r="AT335" i="1"/>
  <c r="AR289" i="1"/>
  <c r="AR290" i="1"/>
  <c r="AR291" i="1" s="1"/>
  <c r="AR334" i="1"/>
  <c r="AN295" i="1"/>
  <c r="AN286" i="1" s="1"/>
  <c r="AN287" i="1" s="1"/>
  <c r="AK295" i="1"/>
  <c r="AK286" i="1" s="1"/>
  <c r="AK287" i="1" s="1"/>
  <c r="AI295" i="1"/>
  <c r="AI286" i="1" s="1"/>
  <c r="AI287" i="1" s="1"/>
  <c r="AJ295" i="1"/>
  <c r="AJ286" i="1" s="1"/>
  <c r="AJ287" i="1" s="1"/>
  <c r="AH294" i="1"/>
  <c r="AL294" i="1"/>
  <c r="BF308" i="1"/>
  <c r="BF309" i="1" s="1"/>
  <c r="BE309" i="1"/>
  <c r="AF296" i="1"/>
  <c r="AF297" i="1" s="1"/>
  <c r="AF293" i="1"/>
  <c r="AF291" i="1"/>
  <c r="AH293" i="1"/>
  <c r="AL293" i="1"/>
  <c r="AQ293" i="1"/>
  <c r="AG293" i="1"/>
  <c r="AQ291" i="1"/>
  <c r="AG294" i="1"/>
  <c r="AG291" i="1"/>
  <c r="AG296" i="1"/>
  <c r="AG297" i="1" s="1"/>
  <c r="AF294" i="1"/>
  <c r="BB299" i="1"/>
  <c r="AH291" i="1"/>
  <c r="AL291" i="1"/>
  <c r="AH296" i="1"/>
  <c r="AH297" i="1" s="1"/>
  <c r="AL299" i="1"/>
  <c r="BD294" i="1"/>
  <c r="BE294" i="1"/>
  <c r="BE296" i="1"/>
  <c r="BE297" i="1" s="1"/>
  <c r="BB296" i="1"/>
  <c r="BB297" i="1" s="1"/>
  <c r="BC299" i="1"/>
  <c r="BE299" i="1"/>
  <c r="BD299" i="1"/>
  <c r="BD296" i="1"/>
  <c r="BD297" i="1" s="1"/>
  <c r="BB294" i="1"/>
  <c r="BC296" i="1"/>
  <c r="BC297" i="1" s="1"/>
  <c r="BC294" i="1"/>
  <c r="AD294" i="1"/>
  <c r="AD295" i="1" s="1"/>
  <c r="AQ299" i="1"/>
  <c r="BG307" i="1"/>
  <c r="BG309" i="1"/>
  <c r="BG294" i="1" s="1"/>
  <c r="BG303" i="1"/>
  <c r="BG300" i="1"/>
  <c r="BG306" i="1"/>
  <c r="BH283" i="1"/>
  <c r="BG302" i="1"/>
  <c r="BG301" i="1"/>
  <c r="AX299" i="1" l="1"/>
  <c r="AX297" i="1"/>
  <c r="AX295" i="1" s="1"/>
  <c r="AX286" i="1" s="1"/>
  <c r="AX287" i="1" s="1"/>
  <c r="AV291" i="1"/>
  <c r="AW299" i="1"/>
  <c r="AW297" i="1"/>
  <c r="AW295" i="1" s="1"/>
  <c r="AW286" i="1" s="1"/>
  <c r="AW287" i="1" s="1"/>
  <c r="BC285" i="1"/>
  <c r="BC325" i="1"/>
  <c r="AT294" i="1"/>
  <c r="AT299" i="1"/>
  <c r="AT296" i="1"/>
  <c r="AT297" i="1" s="1"/>
  <c r="AT295" i="1" s="1"/>
  <c r="AT286" i="1" s="1"/>
  <c r="AU296" i="1"/>
  <c r="AU297" i="1" s="1"/>
  <c r="AU299" i="1"/>
  <c r="AU294" i="1"/>
  <c r="AY293" i="1"/>
  <c r="BA294" i="1"/>
  <c r="AP295" i="1"/>
  <c r="AP286" i="1" s="1"/>
  <c r="AP287" i="1" s="1"/>
  <c r="BA299" i="1"/>
  <c r="BA291" i="1"/>
  <c r="AU291" i="1"/>
  <c r="AV293" i="1"/>
  <c r="BC330" i="1"/>
  <c r="BC328" i="1"/>
  <c r="BC324" i="1"/>
  <c r="BC331" i="1"/>
  <c r="BC329" i="1"/>
  <c r="AZ293" i="1"/>
  <c r="AW334" i="1"/>
  <c r="AV299" i="1"/>
  <c r="AY289" i="1"/>
  <c r="AY290" i="1"/>
  <c r="AY291" i="1" s="1"/>
  <c r="AY334" i="1"/>
  <c r="AX335" i="1"/>
  <c r="AX351" i="1"/>
  <c r="AX340" i="1"/>
  <c r="AX352" i="1" s="1"/>
  <c r="AZ334" i="1"/>
  <c r="AY335" i="1"/>
  <c r="AW351" i="1"/>
  <c r="AW340" i="1"/>
  <c r="AW352" i="1" s="1"/>
  <c r="AY351" i="1"/>
  <c r="AY340" i="1"/>
  <c r="AY352" i="1" s="1"/>
  <c r="AZ289" i="1"/>
  <c r="AZ290" i="1"/>
  <c r="AZ291" i="1" s="1"/>
  <c r="AX289" i="1"/>
  <c r="AX290" i="1"/>
  <c r="AX291" i="1" s="1"/>
  <c r="AZ296" i="1"/>
  <c r="AZ297" i="1" s="1"/>
  <c r="AZ294" i="1"/>
  <c r="AZ299" i="1"/>
  <c r="AW290" i="1"/>
  <c r="AW291" i="1" s="1"/>
  <c r="AW289" i="1"/>
  <c r="AZ351" i="1"/>
  <c r="AZ340" i="1"/>
  <c r="AZ352" i="1" s="1"/>
  <c r="AY296" i="1"/>
  <c r="AY297" i="1" s="1"/>
  <c r="AY294" i="1"/>
  <c r="AY299" i="1"/>
  <c r="BB334" i="1"/>
  <c r="AX334" i="1"/>
  <c r="AZ335" i="1"/>
  <c r="AW335" i="1"/>
  <c r="BB335" i="1"/>
  <c r="AS295" i="1"/>
  <c r="AS286" i="1" s="1"/>
  <c r="AS287" i="1" s="1"/>
  <c r="BB289" i="1"/>
  <c r="BC326" i="1"/>
  <c r="BC327" i="1"/>
  <c r="BC322" i="1"/>
  <c r="BC323" i="1"/>
  <c r="BB351" i="1"/>
  <c r="BC319" i="1"/>
  <c r="BB352" i="1"/>
  <c r="BC316" i="1"/>
  <c r="BC317" i="1"/>
  <c r="BC318" i="1"/>
  <c r="BC345" i="1"/>
  <c r="BC346" i="1" s="1"/>
  <c r="BC347" i="1"/>
  <c r="BC348" i="1" s="1"/>
  <c r="BC349" i="1"/>
  <c r="BC321" i="1"/>
  <c r="BD284" i="1"/>
  <c r="BD331" i="1" s="1"/>
  <c r="BC339" i="1"/>
  <c r="BC340" i="1" s="1"/>
  <c r="BC343" i="1"/>
  <c r="BC344" i="1" s="1"/>
  <c r="BC320" i="1"/>
  <c r="BC292" i="1"/>
  <c r="BC293" i="1" s="1"/>
  <c r="BC288" i="1"/>
  <c r="BC290" i="1" s="1"/>
  <c r="BC291" i="1" s="1"/>
  <c r="BC341" i="1"/>
  <c r="BC342" i="1" s="1"/>
  <c r="BC298" i="1"/>
  <c r="BC332" i="1"/>
  <c r="BF299" i="1"/>
  <c r="AG295" i="1"/>
  <c r="AG286" i="1" s="1"/>
  <c r="AG287" i="1" s="1"/>
  <c r="AF295" i="1"/>
  <c r="AF286" i="1" s="1"/>
  <c r="AF287" i="1" s="1"/>
  <c r="BE295" i="1"/>
  <c r="BD295" i="1"/>
  <c r="BF296" i="1"/>
  <c r="BF297" i="1" s="1"/>
  <c r="BG291" i="1"/>
  <c r="BB295" i="1"/>
  <c r="BB286" i="1" s="1"/>
  <c r="BB287" i="1" s="1"/>
  <c r="AD286" i="1"/>
  <c r="AD287" i="1" s="1"/>
  <c r="BC295" i="1"/>
  <c r="BA296" i="1"/>
  <c r="BA297" i="1" s="1"/>
  <c r="BA295" i="1" s="1"/>
  <c r="AQ294" i="1"/>
  <c r="BG299" i="1"/>
  <c r="AH295" i="1"/>
  <c r="AV296" i="1"/>
  <c r="AV297" i="1" s="1"/>
  <c r="AL296" i="1"/>
  <c r="AL297" i="1" s="1"/>
  <c r="AV294" i="1"/>
  <c r="AQ296" i="1"/>
  <c r="AQ297" i="1" s="1"/>
  <c r="BG293" i="1"/>
  <c r="BG296" i="1"/>
  <c r="BG297" i="1" s="1"/>
  <c r="BG295" i="1" s="1"/>
  <c r="BH307" i="1"/>
  <c r="BF294" i="1" s="1"/>
  <c r="BH306" i="1"/>
  <c r="BH309" i="1"/>
  <c r="AU295" i="1" l="1"/>
  <c r="AU286" i="1" s="1"/>
  <c r="AU287" i="1" s="1"/>
  <c r="AT287" i="1"/>
  <c r="AY295" i="1"/>
  <c r="AY286" i="1" s="1"/>
  <c r="AY287" i="1" s="1"/>
  <c r="BD318" i="1"/>
  <c r="BD322" i="1"/>
  <c r="BC335" i="1"/>
  <c r="AZ295" i="1"/>
  <c r="AZ286" i="1" s="1"/>
  <c r="AZ287" i="1" s="1"/>
  <c r="BD347" i="1"/>
  <c r="BD348" i="1" s="1"/>
  <c r="BD320" i="1"/>
  <c r="BD329" i="1"/>
  <c r="BD333" i="1"/>
  <c r="BD327" i="1"/>
  <c r="BD325" i="1"/>
  <c r="BD292" i="1"/>
  <c r="BD293" i="1" s="1"/>
  <c r="BD286" i="1" s="1"/>
  <c r="BD287" i="1" s="1"/>
  <c r="BD323" i="1"/>
  <c r="BC334" i="1"/>
  <c r="BC352" i="1"/>
  <c r="BC286" i="1"/>
  <c r="BC287" i="1" s="1"/>
  <c r="BD321" i="1"/>
  <c r="BD328" i="1"/>
  <c r="BD319" i="1"/>
  <c r="BD341" i="1"/>
  <c r="BD342" i="1" s="1"/>
  <c r="BD317" i="1"/>
  <c r="BD343" i="1"/>
  <c r="BD344" i="1" s="1"/>
  <c r="BD349" i="1"/>
  <c r="BE284" i="1"/>
  <c r="BE343" i="1" s="1"/>
  <c r="BE344" i="1" s="1"/>
  <c r="BD324" i="1"/>
  <c r="BD330" i="1"/>
  <c r="BD298" i="1"/>
  <c r="BD316" i="1"/>
  <c r="BC351" i="1"/>
  <c r="BD285" i="1"/>
  <c r="BD332" i="1"/>
  <c r="BD345" i="1"/>
  <c r="BD346" i="1" s="1"/>
  <c r="BC289" i="1"/>
  <c r="BD339" i="1"/>
  <c r="BD340" i="1" s="1"/>
  <c r="BD326" i="1"/>
  <c r="BH299" i="1"/>
  <c r="AE294" i="1"/>
  <c r="AE295" i="1" s="1"/>
  <c r="AE286" i="1" s="1"/>
  <c r="AE287" i="1" s="1"/>
  <c r="AV295" i="1"/>
  <c r="AV286" i="1" s="1"/>
  <c r="AV287" i="1" s="1"/>
  <c r="BG286" i="1"/>
  <c r="BG287" i="1" s="1"/>
  <c r="BF295" i="1"/>
  <c r="BD289" i="1"/>
  <c r="BD290" i="1"/>
  <c r="BD291" i="1" s="1"/>
  <c r="AH286" i="1"/>
  <c r="AH287" i="1" s="1"/>
  <c r="AQ295" i="1"/>
  <c r="AQ286" i="1" s="1"/>
  <c r="AQ287" i="1" s="1"/>
  <c r="AL295" i="1"/>
  <c r="AL286" i="1" s="1"/>
  <c r="AL287" i="1" s="1"/>
  <c r="BA286" i="1"/>
  <c r="BA287" i="1" s="1"/>
  <c r="BE328" i="1" l="1"/>
  <c r="BD335" i="1"/>
  <c r="BE326" i="1"/>
  <c r="BE321" i="1"/>
  <c r="BE324" i="1"/>
  <c r="BE323" i="1"/>
  <c r="BE319" i="1"/>
  <c r="BE317" i="1"/>
  <c r="BE318" i="1"/>
  <c r="BE339" i="1"/>
  <c r="BE340" i="1" s="1"/>
  <c r="BE349" i="1"/>
  <c r="BE292" i="1"/>
  <c r="BE293" i="1" s="1"/>
  <c r="BE286" i="1" s="1"/>
  <c r="BE287" i="1" s="1"/>
  <c r="BE285" i="1"/>
  <c r="BE333" i="1"/>
  <c r="BE331" i="1"/>
  <c r="BE341" i="1"/>
  <c r="BE342" i="1" s="1"/>
  <c r="BE329" i="1"/>
  <c r="BE322" i="1"/>
  <c r="BE320" i="1"/>
  <c r="BE345" i="1"/>
  <c r="BE346" i="1" s="1"/>
  <c r="BE347" i="1"/>
  <c r="BE348" i="1" s="1"/>
  <c r="BE332" i="1"/>
  <c r="BE327" i="1"/>
  <c r="BE330" i="1"/>
  <c r="BE325" i="1"/>
  <c r="BD334" i="1"/>
  <c r="BE298" i="1"/>
  <c r="BE316" i="1"/>
  <c r="BD352" i="1"/>
  <c r="BD351" i="1"/>
  <c r="BF341" i="1"/>
  <c r="BF342" i="1" s="1"/>
  <c r="BF339" i="1"/>
  <c r="BF345" i="1"/>
  <c r="BF346" i="1" s="1"/>
  <c r="BF349" i="1"/>
  <c r="BF317" i="1"/>
  <c r="BF319" i="1"/>
  <c r="BF321" i="1"/>
  <c r="BF323" i="1"/>
  <c r="BF325" i="1"/>
  <c r="BF327" i="1"/>
  <c r="BF329" i="1"/>
  <c r="BF331" i="1"/>
  <c r="BF333" i="1"/>
  <c r="BF343" i="1"/>
  <c r="BF344" i="1" s="1"/>
  <c r="BF347" i="1"/>
  <c r="BF348" i="1" s="1"/>
  <c r="BF316" i="1"/>
  <c r="BF318" i="1"/>
  <c r="BF320" i="1"/>
  <c r="BF322" i="1"/>
  <c r="BF324" i="1"/>
  <c r="BF326" i="1"/>
  <c r="BF328" i="1"/>
  <c r="BF330" i="1"/>
  <c r="BF332" i="1"/>
  <c r="BE290" i="1"/>
  <c r="BE291" i="1" s="1"/>
  <c r="BE289" i="1"/>
  <c r="BF298" i="1"/>
  <c r="BF285" i="1"/>
  <c r="BF292" i="1"/>
  <c r="BE335" i="1" l="1"/>
  <c r="BE334" i="1"/>
  <c r="BE352" i="1"/>
  <c r="BE351" i="1"/>
  <c r="BF293" i="1"/>
  <c r="BF286" i="1" s="1"/>
  <c r="BF287" i="1" s="1"/>
  <c r="BF334" i="1"/>
  <c r="BF335" i="1"/>
  <c r="BF289" i="1"/>
  <c r="BF290" i="1"/>
  <c r="BF291" i="1" s="1"/>
  <c r="BF340" i="1"/>
  <c r="BF352" i="1" s="1"/>
  <c r="BF351" i="1"/>
</calcChain>
</file>

<file path=xl/sharedStrings.xml><?xml version="1.0" encoding="utf-8"?>
<sst xmlns="http://schemas.openxmlformats.org/spreadsheetml/2006/main" count="764" uniqueCount="558">
  <si>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</si>
  <si>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</si>
  <si>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</si>
  <si>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</si>
  <si>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</si>
  <si>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</si>
  <si>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</si>
  <si>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</si>
  <si>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</si>
  <si>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</si>
  <si>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</si>
  <si>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</si>
  <si>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</si>
  <si>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</si>
  <si>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</si>
  <si>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</si>
  <si>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</si>
  <si>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</si>
  <si>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</si>
  <si>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</si>
  <si>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</si>
  <si>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</si>
  <si>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</si>
  <si>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</si>
  <si>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</si>
  <si>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</si>
  <si>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</si>
  <si>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</si>
  <si>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</si>
  <si>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</si>
  <si>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</si>
  <si>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</si>
  <si>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</si>
  <si>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</si>
  <si>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</si>
  <si>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</si>
  <si>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</si>
  <si>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</si>
  <si>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</si>
  <si>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</si>
  <si>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</si>
  <si>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</si>
  <si>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</si>
  <si>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</si>
  <si>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</si>
  <si>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</si>
  <si>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</si>
  <si>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</si>
  <si>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</si>
  <si>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</si>
  <si>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</si>
  <si>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</si>
  <si>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</si>
  <si>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</si>
  <si>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</si>
  <si>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</si>
  <si>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</si>
  <si>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</si>
  <si>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</si>
  <si>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</si>
  <si>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</si>
  <si>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</si>
  <si>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</si>
  <si>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</si>
  <si>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</si>
  <si>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</si>
  <si>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</si>
  <si>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</si>
  <si>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</si>
  <si>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</si>
  <si>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</si>
  <si>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</si>
  <si>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</si>
  <si>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</si>
  <si>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</si>
  <si>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</si>
  <si>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</si>
  <si>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</si>
  <si>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</si>
  <si>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</si>
  <si>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</si>
  <si>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</si>
  <si>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</si>
  <si>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</si>
  <si>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</si>
  <si>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</si>
  <si>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</si>
  <si>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</si>
  <si>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</si>
  <si>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</si>
  <si>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</si>
  <si>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</si>
  <si>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</si>
  <si>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</si>
  <si>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</si>
  <si>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</si>
  <si>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</si>
  <si>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</si>
  <si>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</si>
  <si>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</si>
  <si>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</si>
  <si>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</si>
  <si>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</si>
  <si>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</si>
  <si>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</si>
  <si>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</si>
  <si>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</si>
  <si>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</si>
  <si>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</si>
  <si>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</si>
  <si>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</si>
  <si>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</si>
  <si>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</si>
  <si>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</si>
  <si>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</si>
  <si>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</si>
  <si>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</si>
  <si>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</si>
  <si>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</si>
  <si>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</si>
  <si>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</si>
  <si>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</si>
  <si>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</si>
  <si>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</si>
  <si>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</si>
  <si>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</si>
  <si>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</si>
  <si>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</si>
  <si>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</si>
  <si>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</si>
  <si>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</si>
  <si>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</si>
  <si>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</si>
  <si>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</si>
  <si>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</si>
  <si>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</si>
  <si>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</si>
  <si>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</si>
  <si>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</si>
  <si>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</si>
  <si>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</si>
  <si>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</si>
  <si>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</si>
  <si>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</si>
  <si>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</si>
  <si>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</si>
  <si>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</si>
  <si>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</si>
  <si>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</si>
  <si>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</si>
  <si>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</si>
  <si>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</si>
  <si>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</si>
  <si>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</si>
  <si>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</si>
  <si>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</si>
  <si>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</si>
  <si>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</si>
  <si>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</si>
  <si>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</si>
  <si>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</si>
  <si>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</si>
  <si>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</si>
  <si>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</si>
  <si>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</si>
  <si>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</si>
  <si>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</si>
  <si>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</si>
  <si>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</si>
  <si>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</si>
  <si>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</si>
  <si>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Travel from the European Schengen Area blocked</t>
  </si>
  <si>
    <t>Canada travel restricted</t>
  </si>
  <si>
    <t>Mexico travel restricted</t>
  </si>
  <si>
    <t>UK and Ireland travel restricted</t>
  </si>
  <si>
    <t>Iran travel blocked</t>
  </si>
  <si>
    <t>State of Emergency declared by Trump</t>
  </si>
  <si>
    <t>Public Hospital Beds in US / 1,000</t>
  </si>
  <si>
    <t>ICU Beds in US / 100,000</t>
  </si>
  <si>
    <t>85+</t>
  </si>
  <si>
    <t>Age group</t>
  </si>
  <si>
    <t>Total (of population)</t>
  </si>
  <si>
    <t>Using Australian rates as testing more comprehensive and cultures are similar</t>
  </si>
  <si>
    <t>Rates as of 8/4/2020</t>
  </si>
  <si>
    <t>Undetected Cases</t>
  </si>
  <si>
    <t>Undetected</t>
  </si>
  <si>
    <t xml:space="preserve"> of total (assumed for US situation)</t>
  </si>
  <si>
    <t>Worst case numbers</t>
  </si>
  <si>
    <t>USA Population</t>
  </si>
  <si>
    <t>American CFR</t>
  </si>
  <si>
    <t>Actual Active Confirmed Infections</t>
  </si>
  <si>
    <t>CDC begins to issue travel advisory warnings to China</t>
  </si>
  <si>
    <t>CDC states that they will begin to screen travellers from Wuhan</t>
  </si>
  <si>
    <t>First US confirmed case in Washington state</t>
  </si>
  <si>
    <t>Trump states "totally under control. It's one person coming in from China, and we have it under control. It's going to be just fine."</t>
  </si>
  <si>
    <t>US coronavirus taskforce created</t>
  </si>
  <si>
    <t>In response to stockmarket falls, Trump tweets that the virus "is very much under control" and the stock market "starting to look very good to me!"</t>
  </si>
  <si>
    <t>Trump issues executive order - China travel restricted</t>
  </si>
  <si>
    <t>FDA eases testing guidelines</t>
  </si>
  <si>
    <t>House passes $8.3bn emerg bill, Trump incorrectly criticises Obama admin for not doing anything about Swine Flu on Fox News</t>
  </si>
  <si>
    <t>Trump asks "everyone to work from home, and limit social gatherings to no more than 10 people", also stating that he has "always known this is a real, this is a pandemic.  I've felt it was a pandemic long before it was called a pandemic."</t>
  </si>
  <si>
    <t>WHO declares coronavirus a pandemic</t>
  </si>
  <si>
    <t>Health Secretary, Alex Azar briefs Trump on the coronavirus threat, during which Trump spent much of the conversation talking about vaping</t>
  </si>
  <si>
    <t>Joe Grogan, head of WH domestic policy council, warns WH to take the virus seriously or it could cost the president his re-election</t>
  </si>
  <si>
    <t>Economic adivsor, Peter Navarro warns the NSC in a memo that the virus could kill half a million Americans and cause a $5.7tn hit to the economy</t>
  </si>
  <si>
    <t>Azar again warns Trump of the looming threat which Trump dismisses as "alarmist" and tweets "Only 5 people in US, all in good recovery"</t>
  </si>
  <si>
    <t>Jan - Feb</t>
  </si>
  <si>
    <t>US Intelligence agencies file classified reports warning about global destabilisation from the pending coronavirus pandemic</t>
  </si>
  <si>
    <t>WH coronavirus taskforce models pandemic response and concludes that aggressive social distancing is necessary</t>
  </si>
  <si>
    <t>Economics Advisor, Navarro warns that a Covid-19 pandemic could infect as many as 100m Americans with a loss of 1-2m lives</t>
  </si>
  <si>
    <t>Director of the Center for the National Center for Immunization and Respiratory Diseases, Nancy Messonnier says "Ultimately, we expect we will see community spread in this country" and "disruption to everyday life may be severe. But these are things that people need to start thinking about now."</t>
  </si>
  <si>
    <t>Trump while in India states "is very well under control in our country", complains to Azar that Messonnier is scaring the stock market, and tweets "doing a GREAT job of handling Coronavirus including the very early closing of our borders… It was opposed by the Dems..."</t>
  </si>
  <si>
    <t>Director of the National Economics Council, Larry Kudlow states "We have contained this, I won't say airtight, but it's pretty close to airtight"</t>
  </si>
  <si>
    <t>WH states US will have tested 1m people by that week, and then 4m tests per week, by 12/3 the CDC had only completed 4,000 tests</t>
  </si>
  <si>
    <t>Trump states "When people need a test, they can get a test. When the professionals need a test, when they need tests for people, they can get the test. It’s gone really well."</t>
  </si>
  <si>
    <t>Dr Anthony Fauci tells Congress that there is not sufficient testing or capacity to do so "That is a failing. Let's admit it."  Trump states that there are a "million tests out now.  If you go to the right agency, if you go to the right area, you get the test"</t>
  </si>
  <si>
    <t>Trump warns against those without symptoms being tested, "It's totally unecessary.  This will pass". He also states "We’ve been in discussions with pharmacies and retailers to make drive-through tests available in the critical locations identified by public health professionals" and announces a Google site under development but that was not correct.</t>
  </si>
  <si>
    <t>Trump states "I don't take responsibility at all"</t>
  </si>
  <si>
    <t>CDC begins screening arrivals of travellers from Wuhan at 3 airports</t>
  </si>
  <si>
    <t>Trump announces ban on travel from Europe, incorrectly suggesting also cargo would be subject to the ban and that health insurance providers to waive all co-pays for coronavirus treatment, the waiver only applied to the test, not the treatment</t>
  </si>
  <si>
    <t>Trump signs $2.2tn emergency spending bill</t>
  </si>
  <si>
    <t>Trump recommends people wear non-medical masks but states "I don't think I'm going to be doing it"</t>
  </si>
  <si>
    <t>Fauci states that masks could help limit spread, but would not provide the protection people hoped</t>
  </si>
  <si>
    <t>Trump pushes hydroxychloroquine again while Fauci states that the data is at best suggestive and can't definitely say it works</t>
  </si>
  <si>
    <t>Trump claims total authority over governors on opening back up, and retweets a tweet containing #FireFauci after Fauci admitted that if controls had been introduced earlier, more lives could have been saved</t>
  </si>
  <si>
    <t>WHO begins ongoing briefings to US and other national govts</t>
  </si>
  <si>
    <t>WHO distributes guidance to member states for their own risk assessments and planning</t>
  </si>
  <si>
    <t>Trump tweets "China has been working very hard to contain the coronavirus… The United States greatly appreciates their efforts and transparency"</t>
  </si>
  <si>
    <t>WHO team finally permitted to visit Wuhan after obstruction by the Chinese govt</t>
  </si>
  <si>
    <t>Early Feb</t>
  </si>
  <si>
    <t>WHO distributes a Covid-19 test worldwide, but CDC chose to not use this test but to develop their own which proved faulty, with the US not having any testing capability/capacity until the end of Feb with limited availability of testing kits</t>
  </si>
  <si>
    <t>WHO confirms human to human transmission and the global risk was high following a brief field visit to Wuhan</t>
  </si>
  <si>
    <t>Trump claims COVID-19 has gotten too brilliant for antibiotics to work against the virus, not understanding the difference between virus' and bacteria</t>
  </si>
  <si>
    <t>Chinese scientists publicly release the genetic sequence of Covid-19</t>
  </si>
  <si>
    <t>WHO declares a global health emergency while praising China for its efforts to contain the virus including its commitment to transparency and discouraging again the closing down of borders</t>
  </si>
  <si>
    <t>Trump at the CDC calls the pandemic "an unforeseen problem. What a problem, came out of nowhere." Stockmarkets begin to plunge in earnest</t>
  </si>
  <si>
    <t>Trump tweets "cure can't be worse than the problem itself" and states he would "love to have the country opened up, and just raring to go by Easter" and claimed that he instituted a travel ban against everyone’s wishes and that “nobody,” not even doctors, wanted him to restrict travel. But “probably tens of thousands” of people would be dead now if he hadn’t done so</t>
  </si>
  <si>
    <t>Biden tweets “We are in the midst of a crisis with the coronavirus. We need to lead the way with science — not Donald Trump’s record of hysteria, xenophobia, and fear-mongering. He is the worst possible person to lead our country through a global health emergency.”, which Trump then uses multiple times to claim that Biden had called him racist for stopping people arriving from China</t>
  </si>
  <si>
    <t>Biden states that the United States should not be overly dismissive of the outbreak, “but neither should we panic or fall back on xenophobia, labeling COVID-19 a foreign virus does not displace accountability for the misjudgments that have been taken thus far by the Trump administration.”</t>
  </si>
  <si>
    <t>Trump tweeted: “I always treated the Chinese Virus very seriously, and have done a very good job from the beginning, including my very early decision to close the ‘borders’ from China - against the wishes of almost all. Many lives were saved. The Fake News new narrative is disgraceful &amp; false!”. Biden replied the same day: “Stop the xenophobic fear-mongering. Be honest. Take responsibility. Do your job.”</t>
  </si>
  <si>
    <t>Azar declares a public health emergency</t>
  </si>
  <si>
    <t>Biden accuses Trump of xenophobia in dealing with the coronavirus pandemic at a rally</t>
  </si>
  <si>
    <t>Senate briefed by WH, expresses concern that WH not taking the threat seriously enough, while three Democrats at a House subcommittee questioned the travel restrictions with China</t>
  </si>
  <si>
    <t>Trump announces a "travel ban" on entry to the US from foreign nationals who recently visited China, which Trump claims he decided against advice of "experts", but Azar states it was based on a uniform recommendation from experts in his department.  Trump also claims he was the first country to do so, when some 38-45 countries had already done so.</t>
  </si>
  <si>
    <t>WHO fails to acknowledge Taiwan in a video call with a HK journalist, subsequently used as one of the reasons to justify accusation that WHO is too heavily influenced by China</t>
  </si>
  <si>
    <t>Trump retweets a post referring to the virus as the China Virus to justify the wall with Mexico, ramping up the racialisation of the epidemic</t>
  </si>
  <si>
    <t>Pompeo refers to the virus as the Wuhan Virus, ratcheting up the racialisation from the Republican party in relation to the pandemic</t>
  </si>
  <si>
    <t>When Trump was asked what he wanted state governors to do in their attemps to source medical supplies, Trump said "very simple: I want them to be appreciative" singling out 2 Democratic governors for not being appreciative enough of him and also saying "when they’re not appreciative to me, they’re not appreciative to the Army Corps, they’re not appreciative to FEMA, it’s not right," setting up a ongoing public dispute over aid provisioning to Michigan and Washington with the implication that Trump would not provide Federal assistance until they became more "appreciative" of him.  "If they don't treat you right, I don't call," echoing his approach with Ukraine that got him impeached, seeking praise before unlocking aid.</t>
  </si>
  <si>
    <t>Washington Post revealed a visit by US diplomatic officials to the Wuhan Institute of Virology in 2018 found lack of training and safety procedures in the lab and recommended that the US provide assistance to improve standards.  It is unclear if this was ever done.</t>
  </si>
  <si>
    <t>Trump cited the theory that the coronavirus was accidentally leaked from China's Wuhan Institute of Virology, despite overwhelming weight of scientific research pointing to it originally coming from animals, prompting responses from WHO and China and many science researchers and journals such as The Lancet</t>
  </si>
  <si>
    <t>Trump falsely states that he "inherited a broken test" for COVID-19 (COVID-19 is a new virus, not one that had occurred during previous presidencies), tells nation to prepare for hard days</t>
  </si>
  <si>
    <t>In response to protests and Fox News Trump further attacks Democratic governors tweeting: "LIBERATE MINNESOTA", "LIBERATE MICHIGAN", "LIBERATE VIRGINIA and save your great 2nd Amendment. It is under siege!". Trump stated "These are people expressing their views, I see where they are and I see the way they're working.  They seem to be very responsible people to me, but they've been treated a little bit rough"</t>
  </si>
  <si>
    <t>Trump tweets "Tell the Democrat Governors that “Mutiny On The Bounty” was one of my all time favorite movies. A good old fashioned mutiny every now and then is an exciting and invigorating thing to watch, especially when the mutineers need so much from the Captain. Too easy!".  Death threat to governors for not praising him?</t>
  </si>
  <si>
    <t>Zhao Lijian, a Chinese foreign ministry official tweets a conspiracy theory that Coronavirus originated in US soldiers visiting China in October, presumably a response to the racialisation of the virus by Republicans</t>
  </si>
  <si>
    <t>Trump announces halt to funding of WHO stating that the WHO had "failed in its basic duty and it must be held accountable", mainly based on WHO stating early Jan that China had not found human to human transmission at that point in time, after Taiwan had apparently told WHO otherwise.  There is no evidence that Taiwan had conveyed this information at that point in time.</t>
  </si>
  <si>
    <t>WHO raises first alert over Wuhan outbreak, WHO states that the information they have from China showed there was no evidence of significant human to human transmission</t>
  </si>
  <si>
    <t>Trump warned that Beijing would face consequences if it was "knowingly responsible" for the spread of Covid-19 but he didn’t say what sort of consequences he had in mind. Trump questioned whether it was a "mistake that got out of control" or a crisis that was started deliberately in China</t>
  </si>
  <si>
    <t>Dr Li dies from coronavirus</t>
  </si>
  <si>
    <t>In December, Dr Li was accused of spreading rumours by Chinese police and summoned to a government Public Security Bureau, where he was warned that he should not continue to make comments that "disturb the social order". "We solemnly warn you: If you keep being stubborn, with such impertinence, and continue this illegal activity, you will be brought to justice – is that understood?" an official letter given to the doctor said.</t>
  </si>
  <si>
    <t>Ophthalmologist Dr Li Wenliang notices some asymptomatic flu symptoms that are SARS like and asks other doctors on WeChat social media in a private message if they have noticed these cases as well and to be alert and protect themselves.  He is one of 8 whistleblowers who tried to send warnings to other medics in Dec.</t>
  </si>
  <si>
    <t>Dr Li admitted to intensive care</t>
  </si>
  <si>
    <t>Dr Li tests positive to coronavirus following being tested several times through January, he was diagnosed with the infection 1/2/2020</t>
  </si>
  <si>
    <t>Reports that China is investigating respiratory illness in Wuhan after Taiwan sent an alert to the WHO in Geneva and began quarantining arrivals from China.  When WHO forwarded the alert to China, the Chinese regime told the WHO there was no problem</t>
  </si>
  <si>
    <t>Dr Li contracts coronavirus</t>
  </si>
  <si>
    <t>New cases peaked 4/4</t>
  </si>
  <si>
    <t>US Dept of Health and Human Services (HHS) extended screening of international arrivals from China to 20 U.S. airports</t>
  </si>
  <si>
    <t>US and China sign phase one trade deal, potentially complicating Trump's following actions with respect to coronavirus and China</t>
  </si>
  <si>
    <t>Trump announces that VP Mike Pence to coordinate US govt response to the coronavirus outbreak, both men stating that the risk to American people remained very low</t>
  </si>
  <si>
    <t>Trump states "It's going to disappear, One day it's like a miracle, it will disappear", and that researchers were rapidly developing a vaccine</t>
  </si>
  <si>
    <t>WHO states that a vaccine for coronavirus would be available in 18 months</t>
  </si>
  <si>
    <t>Trump states that "anyone who wants a test can get one", but this was a false claim</t>
  </si>
  <si>
    <t>Trump promises a vaccine would be available soon "Now they have it, they have studied it, they know very much, in fact, we're very close to a vaccine", meanwhile Dr Fauci estimated that a vaccine would be at least 12 - 18 months away</t>
  </si>
  <si>
    <t>Trump proposes huge cuts to both the CDC and the National Institutes of Health</t>
  </si>
  <si>
    <t>Trump fires the govt's entire pandemic response chain of command, including the WH mgmt infrastructure</t>
  </si>
  <si>
    <t>Trump's 2018 budget requests a cut of $1.2 billion from the CDC</t>
  </si>
  <si>
    <t>Trump claims "You can call it a germ, you can call it a flu, you can call it a virus, you know you can call it many different names. I’m not sure anybody even knows what it is"</t>
  </si>
  <si>
    <t>Trump gets corrected in front of cameras in relation to vaccine timelines and asked whether the flu vaccine could be used to prevent the coronavirus</t>
  </si>
  <si>
    <t>Trump states "We have a very little problem in this country at this moment"</t>
  </si>
  <si>
    <t>Trump states "Now the virus that we’re talking about, a lot of people think that goes away in April, with the heat".  Robert Redfield, director of Centres of Disease Control and Prevention responded "It looks like this virus is probably with us beyond this season and beyond this year"</t>
  </si>
  <si>
    <t>Trump at a rally "The Democrats are politicizing the coronavirus.  This is their new hoax"</t>
  </si>
  <si>
    <t>Trump states that a vaccine would be available very quickly and very rapidly</t>
  </si>
  <si>
    <t>Trump at a press conference, "On average, you lose from 26,000 to 70,000 or so, and even some cases more, from the flu. We lose – we have deaths of that per year, and here, we’re talking about a much smaller range."</t>
  </si>
  <si>
    <t>Trump states "We pretty much shut it down coming in from China.  It's going to be fine."</t>
  </si>
  <si>
    <t>Trump "I like this stuff. I really get it. People are surprised that I understand it. Every one of these doctors said, 'How do you know so much about this?' Maybe I have a natural ability. Maybe I should have done that instead of running for president."</t>
  </si>
  <si>
    <t>Trump "I don't need to have the numbers double b/c of 1 ship that wasn't our fault" in response to allowing a cruise ship to dock with coronavirus infected passengers/crew</t>
  </si>
  <si>
    <t>Trump "We have a perfectly coordinated and fine tuned plan at the White House for our attack on Coronavirus"</t>
  </si>
  <si>
    <t>Trump "It will go away. Just stay calm. It will go away."</t>
  </si>
  <si>
    <t>Trump begins pushing hydroxychloroquine and azithromycin, media outlets point out that Trump has shares in a pharmaceutical that makes hydroxychloroquine, this after Trump had previously stated that he does not do shares, only hotels</t>
  </si>
  <si>
    <t>Trump falsely states "We have one of the most successful, if you can call it, mortality rates. Our mortality rate remains roughly half that of other countries, one of the lowest in any other country in the world... One person is too many, but we’ve tested more than any other country in the world, put together" - wrong on both counts. Dr Birx also falsely stated that the US has one of the lowest mortality rates worldwide.</t>
  </si>
  <si>
    <t>Deaths peaked 21/4</t>
  </si>
  <si>
    <t>Hydroxychloroquine and azithromycin in initial trial results from France and US show either no positive effect, or even a negative effect. Results yet to be peer reviewed but advice is now not to use in treatment regimes of COVID-19. Scientists in Brazil had aborted a study of the drug earlier in April after heart rhythm problems developed in 1/4 of patients.</t>
  </si>
  <si>
    <t>Trump "We may not even have corona come back, and if it did, it would just be in pockets and embers".  Fauci stated that he was "convinced we will have coronavirus in the fall"</t>
  </si>
  <si>
    <t>After attacking Democrat governors for not opening up sooner, Trump criticizes a Republican governor for his decision to begin reopening Friday. "I told the governor of Georgia, Brian Kemp, that I disagree strongly with his decision to open certain facilities which are in violation of the phase one guidelines for the incredible people of Georgia they're incredible people. It's just too soon. I think it's too soon. Safety has to predominate. I told the governor very simply that I disagree with his decision, but he has to do what he thinks is right."</t>
  </si>
  <si>
    <t>AG Bill Barr "These are unprecedented burdens on civil liberties right now. You know, the idea that you have to stay in your house is disturbingly close to house arrest… We’re looking carefully at a number of these rules that are being put into place. And if we think one goes too far, we initially try to jawbone the governors into rolling them back or adjusting them."</t>
  </si>
  <si>
    <t>Trump backs down on his total authority claim, outlining a 3 step process to open states back up again and stating that it will be up to the states when and how they open back up, wanting some states to be open again before May 1 with his "Open Up America Again" slogan/plan</t>
  </si>
  <si>
    <t xml:space="preserve">An Arizona couple are admitted to hospital after consuming chloroquine phosphate used to clean fish tanks as she trusted what she had thought was the president's advice to avoid getting sick, "Trump kept saying it was basically pretty much a cure", although they were Democrats. The 68 yo male died and the 61 yo female survived. </t>
  </si>
  <si>
    <t>WHO published advice recommending no international restrictions, stating that restricting the movement of people and goods during public health emergencies is ineffective in most situations and can hide actual movements.</t>
  </si>
  <si>
    <t>First Detected Infection in US</t>
  </si>
  <si>
    <t>First identified death from coronavirus 29/2 in Washington state</t>
  </si>
  <si>
    <t>23/4 blood samples from 3,300 volunteers in Santa Clara County showed actual cases may be more than 50 times confirmed cases</t>
  </si>
  <si>
    <t>New cases peaked 24/4</t>
  </si>
  <si>
    <t>Trump states that he can't understand why there has been an increase in people asking about using disenfectants for treating coronavirus and when asked if he took responsibility, he responded "no, I don't."</t>
  </si>
  <si>
    <t>Trump states in reference to the initial trial results of Hydroxychloroquine and azithromycin "Obviously, there have been some very good reports and perhaps this one is not a good report. But we'll be looking at it".</t>
  </si>
  <si>
    <t>Trump says that states need to work out competing bids for medical equipment among themselves…  "We're a backup, we’re not an ordering clerk, we're a backup, and we've done an unbelievable job"</t>
  </si>
  <si>
    <t>Trump tweets that he will impose a temporary immigration ban for 60 days via executive order in bid to tackle coronavirus and protect American jobs, what was signed a couple of days later only affected about 1/3 of green card applications,</t>
  </si>
  <si>
    <t>Trump "So supposing we hit the body with a tremendous, whether it’s ultraviolet or just very powerful light and I think you said that hasn’t been checked but you’re going to test it. And then I said supposing you brought the light inside the body, which you can do either through the skin or in some other way. And I think you’re going to test that too? I would like you to speak to the medical doctors to see if there’s any way that you can apply light and heat to cure. And then I see the disinfectant where it knocks it out in a minute, one minute! And is there a way we can do something, by an injection inside or almost a cleaning? Because you see it gets in the lungs and it does a tremendous number on the lungs, so it’d be interesting to check that. So, that you’re going to have to use medical doctors with, but it sounds interesting to me."  He subsequently claimed he was being sarcastic to the press to see what would happen.</t>
  </si>
  <si>
    <t>A 57 yo female in California died on 6/2, following postmortem results released 23/4 showing she had a COVID-19 infection at the time of death, indicating that infections had been present in Jan earlier than previously thought</t>
  </si>
  <si>
    <t>States begin reporting increase in enquiries to COVID-19 support services regarding the use of disenfectants and UV light for treating COVID-19 infections</t>
  </si>
  <si>
    <t>Trump suggests that he may seek damages from China over the coronavirus outbreak, and following a German newspaper editorial calling on China to pay Germany several million in reparations because of economic damage, Trump said "We are talking about a lot more money than Germany's talking about. We haven't determined the final amount yet. It's very substantial."</t>
  </si>
  <si>
    <t>Trump tweets "Just finished a very good conversation with President Xi of China. Discussed in great detail the CoronaVirus that is ravaging large parts of our Planet. China has been through much &amp; has developed a strong understanding of the Virus. We are working closely together. Much respect!"</t>
  </si>
  <si>
    <t>It emerges that Trump owes a Chinese state-owned bank tens of millions which comes due in the next term, complicating matters for Trump in attacking either China or Biden's dealings with China</t>
  </si>
  <si>
    <t>WHO director-general Tedros Adhanom Ghebreyesus stated that the agency had sounded the highest level of alarm over the novel coronavirus early on, declaring a "Public Health Emergency of International Concern" on January 30, when there were no deaths and only 82 cases registered outside China.  "We advised the whole world to implement a comprehensive public health approach, and we said find, test, isolate, and do contact tracing. You can check for yourselves: countries who followed that are in a better position than others. This is fact."</t>
  </si>
  <si>
    <t>The WHO warned that there is no evidence that people who have recovered from COVID-19 and have antibodies are protected from a second coronavirus infection, warning against coutries issueing "immunity passports" or "risk-free certificates" to people who have been infected.</t>
  </si>
  <si>
    <t>World leaders hold a virtual meeting to work on a global initiate to accelerate the fight on COVID-19  coordinated by the WHO to speed up the development of improved tests, treatment protocols and medication trials, and vaccination development.  The US did not participate and has flagged that it will go it alone.</t>
  </si>
  <si>
    <t>Trump states in an interview "China will do anything they can to have me lose this race", referring to the Nov presidential elections, citing China's handling of the COVID-19 crises as proof. In a WH presentation the following day, Trump implies that the coronavirus may have been used by China to wreck the US economy and a trade deal between the two countries.</t>
  </si>
  <si>
    <t>Trump claims that he has seen evidence that links the novel coronavirus to the Wuhan Institute of Virology, but claimed that he's not allowed to say what the evidence is.</t>
  </si>
  <si>
    <t>WH announces operation warp speed, a program to accelerate the development of a vaccine with a target for mass deployment by January, a timeline that would be unprecedented in vaccine development timelines.  The US taxpayer to pick up the bill, rather than drug companies.</t>
  </si>
  <si>
    <t>The office of the director of national intelligence said that the intelligence community does not believe coronavirus was man made.</t>
  </si>
  <si>
    <t>Pence visits the Mayo clinic without a mask, despite being informed that it was a requirement for all visitors.  Pence claims that as he did not have an infection, he did not need to wear a mask and wanted people to see his eys, sparking a backlash from healthcare workers and the press.  His wife later claimed that they had not been told.  Pence later threatens retaliatory action against a reporter in the party who provided evidence that everyone had been instructed to wear masks prior to attending.</t>
  </si>
  <si>
    <t>Rick Bright, director of Biomedical Advanced Research and Development Authority  (BARDA) and deputy assistant secretary for preparedness and response has been ousted according to him for not promoting hydroxychloroquine.  He was transferred to a post at the National Institutes of Health.</t>
  </si>
  <si>
    <t>Right wing protests begin in some states against lockdown laws, ironically with many of the protestors wearing some form of PPE</t>
  </si>
  <si>
    <t>More than half of the US states are to begin lifting restrictions by the end of the week, even though no states have as yet met the original criteria set by the WH for lifting restrictions.  In Michigan, protestors, some armed and wearing bullet proof vests, many with some form of PPE (obviously oblivious to the irony), entered the state Capitol building.</t>
  </si>
  <si>
    <t>Trump "And so, if we could hold that down, as we’re saying, to 100,000 – it’s a horrible number, maybe even less, but to 100,000, so we have between 100 [thousand] and 200,000 – we altogether have done a very good job", extends shutdown for an additional month, predicts peak to occur in 2 weeks, states "We can expect by June 1st we will be well on our way to recovery," and accuses health care workers of stealing masks without providing any evidence to support the accusation</t>
  </si>
  <si>
    <t>Trump "Our country wasn’t built to be shut down.  This is not a country that was built for this.  It was not built to be shut down ... Our country was at its strongest financial point.  We’ve never had an economy like we had just a few weeks ago, and then it got hit with something that nobody could have ever thought possible ... People get tremendous anxiety and depression, and you have suicides over things like this when you have terrible economies.  You have death.  Probably and — I mean, definitely would be in far greater numbers than the numbers that we’re talking about with regard to the virus."  The US has 45,000 - 50,000 suicides per year, COVID-19 deaths hit that by mid-late April.  There were more than 10,000 deaths across Europe and North Ameria attributed to the GFC.  Even adding another 10,000 to this, the US had 60,000 deaths to coronavirus by the end of April.</t>
  </si>
  <si>
    <t>Jarrod Kushner has been made the WH pointman of the coronavirus response in a vaguely defined role working with the Federal Emergency Management Agency to oversee distribution of medical supplies and to assist Pence and "reinvigorate" the team struggling with the dire challenge of battling the pandemic.  From JK "The notion of the federal stockpile was it's supposed to be our stockpile. It's not supposed to be state stockpiles that they then use."</t>
  </si>
  <si>
    <t>Trump contradicts public health expert estimates of death rate of COVID-19 of confirmed cases as less than 1% based on a hunch, and suggests that those infected can still go to work, comparing it with the flu and referring to it as the corona flu</t>
  </si>
  <si>
    <t>Trump tweets "Gallup just gave us the highest rating ever for the way we are handling the CoronaVirus situation. The April 2009-10 Swine Flu, where nearly 13,000 people died in the U.S., was poorly handled. Ask MSDNC &amp; lightweight Washington failure @RonaldKlain, who the President was then?".  Deaths from COVID-19 hit 13,000 6/4</t>
  </si>
  <si>
    <t>Trump "The Fake News Media &amp; their partner, the Democrat Party, is doing everything within its semi-considerable power to inflame the Coronavirus situation"</t>
  </si>
  <si>
    <t>Projections less meaningful as rates begin to decrease</t>
  </si>
  <si>
    <t>Trump states that he would wear a mask if it was an environment that required a mask, but while touring a mask making factory where instructions everywhere were to wear a mask and all the staff were wearing masks, he only wore goggles, claiming Honeywell had told the WH that Trump didn't need to wear a mask.</t>
  </si>
  <si>
    <t>Pence flags that the coronavirus taskforce would be winding up by 25/5, to be replaced by a transition/opening up taskforce</t>
  </si>
  <si>
    <t>Rick Bright lodges a whistleblower complaint against the WH, painting the WH response to the novel coronavirus in an unfavourable light</t>
  </si>
  <si>
    <t>A personal valet to Trump, a member of the US Navy, has tested positive to coronavirus</t>
  </si>
  <si>
    <t>Katie Miller, Pence's press secretary has tested positive to coronavirus. Her husband, Stephen Miller is a senior advisor to Trump.</t>
  </si>
  <si>
    <t>The Office of Special Counsel has determined that there were reasonable grounds to believe Rick Bright was removed for reliatory reasons, and will recommend that he is reinstated to the Department of Health and Human Services while it investigates.</t>
  </si>
  <si>
    <t>Trump confirms that he is pushing ahead with attempts to abolish health care, without promising any details of what would go in its place.</t>
  </si>
  <si>
    <t>US unemployment hits 14.7%, the steepest plunge since the great depression, coming off a five decade low of 3.5% in Feb, and unemployment figures not seen since 1982.  Underemployment hits 22.8%, a record high.</t>
  </si>
  <si>
    <t>Jared Kushner "We're on the other side of the medical aspect of this, and I think that we've achieved all the different milestones that are needed. The federal government rose to the challenge, and this is a great success story. And I think that that's really, you know, what needs to be told. May will be a transition month. I think you will see by June, a lot of the country should be back to normal, and the hope is that by July the country is really rocking again. The eternal lockdown crowd can make jokes on late-night television but the reality is that the data's on our side," as the death toll surpasses 60,000 and the rate of new cases has remained fairly steady for the last month</t>
  </si>
  <si>
    <t xml:space="preserve"> Trump states that "testing isn't necessary" and is an imperfect guide and makes the United States "look bad".  Although he and Pence will in the coming days start to be tested daily themselves.  Birx in response states in an interview when asked about testing, states the need for testing and that such efforts are essential and should be stepped up.</t>
  </si>
  <si>
    <t>Members of the Coronavirus Taskforce, including Fauci and Pence self quarantine</t>
  </si>
  <si>
    <t>Trump tweeted: "We are getting great marks for the handling of the CoronaVirus pandemic, especially the very early BAN of people from China, the infectious source, entering the USA"</t>
  </si>
  <si>
    <t>Trump in relation to Katie Miller testing positive: "This is why the whole concept of tests aren’t necessarily great. The tests are perfect but something can happen between a test where it’s good and then something happens." He also said "The media likes to say we have the most cases, but we do, by far, the most testing. If we did very little testing, we wouldn’t have the most cases. So, in a way, by doing all of this testing, we make ourselves look bad."</t>
  </si>
  <si>
    <t>Barack Obama describes Trump handling of the coronavirus pandemic as "an absolute chaotic disaster."</t>
  </si>
  <si>
    <t>The WH has ordered everyone entering the West Wing to wear a face mask, other than for Trump who is exempt.</t>
  </si>
  <si>
    <t>Trump tweets: "Coronavirus numbers are looking MUCH better, going down almost everywhere. Big progress being made!"</t>
  </si>
  <si>
    <t>Trump signals that he is looking ahead to reopening the country, with no intent of extending the federal guidelines aimed to limit the spread of the coronavirus that are to expire 1/5.  He also suggested that the virus may just go away without the need of a vaccine and everything will return to normal after "It's gonna go, it's gonna leave, it's be gonna be eradicated" somehow magically. "We did all the right moves. This is going away. I see the new normal being what it was three months ago. Hopefully in the not too distant future, we'll have some massive rallies and people will be sitting next to each other." He also stated that he believes the U.S. can never declare “total victory” over the coronavirus because too many people have died. But he added that he will count it a win when the virus is gone and the economy fully reopened.</t>
  </si>
  <si>
    <t>Trump "Thanks to the courage of our citizens and our aggressive strategy, hundreds of thousands of lives have been saved. In every generation, through every challenge and hardship and danger, America has risen to the task, we have met the moment and we have prevailed."  he also continued to encourage states to lift lockdown measures, saying "people are dying in the lockdown position too."</t>
  </si>
  <si>
    <t>Dr Thomas R Frieden, former director of the Centers for Disease Control and Prevention "We're not reopening based on science, we're reopening based on politics, ideology, and public pressure. And I think it's going to end badly."</t>
  </si>
  <si>
    <t>Trump tweets: "The great people of Pennsylvania want their freedom now, and they are fully aware of what that entails. The Democrats are moving slowly, all over the USA, for political purposes. They would wait until November 3rd if it were up to them. Don't play politics. Be safe, move quickly!"</t>
  </si>
  <si>
    <t>Fauci, in an email to a news outlet discussing his forthcoming Congress appearance on 12/5, stated ""If we skip over the checkpoints in the guidelines to 'Open America Again', then we risk the danger of multiple outbreaks throughout the country. This will not only result in needless suffering and death, but would actually set us back on our quest to return to normal."</t>
  </si>
  <si>
    <t>Trump in response to Fauci's warnings to congress about really serious consequences if states moving too quickly to reopen or restarting schools too soon, "I was surprised by his answer, actually, because, you know, it’s just, to me, it’s not an acceptable answer, especially when it comes to schools."  Trump also said "The state is not open if the schools are not open."</t>
  </si>
  <si>
    <t>Trump tweets "So last year 37,000 Americans died from the common Flu. It averages between 27,000 and 70,000 per year. Nothing is shut down, life &amp; the economy go on. At this moment there are 546 confirmed cases of CoronaVirus, with 22 deaths. Think about that!" Deaths from COVID-19 passed 70,000 by 5/5</t>
  </si>
  <si>
    <t>Trump defending his tweets "I think some things are too tough, and if you look at some of the states you just mentioned, it's too tough, not only in reference to this but what they've done in Virginia with respect to the second amendment is just a horrible thing... When you see what other states have done, I think I feel very comfortable." When asked if the 3 states should lift their stay at home orders "I think elements of what they've done are too much... What they've done in Virginia is just incredible" this despite these states following Federal guidelines for their stay at home orders.</t>
  </si>
  <si>
    <t>-</t>
  </si>
  <si>
    <t>CDC confirms first case of person to person transmission in the US</t>
  </si>
  <si>
    <t>+</t>
  </si>
  <si>
    <t>Cases</t>
  </si>
  <si>
    <t>14 Day lead time before expect to begin seeing results</t>
  </si>
  <si>
    <t>Pence travels to Iowa, signalling to religious leaders that they should reopen their houses of worship, claiming "for most healthy Americans, the risks that the coronavirus poses remains very low," and thanked them for stepping "forward back into the exercise of your faith."</t>
  </si>
  <si>
    <t>CDC was to release guidelines for reopening the previous Friday, but WH has now stated that it is to be shelved and will not see the light of day, due in part because of a "religious freedom" concern in placing restrictions on churches.  However Birx states that "No one has stopped those guidelines.  We're still in editing."</t>
  </si>
  <si>
    <t xml:space="preserve"> By 16/3 all states had declared a State of Emergency.  States progressively began implementing stay at home orders.  Seven states did not end up implementing any stay at home orders - Arkansas, Iowa, Nebraska, North Dakota, Oklahoma, Utah, and Wyoming, although some cities in these states issued their own local lockdowns</t>
  </si>
  <si>
    <t>Trump claims that state and local government officials were treating Christians worse than Muslims during the pandemic. "Our politicians seem to treat different faiths very differently. … The Christian faith is treated much differently."  At least 20 states include exemptions on large gatherings to allow church congregations to meet, putting themselves and the wider communities at greater risk and despite coronavirus not discriminating on the grounds of religion or seculism</t>
  </si>
  <si>
    <t>Only two states have yet to begin reopening - Connecticut and Massachusetts</t>
  </si>
  <si>
    <t>In response to Rick Bright testifying to Congress that the WH still had no pandemic plan, WH Press Secretary (No. 4) Kayleigh McEnany pushed back against reports that the WH admin threw out the Obama admin pandemic response plan, saying that the Trump admin had simply replaced it saying it was insufficient and it wasn't going to work, after previously saying that the Obama admin had not left any pandemic plan.  Holding up two binders, one a 2018 pandemic crisis action plan and the other a "Crimson Contagion 2019 after-action report" which gamed out the pandemic crisis action plan, "Some have erroneously suggested that the Trump administration threw out the pandemic response playbook left by the Obama-Biden administration.  What the critics failed to note, however, is that this thin packet of paper was replaced by two detailed, robust pandemic response reports commissioned by the Trump administration."  Asked about the action report she answered "What it basically did was say to us, look, some of the previous iterations of plans have put HHS in the lead, HHS of course plays a critical role in our response, but one of the things that was identified was you need a whole of government response from the highest levels".  It does not appear that any recommendations in the action report which apparently savaged the pandemic crises action plan were actioned before COVID-19 hit.</t>
  </si>
  <si>
    <t>After the UK alerted doctors to a new syndrome in April and Cuomo flagging a number of children in NY with inflammatory 'Kawasaki like' responses from COVID-19 over the previous days, the CDC has issued a health advisory on the new syndrome in children under 10</t>
  </si>
  <si>
    <t>Trump announces that his administration is working on a plan to manufacture in bulk the leading vaccine contenders to be ready for mass distribution once any of them are approved, targeting the end of the year.</t>
  </si>
  <si>
    <t>Trump flags that he is considering restoring 10% of funding of previous levels back to the WHO, matching current Chinese payment levels, but also stating "Have not made final decision. All funds are frozen. Thanks!"</t>
  </si>
  <si>
    <t>Trump "We’re looking at vaccines, we’re looking at cures and we are very, very far down the line. I think that’s not going to be in the very distant future. But even before that, I think we’ll be back to normal. … We want to get it back to where it was. We want big, big stadiums loaded with people, we want to get sports back. We miss sports. We need sports in terms of the psyche, the psyche of our country."</t>
  </si>
  <si>
    <t>Leaked projections from the CDC forecasts that the US will be recording 200,000 new cases each day and up to 3,000 deaths each day from COVID-10 by the end of May.  In a separate model, The Institute of Health Metrics and Evaluation now projects that 135,000 people will die from COVID-19, up from its previous estimate of 72,433 deaths</t>
  </si>
  <si>
    <t>Trump tweets contents of letter sent to the WHO which included "If the World Health Organisation does not commit to major substantive improvements within the next 30 days, I will make my temporary freeze of United States funding to the World Health Organisation permanent and reconsider our membership in the organisation."</t>
  </si>
  <si>
    <t>In defending the use of hydroxychloroquine, Trump states "If you look at the one survey, the only bad survey, they were giving it to people that were in very bad shape. They were very old. Almost dead. It was a Trump enemy statement." presumably referring to a study of hundreds of patients treated by the Department of Veterans Affairs in which more of those in a group who were administered hydroxychloroquine died than among those who weren’t.</t>
  </si>
  <si>
    <t>Trump states that he has been taking hydroxychloroquine for about a week and a half, following the positive COVID-19 tests of WH staff. "You'd be surprised at how many people are taking it, especially the frontline workers before you catch it, the frontline workers, many, many are taking it, I happen to be taking it. Here's my evidence: I get a lot of positive calls about it. I've heard a lot of good stories and if it's not good, I'll tell you right I'm not going to get hurt by it."  He added that he was taking a daily zinc supplement and received a single does of the antibiotic azithromycin, saying that he had requested the medication.</t>
  </si>
  <si>
    <t>Trump "You know when you say that we lead in cases, that's because we have more testing than anybody else. It's a great tribute to the testing and all of the work that a lot of of professionals have done."  Trump also suggested he might close the border with Brazil, "I don't want people coming over here and infecting our people.  I don't want people over there sick either."</t>
  </si>
  <si>
    <t>Donald Trump's son and executive VP of the Trump Organisation, Eric Trump: "They think they are taking away Donald Trump's greatest tool, which is being able to go into an arena and fill it with 50,000 people every single time. Joe Biden can't get 10 people in a room. My father is getting 50,000 in a room. And they want to do everything they can to stop it. You watch, they'll milk it every single day between now and Nov. 3. And guess what, after Nov. 3, coronavirus will magically all of a sudden go away and disappear and everybody will be able to reopen. ... This is a very cognizant strategy that they're trying to employ. It's no different than the mail-in voting that they want to do all these places. It's no different than wanting illegal immigrants to vote in our country. It is a cognizant strategy. And it's sad. And, again, it's not going to be allowed to happen and we're going to win in November." His brother, Trump Jr also stated that coronavirus was invented by the Democrats to cancel his father's campaign.</t>
  </si>
  <si>
    <t>Speaker Nancy Pelosi "As far as the President is concerned, he's our President and I would rather he not be taking something that has not been approved by the scientists, especially in his age group and in his, shall we say, weight group, morbidly obese, they say. So I think it's not a good idea."  To be fair to Trump, his BMI suggests that he is obese, rather than morbidly obese.  Trump responded "Pelosi is a sick woman. She’s got a lot of problems, a lot of mental problems."</t>
  </si>
  <si>
    <t>American biotech company Moderna announce findings from a Phase I trial of 8 people who received 2 doses of an experimental vaccine, showing no ill side effects and production of antibodies.</t>
  </si>
  <si>
    <t>The CDC finally releases its guidelines on how to reopen the US with little fanfare, after changes were made to remove specific guidance on religious practices as directed by the WH. The release comes as tensions between the WH and the CDC continue to rise and Birx accusing the CDC of antiquated processes, including the gathering and reporting of cases and deaths.</t>
  </si>
  <si>
    <t>Baltimore's Mayor requests that Trump sets an example with the stay-at-home order and not visit the state but Trump has said that he would still visit.</t>
  </si>
  <si>
    <t>Trump states "We are opening our churches again. I think the CDC is going to put something out very soon, spoke to them today. I think they are going to put something out very soon. We got to open our churches. I said you better put it out and they’re doing it and they’re going to be issuing something today or tomorrow and churches are going to get our churches open."  He also said "This country is poised for an epic comeback, this is going to be an incredible comeback.  Just watch.  It's already happening."</t>
  </si>
  <si>
    <t xml:space="preserve">Michigan AG warns Ford of letting Trump visit factory without a mask, and Ford released a statement that they had requested Trump to wear a mask during his visit, but Trump doesn't wear a mask anyway, claiming he had worn one "in the back area" but did not want to give reporters the pleasure of seeing him wear it.  During the Ford plant visit where the factory had been repurposed to produce ventilators, Trump praises the Ford companies "bloodlines" and Henry Ford's "good blood", which given Henry Ford's notorious anti-Semitism was interesting... </t>
  </si>
  <si>
    <t>Trump the previous day threatened to withhold funding from Michigan over mail-in ballots "We don’t want them to do mail-in ballots. We don’t want anyone to do mail-in ballots."  He repeated similar today "We don’t want them to do mail-in ballots because it’s going to lead to total election fraud. We don’t want to take any chances with fraud in our elections."</t>
  </si>
  <si>
    <t>COVID-19 base CFR</t>
  </si>
  <si>
    <t>Based on difference from base CFR, does not account for lag between detection and deaths</t>
  </si>
  <si>
    <t>The Lancet takes the unusual step to publish an article refuting Trump's claims regarding the Lancet and China with regard to Dec 2019, Jan 2020 timelines and recommended that Trump should not be voted back in. "Americans must put a president in the White House come January, 2021, who will understand that public health should not be guided by partisan politics."</t>
  </si>
  <si>
    <t>CDC  admits that its testing kits are faulty</t>
  </si>
  <si>
    <t>The last remaining CDC officer recalled home from the China CDC, leaving an intelligence vacuum when COVID-19 subsequently began to emerge</t>
  </si>
  <si>
    <t>Trump "Some governors have deemed liquor stores and abortion clinics essential, but have left out churches and houses of worship. It's not right. So I'm correcting this injustice and calling houses of worship essential. The governors need to do the right thing and allow these very important essential places of faith to open right now, this weekend. If they don't do it, I will override the governors. If there's any question, they're going to have to call me, but they're not going to be successful in that call. In America, we need more prayer not less."</t>
  </si>
  <si>
    <t>The CDC release a report of an Arkansas case study where church gatherings resulted in significant COVID-19 outbreaks, impacting not just the congregation, but the wider community as well.  From 2 initial infections who attended church events over 3 days, 38% of the congregation (35 of 92) became infected, and an additional 26 infections occured in the wider community from the infected congregation - resulting in 4 deaths.  The CDC highlight that the total number of infected from this one incident is likely underreported.</t>
  </si>
  <si>
    <t>The CDC releases an interim guidance for communities of faith, "The information offered is non-binding public health guidance for consideration only."</t>
  </si>
  <si>
    <t>Trump Jr referring to Democrats: "... like you said, we've seen this play out for four years. Anything that they can use to try to hurt Trump, they will. Anything he does in a positive sense, like you heard from the reporter that was just suspended from ABC, they will not give him credit for. The playbook is old at this point. But for them to try to take a pandemic and seemingly hope that it comes here, and kills millions of people so that they could end Donald Trump's streak of winning, is a new level of sickness. You know, I don't know if this is coronavirus or Trump derangement syndrome, but these people are infected badly."</t>
  </si>
  <si>
    <t>Trump regarding his morning coronavirus test "And I tested very positively in another sense. So this morning. I tested positively toward negative, right? So no, I tested perfectly this morning. Meaning I tested negative. But that's a way of saying it. Positively toward the negative."</t>
  </si>
  <si>
    <t>The federal DOJ sends letter to the governer of California stating that their reopening plan discriminates against churches.</t>
  </si>
  <si>
    <t>People around the US flout social distancing and mask laws to enjoy the Memorial Day w/e in large crowds at outdoor attractions.</t>
  </si>
  <si>
    <t>Trump tweets that schools "should be opened ASAP", at odds with advice from Fauci.</t>
  </si>
  <si>
    <t>77 Nobel prize-winning US scientists sent an open letter to the Trump administration stating that they are "gravely concernced" about the recent abrupt funding cancellation to EcoHealth Alliance, saying it "sets a dangerous precedent by interfering in the conduct of science, ...deprives the nation and the world of highly regarded science that could help control one of the greatest health crises in modern history and those that may arised in the future."</t>
  </si>
  <si>
    <t>The NIH removes funding from a US non-profit research group EcoHealth Alliance that had been trapping bats throughout China and the world to collect blood and saliva samples to understand potential virus pandemic risks.  It is assumed that because they are partnered with the Wuhan Institute of Virology, and the US government is buying into the leaked virus from the lab conspiracy/myth, that the funding cancellation has been political.</t>
  </si>
  <si>
    <t xml:space="preserve">Delays in implementing lockdown measures in the US had lead to at least 36,000 more deaths, </t>
  </si>
  <si>
    <t>Mike Pompeo scuttles joint G7 communique referring to the COVID-19 virus, insisting that it was called the "Wuhan virus" in the communique.</t>
  </si>
  <si>
    <t>Trump "I wish -- again, our relationship with China is a very good relationship. I wish they told us three months sooner that this was a problem. We didn't know about it. They knew about it and they should have told us. We could have saved a lot of lives throughout the world. If you look at what's happening in Italy and Spain and a lot of other countries, we could have saved a lot of lives throughout the world.  ... as much as I like President Xi and as much as I respect the country and admire the country -- I have great admiration for the country, what they've done in a short period of time. Of course, our presidents, our previous presidents allowed that to happen; you should say "thank you very much" to all of them. But they should have told us about this. And I did ask him whether or not we could send some people, and they didn't want that -- out of pride. I think, really, out of pride. They don't want -- they don't want us sending people into China, to help them. You know, China is a strong country. They have -- they have their scientists and they have their doctors -- very smart."</t>
  </si>
  <si>
    <t>Trump when asked if used the expression Chinese Virus was racist: "It's not racist at all.  No it's not at all. It's from China. That's why. It comes from China. I want to be accurate."  Asked if his aides were comfortable with the term "No, I have a great -- I have great love for all of the people from our country. But, as you know, China tried to say at one point -- maybe they stopped now -- that it was caused by American soldiers. That can't happen. It's not going to happen -- not as long as I'm President. It comes from China."</t>
  </si>
  <si>
    <t>Trump "I just spoke to President Xi last night, and, you know, we're working on the -- the problem, the virus. It's a -- it's a very tough situation. But I think he's going to handle it. I think he's handled it really well. We're helping wherever we can. But we have a great relationship. It's incredible. ...They respect us again and we respect them. And we think -- I think we have the best relationship we've had with China. But it's really incredible."</t>
  </si>
  <si>
    <t>Trump "I have great respect for President Xi and great respect for China, frankly"</t>
  </si>
  <si>
    <t>Trump when asked how confident China was in being 100 percent honest regarding coronavirus "Well, I'm confident that they're trying very hard. I mean, I know President Xi -- I get along with him very well. We've just made a great trade deal, which is going to be a lot of business for Arizona and every other place. But, they are trying very, very hard, and I think the numbers are going to get progressively better as we go along. They're working it -- they built they built a hospital in seven days, and now they're building another one. I think it's going to work out fine. I think when we get into April, in the warmer weather, that has a very negative effect on that and that type of a virus. So let's see what happens, but I think it's going to work out fine."</t>
  </si>
  <si>
    <t>Trump when asked if he trusted the data coming out of China "Look, I know this: President Xi loves the people of China, he loves his country, and he's doing a very good job with a very, very tough situation."</t>
  </si>
  <si>
    <t>Trump on coronavirus "Yeah, we're very much involved. We're very -- very cognizant of everything going on. We have it very much under control in this country. … Well, it's a big -- it's a big situation going on throughout the world. And I can say, the United States, we've very much closed our doors in certain areas, in about certain areas, through certain areas. And we'll see what happens. But we have the greatest doctors in the world. We have it very much under control. We accepted a few people -- a small number of people. They're very well confined and they should be getting better fairly soon. Very interestingly, we've had no deaths. We have a -- I mean, you know, we've had a great practice. We had 12, at one point. And now they've gotten very much better. Many of them are fully recovered."</t>
  </si>
  <si>
    <t>Trump on whether President Xi should be doing anything different: "No, I think President Xi is working very, very hard. I spoke to him. He's working very hard. I think he's doing a very good job. It's a big problem. But President Xi loves his country. He's working very hard to solve the problem and he will solve the problem. Okay?"</t>
  </si>
  <si>
    <t>Trump "Well, we're working on it very closely. I spoke to President Xi two days ago. They're working on it very professionally. It's a problem, we think and we hope, based on all signs that the problem goes away in April because -- which is not too far down the road, because heat kills this virus. We think, now we're going to find out, Geraldo, but we think, and they are having difficulty in China but they're working very, very hard. We're working with them. We're sending a lot of people and CDC has been great but it is -- it's a problem in China. Has not been spreading very much. In our country, we only have, basically, 12 cases and most of those people are recovering and some cases fully recovered. So it's actually less."  On whether the Chinese is telling the truth "Well, you never know. I think they want to put the best face on it. So you know, I mean, if somebody -- if you were running it, you'd probably -- you wouldn't want to run out to the world and go crazy and start saying whatever it is because you don't want to create a panic. But, no, I think they've handled it professionally and I think they're extremely capable and I think President Xi is extremely capable and I hope that it's going to be resolved. Again, the April date is very important. But you know this is a big thing. The April date is very, very important because if that's the case, if he does, in fact, kill that's when it starts getting hot and this virus reacts very poorly to heat and dies. So we'll see what happens."</t>
  </si>
  <si>
    <t>Trump tweets "Low Ratings Fake News MSDNC (Comcast) &amp; @CNN are doing everything possible to make the Caronavirus look as bad as possible, including panicking markets, if possible. Likewise their incompetent Do Nothing Democrat comrades are all talk, no action. USA in great shape!"</t>
  </si>
  <si>
    <t xml:space="preserve">First community spread case documented, Trump states "Now, at the same time, you do have some outbreaks in some countries. Italy and various countries are having some difficulty. China, you know about it, where it started. I spoke with President Xi. We had a great talk. He's working very hard, I have to say. He's working very, very hard. And if you can count on the reports coming out of China, that spread has gone down quite a bit. The infection seems to have gone down over the last two days. As opposed to getting larger, it's actually gotten smaller. In one instance where we think we can be -- it's somewhat reliable, it seems to have gotten quite a bit smaller... We’re going to be pretty soon at only five people. And we could be at just one or two people over the next short period of time. ... I want you to understand something that shocked me when I saw it that -- and I spoke with Dr. Fauci on this, and I was really amazed, and I think most people are amazed to hear it: The flu, in our country, kills from 25,000 people to 69,000 people a year. That was shocking to me. And, so far, if you look at what we have with the 15 people and their recovery, one is -- one is pretty sick but hopefully will recover, but the others are in great shape. But think of that: 25,000 to 69,000. Over the last 10 years, we've lost 360,000. These are people that have died from the flu -- from what we call the flu. "Hey, did you get your flu shot?" And that's something. Now, what we've done is we've stopped non-U.S. citizens from coming into America from China. That was done very early on. We're screening people, and we have been, at a very high level -- screening people coming into the country from infected areas. We have in quarantine those infected and those at risk. We have a lot of great quarantine facilities. We're rapidly developing a vaccine, and they can speak to you -- the professionals can speak to you about that. The vaccine is coming along well. And in speaking to the doctors, we think this is something that we can develop fairly rapidly, a vaccine for the future, and coordinate with the support of our partners. We have great relationships with all of the countries that we're talking about. Some fairly large number of countries. Some it's one person, and many countries have no problem whatsoever. And we'll see what happens. But we're very, very ready for this, for anything -- whether it's going to be a breakout of larger proportions or whether or not we're -- you know, we're at that very low level, and we want to keep it that way. So we're at the low level. As they get better, we take them off the list, so that we're going to be pretty soon at only five people. And we could be at just one or two people over the next short period of time. So we've had very good luck. The Johns Hopkins, I guess -- is a highly respected, great place -- they did a study, comprehensive: "The Countries Best and Worst Prepared for an Epidemic." And the United States is now -- we're rated number one. We're rated number one for being prepared. This is a list of different countries. I don't want to get in your way, especially since you do such a good job. This is a list of the different countries. The United States is rated number one most prepared. United Kingdom, Netherlands, Australia, Canada, Thailand, Sweden, Denmark, South Korea, Finland.  ...  And what I've done is I'm going to be announcing, exactly right now, that I'm going to be putting our Vice President, Mike Pence, in charge. And Mike will be working with the professionals, doctors, and everybody else that's working. The team is brilliant. I spent a lot of time with the team over the last couple of weeks, but they're totally brilliant, and we're doing really well. And Mike is going to be in charge, and Mike will report back to me. But he's got a certain talent for this. ... We do have plans of a much -- on a much larger scale, should we need that. We're working with states, we're working with virtually every state. And we do have plans on a larger scale if we need it. We don't think we're going to need it, but, you know, you always have to be prepared. ... No, because we're ready for it. It is what it is. We're ready for it. We're really prepared. We have -- as I said, we've had -- we have the greatest people in the world. We're very ready for it. We hope it doesn't spread. There's a chance that it won't spread too, and there's a chance that it will, and then it's a question of at what level. So far, we've done a great job. When you have 15 people, with this whole world coming into the United States, and the 15 people are either better or close to being better, that's pretty good." </t>
  </si>
  <si>
    <t>On whether the Chinese communist party and President Xi has been forthcoming about coronavirus "Well, I can tell you this: I speak to him; I had a talk with him recently. And he is working so hard on this problem. He is working so hard. And they're very tough and very smart. And it's a significant -- it's a significant group of very talented people that are working. And they're calling up Dr. Fauci. They're calling up our people. We're dealing with them. We're giving them certain advice. We actually have -- through World Health, we have them over there also. And we have a lot of our people making up that group that went over there. No, he's working very hard. It would be very easy for me to say, you know -- it doesn't matter what I say, really. I can tell you, he is working -- I had a long talk with him the other night. He is working really, really hard. He wants it to go away from China and go away fast, and he wants to get back to business as usual. ... We're working with China. We just did the biggest trade deal in history. We did two of them. Between USMCA and the China deal, it's the biggest in history. The relationship with China is a very good one. And I can tell you that, again, President Xi is working really hard. He wants this problem solved."</t>
  </si>
  <si>
    <t>With North Carolina experiencing increased rate of infections, Trump flagged that Republicans may need to reconsider another venue for its GOP convention if safe distancing rules are not lifted in the state</t>
  </si>
  <si>
    <t>As the number of deaths close in on 100,000, Trump spends time at his golf course on Sat and Sun, resulting in social media reposting his criticisms of Obama when he played a round during the Ebola crisis.</t>
  </si>
  <si>
    <t>Trump "Great reviews on our handling of Covid 19, sometimes referred to as the China Virus. Ventilators, Testing, Medical Supply Distribution, we made a lot of Governors look very good - And got no credit for so doing. Most importantly, we helped a lot of great people!", "Nobody in 50 years has been WEAKER on China than Sleepy Joe Biden. He was asleep at the wheel. He gave them EVERYTHING they wanted, including rip-off Trade Deals. I am getting it all back!"</t>
  </si>
  <si>
    <t>Trump "Together we will vanquish the virus and America will rise from this crisis to new and even greater heights. No obstacle, no challenge and no threat is a match for the sheer determination of the American people." at a Memorial Day address in Baltimore despite the mayor urging him to cancel the visit, saying it woudl set the wrong example considering the city is still in lockdown.</t>
  </si>
  <si>
    <t>Politico reports: The National Republican Senatorial Committee distributed a detailed, 57-page memo…advising GOP candidates to address the coronavirus crisis by aggressively attacking China, Don't defend Trump, other than the China Travel Ban – attack China - the memo contains tactics and instructions that focus on three lines of attack: China covered up COVID-19, Democrats are soft on China and the Republicans will sanction China for letting the pandemic getting out of control.</t>
  </si>
  <si>
    <t>The memorial day w/e sees rise in politicising of masks, with Republicans largely not wearing them and Democrats largely wearing them, and political point scoring from Republicans that Democrats are scare mongering by wearing masks, while some Republican governors implore their constituents to wear masks and that doing so should not be a political statement.</t>
  </si>
  <si>
    <t>Trump tweets "Republicans feel that Social Media Platforms totally silence conservatives voices. We will strongly regulate, or close them down, before we can ever allow this to happen."  Kayleigh McEnany, the White House press secretary, told reporters traveling aboard Air Force One on Wednesday that Trump soon planned to sign an executive order on social media companies.  In 2018 a federal judge ruled the president could not block people on Twitter, because it violates their first amendment rights to participate in a "public forum"</t>
  </si>
  <si>
    <t>Trump tweets "This might help explain why Trump doesn’t like to wear a mask in public." after Biden visits a memorial wearing a mask</t>
  </si>
  <si>
    <t>Kayleigh McEnany, while claiming that Trump was not shaming anyone with respect to his tweet about Biden says "It is a bit peculiar though that in his basement right next to his wife he's not wearing a mask but he's wearing one outdoors when he's socially distancing so I think that there was a discrepancy there." - scratching head...</t>
  </si>
  <si>
    <t>Trump suspends entry for foreigners who have been in Brazil within 14 days prior to seeking US admittance.  The new rules were to come into effect Thursday night, but were brought forward and implemented on Tuesday</t>
  </si>
  <si>
    <t>WHO officials cite China for its "openness" to the prospect of scientific inquiries involving foreign experts into the origins of the novel coronavirus, and also place a temporary suspension on the use of hydroxychloroquine from global studies citing concerns over health risks</t>
  </si>
  <si>
    <t>Trump referring to a second wave "We are going to put out the fires, we're not going to close the country, we're going to put out the fire. Whether it's an ember or it's a flame we're going to put it out."</t>
  </si>
  <si>
    <t>All 50 states have now sought to reopen, at least partially</t>
  </si>
  <si>
    <t xml:space="preserve">Trump tweets "Now that our Country is 'Transitioning back to Greatness', I am considering rescheduling the G-7, on the same or similar date, in Washington, D.C., at the legendary Camp David. The other members are also beginning their COMEBACK. It would be a great sign to all – normalization!" referring to the June G7 meeting which had previously been slated back in March to be held in July by videoconference.  </t>
  </si>
  <si>
    <t>Twitter flags a Trump tweet "There is NO WAY (ZERO!) that Mail-In Ballots will be anything less than substantially fraudulent. Mail boxes will be robbed, ballots will be forged &amp; even illegally printed out &amp; fraudulently signed. The Governor of California is sending Ballots to millions of people, anyone....." + "....living in the state, no matter who they are or how they got there, will get one. That will be followed up with professionals telling all of these people, many of whom have never even thought of voting before, how, and for whom, to vote. This will be a Rigged Election. No way!" to be false under its new "misleading information" policy designed to combat misinformation about coronavirus, singling this tweet out because it related to election integrity, Trump follows with a tweet ".@Twitter is now interfering in the 2020 Presidential Election. They are saying my statement on Mail-In Ballots, which will lead to massive corruption and fraud, is incorrect, based on fact-checking by Fake News CNN and the Amazon Washington Post...." + "....Twitter is completely stifling FREE SPEECH, and I, as President, will not allow it to happen!"  Twitter feels the heat for all sides, from conservative supporting Trump, and from critics saying that Twitter should be consistent and also call out the other baseless conspiracy theory about Joe Scarborough having killed his wife that Trump was also pushing that weekend.</t>
  </si>
  <si>
    <t>Trump signs an executive order targeting social media companies stating that it was to "defend free speech from one of the gravest dangers it has faced in American history. A small handful of social media monopolies controls a vast portion of all public and private communications in the United States. They've had unchecked power to censor, restrict, edit, shape, hide, alter, virtually any form of communication between private citizens and large public audiences. ...Imagine if your local phone companies tried to edit or censor what you said. Social media companies have far more power."</t>
  </si>
  <si>
    <t>WWII</t>
  </si>
  <si>
    <t>WWI</t>
  </si>
  <si>
    <t>Korean War</t>
  </si>
  <si>
    <t>Vietnam War</t>
  </si>
  <si>
    <t>Gulf War</t>
  </si>
  <si>
    <t>Conflict</t>
  </si>
  <si>
    <t>US Deaths</t>
  </si>
  <si>
    <t>% US Population</t>
  </si>
  <si>
    <t>Spanish-American War</t>
  </si>
  <si>
    <t>Philippine-American War</t>
  </si>
  <si>
    <t>War in Afghanistan</t>
  </si>
  <si>
    <t>Iraq War</t>
  </si>
  <si>
    <t>American Revolutionary War</t>
  </si>
  <si>
    <t>War of 1812</t>
  </si>
  <si>
    <t>American Civil War</t>
  </si>
  <si>
    <t>Mexican-American War</t>
  </si>
  <si>
    <t>COVID-19 Deaths</t>
  </si>
  <si>
    <t>Date COVID-19 Deaths passed this figure</t>
  </si>
  <si>
    <t>Leading Causes of Death in US</t>
  </si>
  <si>
    <t>Major US Conflicts</t>
  </si>
  <si>
    <t>Heart Disease</t>
  </si>
  <si>
    <t>Accidents</t>
  </si>
  <si>
    <t>Chronic Lower Respiratory Diseases</t>
  </si>
  <si>
    <t>Stroke</t>
  </si>
  <si>
    <t>Alzheimer's Disease</t>
  </si>
  <si>
    <t>Influenza and Pneumonia</t>
  </si>
  <si>
    <t>Suicide</t>
  </si>
  <si>
    <t>Leading Causes</t>
  </si>
  <si>
    <t>Kidney Disease (Nephritis, nephrotic syndrome and nephrosis)</t>
  </si>
  <si>
    <t>Daily Deaths</t>
  </si>
  <si>
    <t>US Epidemics</t>
  </si>
  <si>
    <t>1906-1907 Typhoid Fever (New York)</t>
  </si>
  <si>
    <t>1793 Yellow Fever (Philadelphia)</t>
  </si>
  <si>
    <t>1921-1925 Diptheria</t>
  </si>
  <si>
    <t>1981-1991 Measles</t>
  </si>
  <si>
    <t>2,000-10,000</t>
  </si>
  <si>
    <t>Epidemic</t>
  </si>
  <si>
    <t>US Disasters</t>
  </si>
  <si>
    <t>1900 Galveston Hurricane</t>
  </si>
  <si>
    <t>1899 San Ciriaco Hurricane</t>
  </si>
  <si>
    <t>1906 San Francisco Earthquake</t>
  </si>
  <si>
    <t>2001 September 11 Attacks</t>
  </si>
  <si>
    <t>2017 Hurricane Maria</t>
  </si>
  <si>
    <t>1928 Okeechobee Hurricane</t>
  </si>
  <si>
    <t>1941 Pearl Harbour</t>
  </si>
  <si>
    <t>1889 Johnstown Dam Flood</t>
  </si>
  <si>
    <t>1893 Cheniere Caminada Hurricane</t>
  </si>
  <si>
    <t>1980 Heat wave</t>
  </si>
  <si>
    <t>1871 Wildfire</t>
  </si>
  <si>
    <t>2005 Hurricane Katrina</t>
  </si>
  <si>
    <t>1904 PS General Slocum fire and sinking</t>
  </si>
  <si>
    <t>1943 HMT Rohna bombing and sinking</t>
  </si>
  <si>
    <t>1893 Sea Islands Hurricane</t>
  </si>
  <si>
    <t>1918 Cloquet wildfire</t>
  </si>
  <si>
    <t>1978 Jonestown mass suicide</t>
  </si>
  <si>
    <t>Peak</t>
  </si>
  <si>
    <t>1957-1958 H2N2 Flu Pandemic ("Asian Flu")</t>
  </si>
  <si>
    <t>10,000-50,000</t>
  </si>
  <si>
    <t>US seasonal flu deaths</t>
  </si>
  <si>
    <t>2017-2018 seasonal flu</t>
  </si>
  <si>
    <t>1952 Polio peak year of deaths</t>
  </si>
  <si>
    <t>COVID Deaths</t>
  </si>
  <si>
    <t>First Detected Death</t>
  </si>
  <si>
    <t>Now</t>
  </si>
  <si>
    <t>Current Deaths</t>
  </si>
  <si>
    <t>Avg Deaths / Day</t>
  </si>
  <si>
    <t>Year end at this rate (linear projection)</t>
  </si>
  <si>
    <t>Peak Deaths / Day</t>
  </si>
  <si>
    <t>1918-1919 H1N1 Flu Pandemic ("Spanish Flu")</t>
  </si>
  <si>
    <t>Believed to have originated in Kansas, origin still uncertain</t>
  </si>
  <si>
    <t xml:space="preserve">2009 H1N1 Flu Pandemic ("Swine Flu") </t>
  </si>
  <si>
    <t>1968 H3N2 Flu Pandemic ("Hong Kong Flu")</t>
  </si>
  <si>
    <t>Date COVID-19 Daily Deaths passed this death rate</t>
  </si>
  <si>
    <t>Date COVID-19 Daily Deaths passed deaths from this event</t>
  </si>
  <si>
    <t>Daily COVID-19 Deaths by Date</t>
  </si>
  <si>
    <t>% US Population at time</t>
  </si>
  <si>
    <t>Believed to have originated in Mexico</t>
  </si>
  <si>
    <t>Believed to have originated in China.</t>
  </si>
  <si>
    <t>Trump "I mean, nobody wants to do this.  It’s a brutal step.  'We’re going to close down your country.'  Who ever heard of a thing like this? But we would have had millions of people die if we didn’t do this.  Millions of people.  And I believe that, Mike.  I think — you know, in looking at things that we’ve been looking at over the last couple of days, I think — and, really, over the last couple of weeks — from the time we did it, shortly thereafter I said we made the right decision in closing down.  We made the right decision on borders, banning people coming in from China; banning, ultimately, people coming in from Europe. But we would have had millions of deaths instead of — it looks like we’ll be at about a 60,000 mark, which is 40,000 less than the lowest number thought of."</t>
  </si>
  <si>
    <t>Trump in answering this question "Mr. President, 50,000 people have died today.  You’re saying that you want credit for what the government has done.  Do you take any responsibility for these 50,000 deaths that have happened in this country?" His response: "I think we’ve done a great job.  As you know, minimal numbers were — minimal numbers were going to be 100,000 people.  Minimal numbers were going to be 100,000 people.  And we’re going to be, hopefully, far below that.  If we didn’t take quick action, you could have lost many millions of people."</t>
  </si>
  <si>
    <t>Trump " If we didn’t act quickly and smartly, we would have had, in my opinion and in the opinion of others, anywhere from 10 to 20 and maybe even 25 times the number of deaths.  We closed the border to China, meaning we put it on the ban — people coming in from China.  That was a very big moment.  As Dr. Fauci said, we saved thousands and thousands of lives when we did that.  And that’s true, but I think we would have had anywhere from 10 to 20 or 25 times the number of deaths if we didn’t act the way we did and also if we didn’t act swiftly.  So we’re very proud of our team and our task force and Mike.  Great job."</t>
  </si>
  <si>
    <t>Trump tweets "For all of the political hacks out there, if I hadn’t done my job well, &amp; early, we would have lost 1 1/2 to 2 Million People, as opposed to the 100,000 plus that looks like will be the number. That’s 15 to 20 times more than we will lose. I shut down entry from China very early!"</t>
  </si>
  <si>
    <t>Columbia Uni state, based on their modelling, that 35,000 lives would have been saved in the US if social distancing measures had begun just a week earlier than they actually did in Mid-March, warning of the risk of reopening too early, and 84% of lives could have been saved if social distancing measures had started two weeks earlier.  Trump has stated that if a second wave of the coronavirus was to hit the nation, he would not attempt to shut it down again.  In response to Columbia University's analysis, Trump attacked the Ivy League school as a "liberal, disgraceful institution."</t>
  </si>
  <si>
    <t>Imperial College release a report on the expected impact to lives of COVID-19 if no mitigation measures are taken.  It serves as an important catalyst to galvanise many governments around the world to begin taking the pandemic seriously.</t>
  </si>
  <si>
    <t>Road Fatalities</t>
  </si>
  <si>
    <t>Trump tweets "The W.H.O. really blew it. For some reason, funded largely by the United States, yet very China centric. We will be giving that a good look. Fortunately I rejected their advice on keeping our borders open to China early on. Why did they give us such a faulty recommendation?"</t>
  </si>
  <si>
    <t>Chinese authorities begin noticing cases of a mysterious disease</t>
  </si>
  <si>
    <t>CDC states that delays in rollout of coronavirus testing did not hinder the nation's response to the pandemic.  According to their analysis, coronavirus didn't begin circulating in the US until late Jan/early Feb.  According to the CDC, earlier testing would not have helped identify its spread.  The findings from the CDC that delayed testing did not have a negative impact on the US response was immediately recieved with skepticism and some criticism.  Howver, the analysis does undermine the narrative that some people in the US were infected in Dec/early Jan and note that travel restrictions such as from China and Europe did little to prevent the spread because community transmisssion was already occuring, undermining Trumps frequent references to saving millions of lives from the travel bans, particularly from China</t>
  </si>
  <si>
    <t>Trump "I really think the public has been incredible with what they — that’s one of the reasons we’re successful.  That’s one of the — if you call losing 80 or 90 thousand people "successful."  But it’s one of the reasons that we’re not at that high end of the plane as opposed to the low end of the plane. ...I used to say 65,000 —</t>
  </si>
  <si>
    <t>Trump "Not long ago, models predicted that between 1.5 million and 2.2 million people would have died in the United States without the mitigation.  Through our aggressive response and the remarkable commitment and bravery of American people, we have saved thousands and thousands of lives.  I can even make that, if you want, hundreds of thousands of lives.  People were thinking in terms of 1.5 million lives lost to 2.2 without the mitigation.  And hopefully, we’re going to come in below that 100,000 lives lost, which is a horrible number nevertheless.  It’s a horrible thing.  It could’ve been stopped.  It should’ve been stopped at source, but it wasn’t."</t>
  </si>
  <si>
    <t>US Secretary of State Mike Pompeo "There is a significant amount of evidence that this came from that laboratory in Wuhan. Instead, China behaved like authoritarian regimes do, attempted to conceal and hide and confuse. The best experts so far seem to think it was man-made. I have no reason to disbelieve that at this point." When pointed out that this was not the conclusion of the US intelligence agencies, Pompeo backtracked "That’s right. I agree with that. I've seen what the intelligence community has said.  I have no reason to believe that they've got it wrong. ... It should be something — you know, think of it: We could save anywhere from a million to even a million-five.  And, I guess, if you think about it, we could save 2.1, 2.5 million lives, depending on what happens.  And with this invisible enemy, as we said, nobody knows what really happens, but we’ve learned a lot in the last two months."</t>
  </si>
  <si>
    <t>Trump "This plague should never have happened.  It could have been stopped, but people chose not to stop it. … And some of the facts are coming out, and we did all the right moves.  I’ll tell you, we did — we wouldn’t do — we were talking to Mike before.  If we didn’t do what we did, you would’ve had a million people die, maybe more.  Maybe 2 million people die.  And if you think that we’d be at 65 or 70 or 60 or whatever the final number will be — one is too many.  I always say it: One is far too many.  This should’ve never been allowed to happen.  It should’ve been stopped a long time ago, before it ever got here or to other countries."</t>
  </si>
  <si>
    <t>Trump "We are in a war.  This is a World War Two, this is a World War One — where, by the way, the war essentially ended because of a plague.  That was one of the worst ever.  They lost almost 100 million people.  But we’re in a big war. … I did it early, but I was the last person that wanted to close down one of the great economic — you can’t call it an experiment, but everything, I guess, in life is an experiment.  So I say experiments.  But one of the great economic stories in history.  I’m the last person who wanted to do it. But we did the right thing, because if we didn’t do it, you would have had a million people, a million and a half people, maybe 2 million people dead.  Now, we’re going toward 50, I’m hearing, or 60,000 people.  One is too many.  I always say it: One is too many.  But we’re going toward 50- or 60,000 people.  That’s at the lower — as you know, the low number was supposed to be 100,000 people.  We — we could end up at 50 to 60.  Okay?  It’s horrible.  If we didn’t do what we did, we would have had, I think, a million people, maybe 2 million people, maybe more than that. ... And many of the people that have this theory, “Oh, let’s — you know, maybe we could have just gone right through it,” I was — I was somebody that would have loved to have done that, but it wouldn’t have been sustainable.  You can’t lose a million people.  That’s more than — that’s almost double what we lost in the Civil War.  I use that as a guide.  Civil War: 600,000 people died.  So it’s not sustainable.  But it could have been much more than a million people. I mean, if you took a number and cut it half, and half, and in half again, you’d end up at 500,000 people — okay? — if you want to make a very conservative guesstimate.  Five hundred thousand people is not acceptable.  Is that a correct sort of an analogy? ... When we say 50 and they compare 50 to the 35 of the flu — because it averaged 35, 36,000 over a 10-year period.  It’s a lot.  Who would think that?  But we’re not talking about with the flu. ... And we’re still going to lose between 50 and 60. ... But, in this case, if we didn’t do anything, the number wouldn’t be 50 to 60,000.  The number would be a million people dead.  It would be a million-five, a million-two.  Maybe 700,000.  It would have been a number in — like that. ... But I just say this: If we would have done that, we would have lost anywhere from a million to more than 2 million people.  Now, with all of the death that we’ve seen — and 50- or 60,000 people, heading toward — right now it’s at 40.  But 50- or 60,000 people; probably over 50, from what I see.  But that’s with our guard up.  If we took our guard down and just said, “Okay, we’re just going to keep this open,” we would have lost millions of people.  Can you imagine? ... But if we didn’t do the moves that we made, you would have had a million, a million and a half, 2 million people dead.  So multiply that times 50; you’re talking about — you would have had 10 to 20 to 25 times more people dead than all of the people that we’ve been watching.  That’s not acceptable.  The 50,000 is not acceptable.  It’s so horrible.  But can you imagine multiplying that out by 20 or more?  It’s not acceptable."</t>
  </si>
  <si>
    <t>Trump "We’re talking about death.  We’re talking about the greatest economy in the world.  One day I have to close it off.  And we did the right thing, because maybe it would have been 2 million people died instead of whatever that final number will be, which could be 60, could be 70, could be 75, could be 55.  Thousands of people have died. ... One of the reasons we’re so far below that number is because nobody thought the American people could be so disciplined.  Nobody thought it was possible.  And, I guess, when they watched us up here every day, and they watched other people, and they listened to their representatives and governors — nobody thought that the American people could be so disciplined.  They’ve been unbelievable. And because of that — so you have a minimum number of 100,000, and then you had the 2.2 number that, if we did nothing — if we did — just kept working, everybody go to work — people would be dropping dead on the subways.  No. If we would have lost a million people — take the 2.2 million and cut it in half.  Make it — cut it in more than half.  Make it a million people, okay?  Now take that number and cut it in half.  Make it 500,000 people.  That’s if we did nothing, right?  It’s unacceptable.  It’s too many people. So we have — we’ve spent more money on stimulus.  Who cares by comparison?  You take 2.2, you cut it in half, you cut it in half, you cut it in half — you keep cutting it in half.  I don’t care what number you choose — 500,000, 400,000.  Well, we’re going to have — we’re talking 50, 60, 65 [thousand].  Maybe.  Maybe.  But if we would have done what one country tried — and it has been very tough for them.  You know that.  Very, very nasty.  Very tough.  But if we would have done that here — And again, you got to remember: UK tried it.  And I was a little surprised.  And I watched it.  They were going about — what, two weeks?  And they said, “We got to stop.”  Because it was — they were going to have a whole country infected. So, with all of that being said, we got to get back to work.  We got to get — we got to get our country open.  But we could have lost 2 million people.  We could have lost 1 million people.  We could have lost a half a million people. If we would’ve lost 500,000 people — and I’ll say this also: From the standpoint of being President and Vice President, and we’re up there and we’re doing that herd, and we’re going to bullet through — do you honestly think people like Jim and yourself and other people would’ve — Jeff — would have put up with it, as people are dying all over?  They would have said, “This man is crazy.”  Because the numbers, Tony, at a minimum, would have been many, many times greater than the numbers we’re talking about."</t>
  </si>
  <si>
    <t>Dr Birx "I think you know from that large blue mountain that you can see behind me — and I just want to thank the five or six international and domestic modelers from Harvard, from Columbia, from Northeastern, from Imperial who helped us tremendously.  It was their models that created the ability to see what these mitigations could do, how steeply they could depress the curve from that giant blue mountain down to that more stippled area. In their estimates, they had between 1.5 million and 2.2 million people in the United States succumbing to this virus without mitigation.  Yet, through their detailed studies and showing us what social distancing would do, what people — what would happen if people stayed home, what would happen if people were careful every day to wash their hands and worry about touching their faces, that what an extraordinary thing this could be if every American followed these.  And it takes us to that stippled mountain that’s much lower — a hill, actually — down to 100,000 to 200,000 deaths, which is still way too much." Dr Fauci "The modeling that Dr. Birx showed predicts that number that you saw.  We don’t accept that number that that’s what’s going to be.  We’re going to be doing everything we can to get it even significantly below that. So, you know, I don’t want it to be a mixed message.  This is the thing that we need to anticipate, but that doesn’t mean that that’s what we’re going to accept.  We want to do much, much better than that. ... as sobering a number as that is, we should be prepared for it.  Is it going to be that much?  I hope not.  And I think the more we push on the mitigation, the less likelihood it would be that number.  But as being realistic, we need to prepare ourselves that that is a possibility, that that’s what we will see."</t>
  </si>
  <si>
    <t>Trump on the projections "They’re very sobering, yeah.  When you see 100,000 people, that’s a — and that’s at a minimum number. Now, what we’re looking at — and as many people as we’re talking about — whatever we can do under that number and substantially under that number, we’ve done that through really great mitigation.  We’ve done that through a lot of very dedicated American people that, you know, 100,000 is — is, according to modeling, a very low number. In fact, when I first saw the number — and I asked this a while ago — they said it’s unlikely you’ll be able to attain that.  I think we’re doing better than that.  Now, I think.  We have to see.  But I think we’re doing better than that.  Because, as John said, that would be, you know, a lot of lives taking place over a relatively short period of time. But think of what would have happened if we didn’t do anything.  I mean, I’ve had many friends, business people, people with great, actually, common sense — they said, “Why don’t we ride it out?”  A lot of people have said.  A lot of people have thought about it.  “Ride it out.  Don’t do anything, just ride it out and think of it as the flu.”  But it’s not the flu.  It’s vicious. ... So we would have seen things had we done nothing.  But for a long while, a lot of people were asking that question, I think, right?  I was asking it also.  I mean, a lot of people were saying, “Well, let’s just ride it out.”  This is not to be ridden out because then you would have been looking at potentially 2.2 million people or more.  2.2 million people in a relatively short period of time. If you remember, they were looking at that concept.  It’s a a concept, I guess.  You know, it’s concept if you — if you don’t mind death.  A lot of death.  But they were looking at that in the UK.  Remember?  They were very much looking at it.  And all of a sudden, they went hard the other way because they started seeing things that weren’t good.  So they were — you know, they put themselves in a little bit of a problem. ... But that was something that everybody was talking about, Steve, like, “just don’t do anything.”  “Don’t do anything.  Forget about everything.  Just ride it out.”  They used the expression, “Ride it out.”  We would have had, at a minimum, 1.5, 1.6, but you would have had perhaps more than 2.2 million people dying in a very short period of time.  And that would have been a number that — the likes of which we’ve never seen."</t>
  </si>
  <si>
    <t>The number of US deaths from COVID-19 surpass the 3,300 Chinese deaths from COVID-19</t>
  </si>
  <si>
    <t>The number of US deaths from COVID-19 surpass the 2,977 victims and 19 hijackers of the 9/11 attacks of 2001</t>
  </si>
  <si>
    <t>The number of US deaths from COVID-19 surpass the 2,216 US deaths of the War in Afghanistan, to-date</t>
  </si>
  <si>
    <t>The number of US deaths from COVID-19 surpass the 4,497 US deaths of the Iraq War</t>
  </si>
  <si>
    <t>The number of US deaths from COVID-19 surpass the 10,771 deaths in the US from typhoid fever in 1906-1907</t>
  </si>
  <si>
    <t>The number of US deaths from COVID-19 surpass the 12,469 deaths in the US from the H1N1 "Swine flu" of 2009-2010. Some estimates put the real death toll at 18,000.</t>
  </si>
  <si>
    <t>The number of US deaths from COVID-19 surpass the 25,000 deaths of the American Revolutionary War</t>
  </si>
  <si>
    <t>The number of US deaths from COVID-19 surpass the 36,516 US deaths of the Korean war</t>
  </si>
  <si>
    <t>The number of US deaths from COVID-19 surpass the annual US road fatalities of 37,000 - 38,000 per year</t>
  </si>
  <si>
    <t>The number of US deaths from COVID-19 surpass the 58,220 US deaths of the Vietnam war</t>
  </si>
  <si>
    <t>The number of US deaths from COVID-19 surpass the 61,000 US deaths from the seasonal flu in 2017-2018, normally the number of deaths from the seasonal flu in the US is between 10,000 to 50,000 per season.</t>
  </si>
  <si>
    <t>The number of US deaths from COVID-19 surpass the 100,000 deaths in the US from the H3N2 flu pandemic of 1968.</t>
  </si>
  <si>
    <t>Trump announces that the US is terminating its relationship with the WHO three weeks ahead of a deadline he set earlier this month on 19/5. "Chinese officials ignored their reporting obligations to the World Health Organization and pressured the World Health Organization to mislead the world when the virus was first discovered by Chinese authorities. Countless lives have been taken and profound economic hardship has been inflicted all around the globe. ... China has total control over the World Health Organization ... Because they have failed to make the requested and greatly needed reforms, we will be today terminating our relationship with the World Health Organization and redirecting those funds to other worldwide and deserving, urgent global public health needs ... world needs answers from China on the virus. We must have transparency."</t>
  </si>
  <si>
    <t>Following the death of George Floyd at the hands of police 25/5, there have been ongoing protests and riots around the country, but focus in Minneapolis. Trump tweets "....These THUGS are dishonoring the memory of George Floyd, and I won’t let that happen. Just spoke to Governor Tim Walz and told him that the Military is with him all the way. Any difficulty and we will assume control but, when the looting starts, the shooting starts. Thank you!", echoing a 1960's phrase used by Miami Police Chief Walter Headley.  Twitter hides the tweet behind a flag saying that it "glorifies violence", ratcheting up the war between Trump, conservatives, and Twitter and social platforms in general.  Trump tweets in response "Twitter is doing nothing about all of the lies &amp; propaganda being put out by China or the Radical Left Democrat Party. They have targeted Republicans, Conservatives &amp; the President of the United States."</t>
  </si>
  <si>
    <t>From Guardian report into death by law enforcement 2015</t>
  </si>
  <si>
    <t>of population</t>
  </si>
  <si>
    <t>Course grained projections based on broader rates of infection and recovery which may not be as applicable in the US context</t>
  </si>
  <si>
    <t>Fauci states that he has not spoken to Trump in over 2 weeks, raising fears that he has been frozen out of the WH response to coronavirus</t>
  </si>
  <si>
    <t>Trump announces that he is delaying the G7 until September and wants additional countries to attend - Russia, South Korea, Australia, and India as potential invitees.  Canada's PM, Justin Trudeau has pushed back on an invite being extended to Russia.</t>
  </si>
  <si>
    <t>2019 figures from the Gun Violence Archive</t>
  </si>
  <si>
    <t>Trump keeps escalating tensions following the death of George Floyd in lead up to elections and to deflect from the coronavirus response to date.  Widespread protests continue to grow and engulf US cities</t>
  </si>
  <si>
    <t>Recordings of WHO officials complaining in meetings during the week of 6/1 that Beijing was not sharing the data needed to evaluate the risk of the virus are leaked.  It was not until 20/1 that China confirmed that coronavirus was contagious.</t>
  </si>
  <si>
    <t>Origin unknown, first detected in Hong Kong</t>
  </si>
  <si>
    <t>Chinese state media announced the illness was the result of a new coronavirus but said it was not contagious</t>
  </si>
  <si>
    <t>WHO report preliminary Chinese studies suggest no clear evidence of human to human transmission, but stated that it was still an strong possibility</t>
  </si>
  <si>
    <t>Chines authorities lock down Wuhan, by which time at least 5 million residents had left before the lunar new year holiday and the city's hospitals were by this tme flooded with patients, and cases appearing across the region.</t>
  </si>
  <si>
    <t>China confirms that coronavirus was contagious.</t>
  </si>
  <si>
    <t>Chinese authorities install temperature checkpoints at the airport, train stations, and bus terminals in Wuhan.</t>
  </si>
  <si>
    <t>Trump "Germany and the United States are the two best in deaths per 100,000 people, which, frankly, to me, that’s perhaps the most important number there is.".  While not the worst, at this moment, the US has a worse death rate per 100,000 than the world average and it is by no means close to being among the two best .</t>
  </si>
  <si>
    <t>Gun Violence Deaths in US (2019)</t>
  </si>
  <si>
    <t>Death from mass shootings (2019)</t>
  </si>
  <si>
    <t>Death by US law enforcement (2015)</t>
  </si>
  <si>
    <t>Trump tweets "Why didn’t the I.G., who spent 8 years with the Obama Administration (Did she Report on the failed H1N1 Swine Flu debacle where 17,000 people died?), want to talk to the Admirals, Generals, V.P. &amp; others in charge, before doing her report. Another Fake Dossier!" Christi Grimm, the IG for the Department of Health and Human Services had published a survey of US hospital's preparedness for the pandemic and found many would struggle to treat the expected number of cases due to shortages in PPE and poor testing capacity.  The WH removes her, announcing that she was being replaced by Jason Weida.  Rep Jim Jordon (R-OH) claims that any allegation that Grimm was removed "for issuing a report is simply incorrect."  In total, 5 IGs have been removed by Trump as at the end of May.</t>
  </si>
  <si>
    <t>Initial pop est from 2.1M to 18M with over 90% killed from colonisation</t>
  </si>
  <si>
    <t>90%+</t>
  </si>
  <si>
    <t>Native North American Genocide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</si>
</sst>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13"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rgb="FFFF0000"/>
      <name val="Calibri"/>
      <family val="2"/>
      <scheme val="minor"/>
    </font>
    <font>
      <sz val="11"/>
      <name val="Calibri"/>
      <family val="2"/>
      <scheme val="minor"/>
    </font>
  </fonts>
  <fills count="2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CFF"/>
        <bgColor indexed="64"/>
      </patternFill>
    </fill>
    <fill>
      <patternFill patternType="solid">
        <fgColor rgb="FFFFE7FF"/>
        <bgColor indexed="64"/>
      </patternFill>
    </fill>
    <fill>
      <patternFill patternType="solid">
        <fgColor rgb="FFD5B9FF"/>
        <bgColor indexed="64"/>
      </patternFill>
    </fill>
    <fill>
      <patternFill patternType="solid">
        <fgColor rgb="FFE8D9FF"/>
        <bgColor indexed="64"/>
      </patternFill>
    </fill>
  </fills>
  <borders count="2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60">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9" fillId="4" borderId="0" xfId="0" applyNumberFormat="1" applyFont="1" applyFill="1" applyBorder="1"/>
    <xf numFmtId="171" fontId="9"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9" fillId="4" borderId="8" xfId="0" applyNumberFormat="1" applyFont="1" applyFill="1" applyBorder="1"/>
    <xf numFmtId="171" fontId="9"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9" fillId="4" borderId="2" xfId="0" applyNumberFormat="1" applyFont="1" applyFill="1" applyBorder="1"/>
    <xf numFmtId="171" fontId="0" fillId="2" borderId="8" xfId="0" applyNumberFormat="1" applyFill="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3" fontId="0" fillId="9" borderId="12" xfId="0" applyNumberFormat="1" applyFill="1" applyBorder="1"/>
    <xf numFmtId="171" fontId="0" fillId="4" borderId="7" xfId="0" applyNumberFormat="1" applyFill="1" applyBorder="1"/>
    <xf numFmtId="164" fontId="9" fillId="4" borderId="0" xfId="0" applyNumberFormat="1" applyFon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0" fontId="4" fillId="0" borderId="0" xfId="0" applyFont="1" applyAlignment="1">
      <alignment horizontal="center" vertical="center" wrapText="1"/>
    </xf>
    <xf numFmtId="9" fontId="0" fillId="0" borderId="0" xfId="0" applyNumberFormat="1" applyAlignment="1">
      <alignment vertical="center" wrapText="1"/>
    </xf>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9" fillId="4" borderId="1" xfId="0" applyNumberFormat="1" applyFont="1" applyFill="1" applyBorder="1"/>
    <xf numFmtId="9" fontId="9" fillId="4" borderId="3" xfId="0" applyNumberFormat="1" applyFont="1" applyFill="1" applyBorder="1"/>
    <xf numFmtId="171" fontId="9" fillId="4" borderId="3" xfId="0" applyNumberFormat="1" applyFont="1" applyFill="1" applyBorder="1"/>
    <xf numFmtId="171" fontId="9" fillId="4" borderId="5" xfId="0" applyNumberFormat="1" applyFont="1" applyFill="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9" fontId="5" fillId="0" borderId="0" xfId="1" applyNumberFormat="1" applyFill="1" applyBorder="1"/>
    <xf numFmtId="166" fontId="0" fillId="9" borderId="7" xfId="0" applyNumberFormat="1" applyFill="1" applyBorder="1"/>
    <xf numFmtId="166" fontId="0" fillId="9" borderId="8" xfId="0" applyNumberFormat="1" applyFill="1" applyBorder="1"/>
    <xf numFmtId="14" fontId="9" fillId="0" borderId="19" xfId="0" applyNumberFormat="1" applyFont="1" applyFill="1" applyBorder="1"/>
    <xf numFmtId="0" fontId="9" fillId="0" borderId="0" xfId="0" applyFont="1" applyFill="1"/>
    <xf numFmtId="3" fontId="9" fillId="8" borderId="14" xfId="0" applyNumberFormat="1" applyFont="1" applyFill="1" applyBorder="1"/>
    <xf numFmtId="3" fontId="9" fillId="2" borderId="14" xfId="0" applyNumberFormat="1" applyFont="1" applyFill="1" applyBorder="1"/>
    <xf numFmtId="171" fontId="0" fillId="0" borderId="0" xfId="0" applyNumberFormat="1"/>
    <xf numFmtId="170" fontId="0" fillId="0" borderId="11" xfId="0" applyNumberFormat="1" applyBorder="1"/>
    <xf numFmtId="0" fontId="0" fillId="4" borderId="0" xfId="0" applyFill="1"/>
    <xf numFmtId="0" fontId="0" fillId="16" borderId="7" xfId="0" applyFill="1" applyBorder="1"/>
    <xf numFmtId="14" fontId="0" fillId="0" borderId="0" xfId="0" applyNumberFormat="1" applyBorder="1"/>
    <xf numFmtId="164" fontId="9" fillId="4" borderId="3" xfId="0" applyNumberFormat="1" applyFont="1" applyFill="1" applyBorder="1"/>
    <xf numFmtId="3" fontId="9" fillId="4" borderId="5" xfId="0" applyNumberFormat="1" applyFont="1" applyFill="1" applyBorder="1"/>
    <xf numFmtId="3" fontId="9" fillId="4" borderId="15" xfId="0" applyNumberFormat="1" applyFont="1" applyFill="1" applyBorder="1" applyAlignment="1">
      <alignment horizontal="center"/>
    </xf>
    <xf numFmtId="3" fontId="0" fillId="17" borderId="14" xfId="0" applyNumberFormat="1" applyFill="1" applyBorder="1"/>
    <xf numFmtId="171" fontId="0" fillId="18" borderId="3" xfId="0" applyNumberFormat="1" applyFill="1" applyBorder="1"/>
    <xf numFmtId="171" fontId="0" fillId="18" borderId="0" xfId="0" applyNumberFormat="1" applyFill="1" applyBorder="1"/>
    <xf numFmtId="3" fontId="0" fillId="17" borderId="13" xfId="0" applyNumberFormat="1" applyFill="1" applyBorder="1"/>
    <xf numFmtId="170" fontId="0" fillId="18" borderId="14" xfId="0" applyNumberFormat="1" applyFill="1" applyBorder="1"/>
    <xf numFmtId="171" fontId="0" fillId="18" borderId="4" xfId="0" applyNumberFormat="1" applyFill="1" applyBorder="1"/>
    <xf numFmtId="3" fontId="0" fillId="0" borderId="13" xfId="0" applyNumberFormat="1" applyFill="1" applyBorder="1" applyAlignment="1">
      <alignment horizontal="center"/>
    </xf>
    <xf numFmtId="14" fontId="0" fillId="2" borderId="0" xfId="0" applyNumberFormat="1" applyFill="1"/>
    <xf numFmtId="14" fontId="0" fillId="13" borderId="0" xfId="0" applyNumberFormat="1" applyFill="1"/>
    <xf numFmtId="0" fontId="0" fillId="13" borderId="0" xfId="0" applyFill="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0" fontId="0" fillId="2" borderId="0" xfId="0" applyFill="1"/>
    <xf numFmtId="14" fontId="0" fillId="4" borderId="20" xfId="0" applyNumberFormat="1" applyFill="1" applyBorder="1"/>
    <xf numFmtId="14" fontId="0" fillId="15" borderId="21" xfId="0" applyNumberFormat="1" applyFill="1" applyBorder="1"/>
    <xf numFmtId="14" fontId="0" fillId="16" borderId="21" xfId="0" applyNumberFormat="1" applyFill="1" applyBorder="1"/>
    <xf numFmtId="14" fontId="0" fillId="10" borderId="21" xfId="0" applyNumberFormat="1" applyFill="1" applyBorder="1"/>
    <xf numFmtId="14" fontId="0" fillId="4" borderId="21" xfId="0" applyNumberFormat="1" applyFill="1" applyBorder="1"/>
    <xf numFmtId="14" fontId="0" fillId="0" borderId="21" xfId="0" applyNumberFormat="1" applyFill="1" applyBorder="1"/>
    <xf numFmtId="14" fontId="0" fillId="8" borderId="21" xfId="0" applyNumberFormat="1" applyFill="1" applyBorder="1"/>
    <xf numFmtId="171" fontId="11" fillId="0" borderId="7" xfId="0" applyNumberFormat="1" applyFont="1" applyBorder="1"/>
    <xf numFmtId="14" fontId="0" fillId="8" borderId="14" xfId="0" applyNumberFormat="1" applyFill="1" applyBorder="1"/>
    <xf numFmtId="171" fontId="12" fillId="0" borderId="7" xfId="0" applyNumberFormat="1" applyFont="1" applyBorder="1"/>
    <xf numFmtId="14" fontId="0" fillId="8" borderId="22" xfId="0" applyNumberFormat="1" applyFill="1" applyBorder="1"/>
    <xf numFmtId="166" fontId="0" fillId="9" borderId="0" xfId="0" applyNumberFormat="1" applyFill="1" applyBorder="1"/>
    <xf numFmtId="0" fontId="0" fillId="19" borderId="23" xfId="0" applyFill="1" applyBorder="1"/>
    <xf numFmtId="3" fontId="0" fillId="19" borderId="23" xfId="0" applyNumberFormat="1" applyFill="1" applyBorder="1"/>
    <xf numFmtId="3" fontId="0" fillId="20" borderId="0" xfId="0" applyNumberFormat="1" applyFill="1"/>
    <xf numFmtId="3" fontId="0" fillId="21" borderId="23" xfId="0" applyNumberFormat="1" applyFill="1" applyBorder="1"/>
    <xf numFmtId="3" fontId="0" fillId="22" borderId="0" xfId="0" applyNumberFormat="1" applyFill="1"/>
    <xf numFmtId="164" fontId="0" fillId="9" borderId="2" xfId="0" applyNumberFormat="1" applyFill="1" applyBorder="1"/>
    <xf numFmtId="17" fontId="0" fillId="0" borderId="0" xfId="0" applyNumberFormat="1" applyFill="1"/>
    <xf numFmtId="14" fontId="0" fillId="0" borderId="12" xfId="0" applyNumberFormat="1" applyFill="1" applyBorder="1"/>
    <xf numFmtId="3" fontId="0" fillId="21" borderId="20" xfId="0" applyNumberFormat="1" applyFill="1" applyBorder="1"/>
    <xf numFmtId="0" fontId="0" fillId="19" borderId="0" xfId="0" applyFill="1" applyBorder="1"/>
    <xf numFmtId="3" fontId="0" fillId="9" borderId="2" xfId="0" applyNumberFormat="1" applyFill="1" applyBorder="1"/>
    <xf numFmtId="3" fontId="0" fillId="22" borderId="0" xfId="0" applyNumberFormat="1" applyFill="1" applyBorder="1"/>
    <xf numFmtId="3" fontId="0" fillId="20" borderId="0" xfId="0" applyNumberFormat="1" applyFill="1" applyBorder="1"/>
    <xf numFmtId="0" fontId="5" fillId="0" borderId="0" xfId="1"/>
    <xf numFmtId="0" fontId="4" fillId="0" borderId="0" xfId="0" applyFont="1"/>
    <xf numFmtId="3" fontId="0" fillId="2" borderId="0" xfId="0" applyNumberFormat="1" applyFill="1"/>
    <xf numFmtId="0" fontId="0" fillId="2" borderId="8" xfId="0" applyFill="1" applyBorder="1"/>
    <xf numFmtId="14" fontId="0" fillId="2" borderId="8" xfId="0" applyNumberFormat="1" applyFill="1" applyBorder="1"/>
    <xf numFmtId="3" fontId="0" fillId="6" borderId="0" xfId="0" applyNumberFormat="1" applyFill="1"/>
    <xf numFmtId="14" fontId="0" fillId="6" borderId="0" xfId="0" applyNumberFormat="1" applyFill="1"/>
    <xf numFmtId="3" fontId="0" fillId="6" borderId="0" xfId="0" applyNumberFormat="1" applyFill="1" applyBorder="1"/>
    <xf numFmtId="10" fontId="0" fillId="6" borderId="0" xfId="0" applyNumberFormat="1" applyFill="1"/>
    <xf numFmtId="14" fontId="0" fillId="6" borderId="8" xfId="0" applyNumberFormat="1" applyFill="1" applyBorder="1"/>
    <xf numFmtId="0" fontId="0" fillId="6" borderId="8" xfId="0" applyFill="1" applyBorder="1"/>
    <xf numFmtId="0" fontId="0" fillId="0" borderId="0" xfId="0" applyFont="1"/>
    <xf numFmtId="3" fontId="0" fillId="0" borderId="8" xfId="0" applyNumberFormat="1" applyFill="1" applyBorder="1"/>
    <xf numFmtId="0" fontId="0" fillId="0" borderId="8" xfId="0" applyFill="1" applyBorder="1"/>
    <xf numFmtId="3" fontId="0" fillId="6" borderId="8" xfId="0" applyNumberFormat="1" applyFill="1" applyBorder="1"/>
    <xf numFmtId="3" fontId="0" fillId="6" borderId="0" xfId="0" applyNumberFormat="1" applyFill="1" applyAlignment="1">
      <alignment horizontal="right"/>
    </xf>
    <xf numFmtId="0" fontId="0" fillId="6" borderId="0" xfId="0" applyFill="1" applyAlignment="1">
      <alignment horizontal="right"/>
    </xf>
    <xf numFmtId="3" fontId="0" fillId="6" borderId="8" xfId="0" applyNumberFormat="1" applyFill="1" applyBorder="1" applyAlignment="1">
      <alignment horizontal="right"/>
    </xf>
    <xf numFmtId="3" fontId="0" fillId="0" borderId="0" xfId="0" applyNumberFormat="1" applyAlignment="1">
      <alignment horizontal="right"/>
    </xf>
    <xf numFmtId="3" fontId="0" fillId="0" borderId="8" xfId="0" applyNumberFormat="1" applyBorder="1" applyAlignment="1">
      <alignment horizontal="right"/>
    </xf>
    <xf numFmtId="3" fontId="0" fillId="0" borderId="0" xfId="0" applyNumberFormat="1" applyBorder="1" applyAlignment="1">
      <alignment horizontal="right"/>
    </xf>
    <xf numFmtId="0" fontId="0" fillId="0" borderId="8" xfId="0" applyFont="1" applyBorder="1"/>
    <xf numFmtId="3" fontId="0" fillId="0" borderId="8" xfId="0" applyNumberFormat="1" applyFont="1" applyBorder="1" applyAlignment="1">
      <alignment horizontal="right"/>
    </xf>
    <xf numFmtId="0" fontId="0" fillId="6" borderId="0" xfId="0" applyFont="1" applyFill="1"/>
    <xf numFmtId="3" fontId="0" fillId="6" borderId="0" xfId="0" applyNumberFormat="1" applyFont="1" applyFill="1" applyAlignment="1">
      <alignment horizontal="right"/>
    </xf>
    <xf numFmtId="3" fontId="0" fillId="0" borderId="12" xfId="0" applyNumberFormat="1" applyBorder="1"/>
    <xf numFmtId="14" fontId="0" fillId="2" borderId="0" xfId="0" applyNumberFormat="1" applyFill="1" applyBorder="1"/>
    <xf numFmtId="14" fontId="0" fillId="2" borderId="8" xfId="0" applyNumberFormat="1" applyFont="1" applyFill="1" applyBorder="1"/>
    <xf numFmtId="3" fontId="0" fillId="2" borderId="8" xfId="0" applyNumberFormat="1" applyFont="1" applyFill="1" applyBorder="1"/>
    <xf numFmtId="0" fontId="4" fillId="0" borderId="8" xfId="0" applyFont="1" applyBorder="1" applyAlignment="1">
      <alignment wrapText="1"/>
    </xf>
    <xf numFmtId="0" fontId="0" fillId="0" borderId="0" xfId="0" applyAlignment="1">
      <alignment wrapText="1"/>
    </xf>
    <xf numFmtId="0" fontId="0" fillId="0" borderId="8" xfId="0" applyBorder="1" applyAlignment="1">
      <alignment wrapText="1"/>
    </xf>
    <xf numFmtId="0" fontId="4" fillId="0" borderId="1" xfId="0" applyFont="1" applyBorder="1" applyAlignment="1">
      <alignment wrapText="1"/>
    </xf>
    <xf numFmtId="0" fontId="4" fillId="0" borderId="7" xfId="0" applyFont="1" applyBorder="1" applyAlignment="1">
      <alignment wrapText="1"/>
    </xf>
    <xf numFmtId="0" fontId="4" fillId="0" borderId="2" xfId="0" applyFont="1" applyBorder="1" applyAlignment="1">
      <alignment wrapText="1"/>
    </xf>
    <xf numFmtId="14" fontId="0" fillId="0" borderId="3" xfId="0" applyNumberFormat="1" applyBorder="1"/>
    <xf numFmtId="0" fontId="4" fillId="0" borderId="0" xfId="0" applyFont="1" applyBorder="1"/>
    <xf numFmtId="0" fontId="4" fillId="0" borderId="3" xfId="0" applyFont="1" applyBorder="1"/>
    <xf numFmtId="165" fontId="0" fillId="6" borderId="0" xfId="0" applyNumberFormat="1" applyFill="1"/>
    <xf numFmtId="170" fontId="0" fillId="2" borderId="0" xfId="0" applyNumberFormat="1" applyFill="1"/>
    <xf numFmtId="169" fontId="0" fillId="6" borderId="0" xfId="0" applyNumberFormat="1" applyFill="1"/>
    <xf numFmtId="1" fontId="0" fillId="2" borderId="0" xfId="0" applyNumberFormat="1" applyFill="1"/>
    <xf numFmtId="0" fontId="0" fillId="6" borderId="0" xfId="0" applyFill="1" applyAlignment="1">
      <alignment horizontal="left" indent="1"/>
    </xf>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0" xfId="0" applyAlignment="1">
      <alignment vertical="center" wrapText="1"/>
    </xf>
    <xf numFmtId="0" fontId="5" fillId="0" borderId="0" xfId="1" applyFill="1"/>
    <xf numFmtId="0" fontId="4" fillId="0" borderId="0"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0" fillId="0" borderId="0" xfId="0" applyFont="1" applyBorder="1" applyAlignment="1">
      <alignment wrapText="1"/>
    </xf>
    <xf numFmtId="0" fontId="0" fillId="0" borderId="0" xfId="0" applyAlignment="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2">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E8D9FF"/>
      <color rgb="FFD5B9FF"/>
      <color rgb="FFC39BFF"/>
      <color rgb="FFFFE7FF"/>
      <color rgb="FFFFCCFF"/>
      <color rgb="FFC39BE1"/>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43946.963576273149</c:v>
                </c:pt>
                <c:pt idx="1">
                  <c:v>43949.963576273149</c:v>
                </c:pt>
                <c:pt idx="2">
                  <c:v>43952.963576273149</c:v>
                </c:pt>
                <c:pt idx="3">
                  <c:v>43955.963576273149</c:v>
                </c:pt>
                <c:pt idx="4">
                  <c:v>43958.963576273149</c:v>
                </c:pt>
                <c:pt idx="5">
                  <c:v>43961.963576273149</c:v>
                </c:pt>
                <c:pt idx="6">
                  <c:v>43964.963576273149</c:v>
                </c:pt>
                <c:pt idx="7">
                  <c:v>43967.963576273149</c:v>
                </c:pt>
                <c:pt idx="8">
                  <c:v>43970.963576273149</c:v>
                </c:pt>
                <c:pt idx="9">
                  <c:v>43973.963576273149</c:v>
                </c:pt>
                <c:pt idx="10">
                  <c:v>43976.963576273149</c:v>
                </c:pt>
                <c:pt idx="11">
                  <c:v>43979.963576273149</c:v>
                </c:pt>
                <c:pt idx="12">
                  <c:v>43982.963576273149</c:v>
                </c:pt>
                <c:pt idx="13">
                  <c:v>43985.963576273149</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43946.963576273149</c:v>
                </c:pt>
                <c:pt idx="1">
                  <c:v>43949.963576273149</c:v>
                </c:pt>
                <c:pt idx="2">
                  <c:v>43952.963576273149</c:v>
                </c:pt>
                <c:pt idx="3">
                  <c:v>43955.963576273149</c:v>
                </c:pt>
                <c:pt idx="4">
                  <c:v>43958.963576273149</c:v>
                </c:pt>
                <c:pt idx="5">
                  <c:v>43961.963576273149</c:v>
                </c:pt>
                <c:pt idx="6">
                  <c:v>43964.963576273149</c:v>
                </c:pt>
                <c:pt idx="7">
                  <c:v>43967.963576273149</c:v>
                </c:pt>
                <c:pt idx="8">
                  <c:v>43970.963576273149</c:v>
                </c:pt>
                <c:pt idx="9">
                  <c:v>43973.963576273149</c:v>
                </c:pt>
                <c:pt idx="10">
                  <c:v>43976.963576273149</c:v>
                </c:pt>
                <c:pt idx="11">
                  <c:v>43979.963576273149</c:v>
                </c:pt>
                <c:pt idx="12">
                  <c:v>43982.963576273149</c:v>
                </c:pt>
                <c:pt idx="13">
                  <c:v>43985.963576273149</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54.479418886198545</c:v>
                </c:pt>
                <c:pt idx="1">
                  <c:v>108.95883777239709</c:v>
                </c:pt>
                <c:pt idx="2">
                  <c:v>217.91767554479418</c:v>
                </c:pt>
                <c:pt idx="3">
                  <c:v>435.83535108958836</c:v>
                </c:pt>
                <c:pt idx="4">
                  <c:v>871.67070217917671</c:v>
                </c:pt>
                <c:pt idx="5">
                  <c:v>1743.3414043583534</c:v>
                </c:pt>
                <c:pt idx="6">
                  <c:v>3486.6828087167069</c:v>
                </c:pt>
                <c:pt idx="7">
                  <c:v>6973.3656174334137</c:v>
                </c:pt>
                <c:pt idx="8">
                  <c:v>13946.731234866827</c:v>
                </c:pt>
                <c:pt idx="9">
                  <c:v>27893.462469733655</c:v>
                </c:pt>
                <c:pt idx="10">
                  <c:v>55786.92493946731</c:v>
                </c:pt>
                <c:pt idx="11">
                  <c:v>111573.84987893462</c:v>
                </c:pt>
                <c:pt idx="12">
                  <c:v>223147.69975786924</c:v>
                </c:pt>
                <c:pt idx="13">
                  <c:v>446295.39951573848</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43946.963576273149</c:v>
                </c:pt>
                <c:pt idx="1">
                  <c:v>43949.963576273149</c:v>
                </c:pt>
                <c:pt idx="2">
                  <c:v>43952.963576273149</c:v>
                </c:pt>
                <c:pt idx="3">
                  <c:v>43955.963576273149</c:v>
                </c:pt>
                <c:pt idx="4">
                  <c:v>43958.963576273149</c:v>
                </c:pt>
                <c:pt idx="5">
                  <c:v>43961.963576273149</c:v>
                </c:pt>
                <c:pt idx="6">
                  <c:v>43964.963576273149</c:v>
                </c:pt>
                <c:pt idx="7">
                  <c:v>43967.963576273149</c:v>
                </c:pt>
                <c:pt idx="8">
                  <c:v>43970.963576273149</c:v>
                </c:pt>
                <c:pt idx="9">
                  <c:v>43973.963576273149</c:v>
                </c:pt>
                <c:pt idx="10">
                  <c:v>43976.963576273149</c:v>
                </c:pt>
                <c:pt idx="11">
                  <c:v>43979.963576273149</c:v>
                </c:pt>
                <c:pt idx="12">
                  <c:v>43982.963576273149</c:v>
                </c:pt>
                <c:pt idx="13">
                  <c:v>43985.963576273149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16.949152542372886</c:v>
                </c:pt>
                <c:pt idx="4">
                  <c:v>33.898305084745772</c:v>
                </c:pt>
                <c:pt idx="5">
                  <c:v>67.796610169491544</c:v>
                </c:pt>
                <c:pt idx="6">
                  <c:v>135.59322033898309</c:v>
                </c:pt>
                <c:pt idx="7">
                  <c:v>271.18644067796617</c:v>
                </c:pt>
                <c:pt idx="8">
                  <c:v>542.37288135593235</c:v>
                </c:pt>
                <c:pt idx="9">
                  <c:v>1084.7457627118647</c:v>
                </c:pt>
                <c:pt idx="10">
                  <c:v>2169.4915254237294</c:v>
                </c:pt>
                <c:pt idx="11">
                  <c:v>4338.9830508474588</c:v>
                </c:pt>
                <c:pt idx="12">
                  <c:v>8677.9661016949176</c:v>
                </c:pt>
                <c:pt idx="13">
                  <c:v>17355.932203389835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Projections!$A$284</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Projections!$P$283:$BG$283</c15:sqref>
                  </c15:fullRef>
                </c:ext>
              </c:extLst>
              <c:f>Projections!$P$283:$AL$283</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numCache>
            </c:numRef>
          </c:cat>
          <c:val>
            <c:numRef>
              <c:extLst>
                <c:ext xmlns:c15="http://schemas.microsoft.com/office/drawing/2012/chart" uri="{02D57815-91ED-43cb-92C2-25804820EDAC}">
                  <c15:fullRef>
                    <c15:sqref>Projections!$P$284:$BG$284</c15:sqref>
                  </c15:fullRef>
                </c:ext>
              </c:extLst>
              <c:f>Projections!$P$284:$AL$284</c:f>
              <c:numCache>
                <c:formatCode>#,##0_ ;[Red]\-#,##0\ </c:formatCode>
                <c:ptCount val="23"/>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numCache>
            </c:numRef>
          </c:val>
          <c:smooth val="0"/>
          <c:extLst>
            <c:ext xmlns:c16="http://schemas.microsoft.com/office/drawing/2014/chart" uri="{C3380CC4-5D6E-409C-BE32-E72D297353CC}">
              <c16:uniqueId val="{00000004-8BCC-427B-903C-670C749E04E9}"/>
            </c:ext>
          </c:extLst>
        </c:ser>
        <c:ser>
          <c:idx val="1"/>
          <c:order val="1"/>
          <c:tx>
            <c:strRef>
              <c:f>Projections!$A$308</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Projections!$P$283:$BG$283</c15:sqref>
                  </c15:fullRef>
                </c:ext>
              </c:extLst>
              <c:f>Projections!$P$283:$AL$283</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numCache>
            </c:numRef>
          </c:cat>
          <c:val>
            <c:numRef>
              <c:extLst>
                <c:ext xmlns:c15="http://schemas.microsoft.com/office/drawing/2012/chart" uri="{02D57815-91ED-43cb-92C2-25804820EDAC}">
                  <c15:fullRef>
                    <c15:sqref>Projections!$P$308:$BG$308</c15:sqref>
                  </c15:fullRef>
                </c:ext>
              </c:extLst>
              <c:f>Projections!$P$308:$AL$308</c:f>
              <c:numCache>
                <c:formatCode>General</c:formatCode>
                <c:ptCount val="23"/>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Projections!$A$298</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Projections!$P$283:$BG$283</c15:sqref>
                  </c15:fullRef>
                </c:ext>
              </c:extLst>
              <c:f>Projections!$P$283:$AL$283</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numCache>
            </c:numRef>
          </c:cat>
          <c:val>
            <c:numRef>
              <c:extLst>
                <c:ext xmlns:c15="http://schemas.microsoft.com/office/drawing/2012/chart" uri="{02D57815-91ED-43cb-92C2-25804820EDAC}">
                  <c15:fullRef>
                    <c15:sqref>Projections!$P$298:$BG$298</c15:sqref>
                  </c15:fullRef>
                </c:ext>
              </c:extLst>
              <c:f>Projections!$P$298:$AL$298</c:f>
              <c:numCache>
                <c:formatCode>#,##0_ ;[Red]\-#,##0\ </c:formatCode>
                <c:ptCount val="23"/>
                <c:pt idx="0">
                  <c:v>1.84375</c:v>
                </c:pt>
                <c:pt idx="1">
                  <c:v>3.6875</c:v>
                </c:pt>
                <c:pt idx="2">
                  <c:v>7.375</c:v>
                </c:pt>
                <c:pt idx="3">
                  <c:v>14.75</c:v>
                </c:pt>
                <c:pt idx="4">
                  <c:v>29.5</c:v>
                </c:pt>
                <c:pt idx="5">
                  <c:v>59</c:v>
                </c:pt>
                <c:pt idx="6">
                  <c:v>118</c:v>
                </c:pt>
                <c:pt idx="7">
                  <c:v>236</c:v>
                </c:pt>
                <c:pt idx="8">
                  <c:v>472</c:v>
                </c:pt>
                <c:pt idx="9">
                  <c:v>944</c:v>
                </c:pt>
                <c:pt idx="10">
                  <c:v>1888</c:v>
                </c:pt>
                <c:pt idx="11">
                  <c:v>3776</c:v>
                </c:pt>
                <c:pt idx="12">
                  <c:v>7552</c:v>
                </c:pt>
                <c:pt idx="13">
                  <c:v>15104</c:v>
                </c:pt>
                <c:pt idx="14">
                  <c:v>30208</c:v>
                </c:pt>
                <c:pt idx="15">
                  <c:v>37760</c:v>
                </c:pt>
                <c:pt idx="16">
                  <c:v>45312</c:v>
                </c:pt>
                <c:pt idx="17">
                  <c:v>52864</c:v>
                </c:pt>
                <c:pt idx="18">
                  <c:v>60416</c:v>
                </c:pt>
                <c:pt idx="19">
                  <c:v>77332.479999999996</c:v>
                </c:pt>
                <c:pt idx="20">
                  <c:v>90624</c:v>
                </c:pt>
                <c:pt idx="21">
                  <c:v>105728</c:v>
                </c:pt>
                <c:pt idx="22">
                  <c:v>120832</c:v>
                </c:pt>
              </c:numCache>
            </c:numRef>
          </c:val>
          <c:smooth val="0"/>
          <c:extLst>
            <c:ext xmlns:c16="http://schemas.microsoft.com/office/drawing/2014/chart" uri="{C3380CC4-5D6E-409C-BE32-E72D297353CC}">
              <c16:uniqueId val="{00000000-50BE-40C1-B679-81AF0BCE3FCD}"/>
            </c:ext>
          </c:extLst>
        </c:ser>
        <c:ser>
          <c:idx val="1"/>
          <c:order val="1"/>
          <c:tx>
            <c:strRef>
              <c:f>Projections!$A$312</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Projections!$P$283:$BG$283</c15:sqref>
                  </c15:fullRef>
                </c:ext>
              </c:extLst>
              <c:f>Projections!$P$283:$AL$283</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numCache>
            </c:numRef>
          </c:cat>
          <c:val>
            <c:numRef>
              <c:extLst>
                <c:ext xmlns:c15="http://schemas.microsoft.com/office/drawing/2012/chart" uri="{02D57815-91ED-43cb-92C2-25804820EDAC}">
                  <c15:fullRef>
                    <c15:sqref>Projections!$P$312:$BG$312</c15:sqref>
                  </c15:fullRef>
                </c:ext>
              </c:extLst>
              <c:f>Projections!$P$312:$AL$312</c:f>
              <c:numCache>
                <c:formatCode>General</c:formatCode>
                <c:ptCount val="23"/>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pt idx="22" formatCode="#,##0">
                  <c:v>109146</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Projections!$A$294</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Projections!$P$294:$BG$294</c15:sqref>
                  </c15:fullRef>
                </c:ext>
              </c:extLst>
              <c:f>Projections!$P$294:$AQ$294</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65577.889617991445</c:v>
                </c:pt>
                <c:pt idx="15">
                  <c:v>155906.69596672634</c:v>
                </c:pt>
                <c:pt idx="16">
                  <c:v>111083.1714562041</c:v>
                </c:pt>
                <c:pt idx="17">
                  <c:v>132795.09456567839</c:v>
                </c:pt>
                <c:pt idx="18">
                  <c:v>155204.27961369391</c:v>
                </c:pt>
                <c:pt idx="19">
                  <c:v>295492.66518045042</c:v>
                </c:pt>
                <c:pt idx="20">
                  <c:v>354791.8589697365</c:v>
                </c:pt>
                <c:pt idx="21">
                  <c:v>448469.46944997844</c:v>
                </c:pt>
                <c:pt idx="22">
                  <c:v>407976.69599878788</c:v>
                </c:pt>
                <c:pt idx="23">
                  <c:v>940698.40448295011</c:v>
                </c:pt>
                <c:pt idx="24">
                  <c:v>810839.39785012079</c:v>
                </c:pt>
                <c:pt idx="25">
                  <c:v>952745.88707694656</c:v>
                </c:pt>
                <c:pt idx="26">
                  <c:v>1064307.9294741398</c:v>
                </c:pt>
                <c:pt idx="27">
                  <c:v>1160249.6763565929</c:v>
                </c:pt>
              </c:numCache>
            </c:numRef>
          </c:val>
          <c:smooth val="0"/>
          <c:extLst>
            <c:ext xmlns:c16="http://schemas.microsoft.com/office/drawing/2014/chart" uri="{C3380CC4-5D6E-409C-BE32-E72D297353CC}">
              <c16:uniqueId val="{00000000-A3C2-4B4C-996C-CDB1A252886F}"/>
            </c:ext>
          </c:extLst>
        </c:ser>
        <c:ser>
          <c:idx val="2"/>
          <c:order val="1"/>
          <c:tx>
            <c:strRef>
              <c:f>Projections!$A$295</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Projections!$P$295:$BG$295</c15:sqref>
                  </c15:fullRef>
                </c:ext>
              </c:extLst>
              <c:f>Projections!$P$295:$AQ$295</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60011.596753736201</c:v>
                </c:pt>
                <c:pt idx="15">
                  <c:v>142124.36171205499</c:v>
                </c:pt>
                <c:pt idx="16">
                  <c:v>89737.506502580392</c:v>
                </c:pt>
                <c:pt idx="17">
                  <c:v>82168.218806941761</c:v>
                </c:pt>
                <c:pt idx="18">
                  <c:v>121077.37661798642</c:v>
                </c:pt>
                <c:pt idx="19">
                  <c:v>252868.59737156465</c:v>
                </c:pt>
                <c:pt idx="20">
                  <c:v>181677.79901564698</c:v>
                </c:pt>
                <c:pt idx="21">
                  <c:v>203285.11007365442</c:v>
                </c:pt>
                <c:pt idx="22">
                  <c:v>252056.96599880184</c:v>
                </c:pt>
                <c:pt idx="23">
                  <c:v>532659.2429449925</c:v>
                </c:pt>
                <c:pt idx="24">
                  <c:v>553229.92637480807</c:v>
                </c:pt>
                <c:pt idx="25">
                  <c:v>351534.76998693473</c:v>
                </c:pt>
                <c:pt idx="26">
                  <c:v>535989.53950503108</c:v>
                </c:pt>
                <c:pt idx="27">
                  <c:v>531877.01113903837</c:v>
                </c:pt>
              </c:numCache>
            </c:numRef>
          </c:val>
          <c:smooth val="0"/>
          <c:extLst>
            <c:ext xmlns:c16="http://schemas.microsoft.com/office/drawing/2014/chart" uri="{C3380CC4-5D6E-409C-BE32-E72D297353CC}">
              <c16:uniqueId val="{00000001-A3C2-4B4C-996C-CDB1A252886F}"/>
            </c:ext>
          </c:extLst>
        </c:ser>
        <c:ser>
          <c:idx val="0"/>
          <c:order val="2"/>
          <c:tx>
            <c:strRef>
              <c:f>Projections!$A$296</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Projections!$P$296:$BG$296</c15:sqref>
                  </c15:fullRef>
                </c:ext>
              </c:extLst>
              <c:f>Projections!$P$296:$AQ$296</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123.70535714285711</c:v>
                </c:pt>
                <c:pt idx="13">
                  <c:v>515.59097869702066</c:v>
                </c:pt>
                <c:pt idx="14">
                  <c:v>5570.8928571428578</c:v>
                </c:pt>
                <c:pt idx="15">
                  <c:v>13823.025678649645</c:v>
                </c:pt>
                <c:pt idx="16">
                  <c:v>21428.939201378067</c:v>
                </c:pt>
                <c:pt idx="17">
                  <c:v>50945.755168707459</c:v>
                </c:pt>
                <c:pt idx="18">
                  <c:v>35451.144071431758</c:v>
                </c:pt>
                <c:pt idx="19">
                  <c:v>42937.038554280232</c:v>
                </c:pt>
                <c:pt idx="20">
                  <c:v>134060.1838119278</c:v>
                </c:pt>
                <c:pt idx="21">
                  <c:v>169554.0325304759</c:v>
                </c:pt>
                <c:pt idx="22">
                  <c:v>163685.41381191395</c:v>
                </c:pt>
                <c:pt idx="23">
                  <c:v>121528.35323819361</c:v>
                </c:pt>
                <c:pt idx="24">
                  <c:v>115367.50498258488</c:v>
                </c:pt>
                <c:pt idx="25">
                  <c:v>144053.00494187459</c:v>
                </c:pt>
                <c:pt idx="26">
                  <c:v>169297.15502566702</c:v>
                </c:pt>
                <c:pt idx="27">
                  <c:v>192561.66533694998</c:v>
                </c:pt>
              </c:numCache>
            </c:numRef>
          </c:val>
          <c:smooth val="0"/>
          <c:extLst>
            <c:ext xmlns:c16="http://schemas.microsoft.com/office/drawing/2014/chart" uri="{C3380CC4-5D6E-409C-BE32-E72D297353CC}">
              <c16:uniqueId val="{00000002-A3C2-4B4C-996C-CDB1A252886F}"/>
            </c:ext>
          </c:extLst>
        </c:ser>
        <c:ser>
          <c:idx val="4"/>
          <c:order val="3"/>
          <c:tx>
            <c:strRef>
              <c:f>Projections!$A$297</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Projections!$P$297:$BG$297</c15:sqref>
                  </c15:fullRef>
                </c:ext>
              </c:extLst>
              <c:f>Projections!$P$297:$AQ$297</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121.95297559059789</c:v>
                </c:pt>
                <c:pt idx="13">
                  <c:v>512.48161226603429</c:v>
                </c:pt>
                <c:pt idx="14">
                  <c:v>5557.792864255247</c:v>
                </c:pt>
                <c:pt idx="15">
                  <c:v>13764.945321506788</c:v>
                </c:pt>
                <c:pt idx="16">
                  <c:v>21278.039953623709</c:v>
                </c:pt>
                <c:pt idx="17">
                  <c:v>50430.164190010437</c:v>
                </c:pt>
                <c:pt idx="18">
                  <c:v>33551.402995707496</c:v>
                </c:pt>
                <c:pt idx="19">
                  <c:v>30465.110685232437</c:v>
                </c:pt>
                <c:pt idx="20">
                  <c:v>98609.039740496039</c:v>
                </c:pt>
                <c:pt idx="21">
                  <c:v>120294.25919359041</c:v>
                </c:pt>
                <c:pt idx="22">
                  <c:v>29625.229999986157</c:v>
                </c:pt>
                <c:pt idx="23">
                  <c:v>23871.298760504302</c:v>
                </c:pt>
                <c:pt idx="24">
                  <c:v>0</c:v>
                </c:pt>
                <c:pt idx="25">
                  <c:v>0</c:v>
                </c:pt>
                <c:pt idx="26">
                  <c:v>0</c:v>
                </c:pt>
                <c:pt idx="27">
                  <c:v>0</c:v>
                </c:pt>
              </c:numCache>
            </c:numRef>
          </c:val>
          <c:smooth val="0"/>
          <c:extLst>
            <c:ext xmlns:c16="http://schemas.microsoft.com/office/drawing/2014/chart" uri="{C3380CC4-5D6E-409C-BE32-E72D297353CC}">
              <c16:uniqueId val="{00000003-A3C2-4B4C-996C-CDB1A252886F}"/>
            </c:ext>
          </c:extLst>
        </c:ser>
        <c:ser>
          <c:idx val="1"/>
          <c:order val="4"/>
          <c:tx>
            <c:strRef>
              <c:f>Projections!$A$298</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Projections!$P$298:$BG$298</c15:sqref>
                  </c15:fullRef>
                </c:ext>
              </c:extLst>
              <c:f>Projections!$P$298:$AQ$298</c:f>
              <c:numCache>
                <c:formatCode>#,##0_ ;[Red]\-#,##0\ </c:formatCode>
                <c:ptCount val="28"/>
                <c:pt idx="0">
                  <c:v>1.84375</c:v>
                </c:pt>
                <c:pt idx="1">
                  <c:v>3.6875</c:v>
                </c:pt>
                <c:pt idx="2">
                  <c:v>7.375</c:v>
                </c:pt>
                <c:pt idx="3">
                  <c:v>14.75</c:v>
                </c:pt>
                <c:pt idx="4">
                  <c:v>29.5</c:v>
                </c:pt>
                <c:pt idx="5">
                  <c:v>59</c:v>
                </c:pt>
                <c:pt idx="6">
                  <c:v>118</c:v>
                </c:pt>
                <c:pt idx="7">
                  <c:v>236</c:v>
                </c:pt>
                <c:pt idx="8">
                  <c:v>472</c:v>
                </c:pt>
                <c:pt idx="9">
                  <c:v>944</c:v>
                </c:pt>
                <c:pt idx="10">
                  <c:v>1888</c:v>
                </c:pt>
                <c:pt idx="11">
                  <c:v>3776</c:v>
                </c:pt>
                <c:pt idx="12">
                  <c:v>7552</c:v>
                </c:pt>
                <c:pt idx="13">
                  <c:v>15104</c:v>
                </c:pt>
                <c:pt idx="14">
                  <c:v>30208</c:v>
                </c:pt>
                <c:pt idx="15">
                  <c:v>37760</c:v>
                </c:pt>
                <c:pt idx="16">
                  <c:v>45312</c:v>
                </c:pt>
                <c:pt idx="17">
                  <c:v>52864</c:v>
                </c:pt>
                <c:pt idx="18">
                  <c:v>60416</c:v>
                </c:pt>
                <c:pt idx="19">
                  <c:v>77332.479999999996</c:v>
                </c:pt>
                <c:pt idx="20">
                  <c:v>90624</c:v>
                </c:pt>
                <c:pt idx="21">
                  <c:v>105728</c:v>
                </c:pt>
                <c:pt idx="22">
                  <c:v>120832</c:v>
                </c:pt>
                <c:pt idx="23">
                  <c:v>144998.39999999999</c:v>
                </c:pt>
                <c:pt idx="24">
                  <c:v>169164.79999999999</c:v>
                </c:pt>
                <c:pt idx="25">
                  <c:v>193331.19999999998</c:v>
                </c:pt>
                <c:pt idx="26">
                  <c:v>217497.59999999998</c:v>
                </c:pt>
                <c:pt idx="27">
                  <c:v>241664</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Projections!$A$316</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Projections!$P$316:$BG$316</c15:sqref>
                  </c15:fullRef>
                </c:ext>
              </c:extLst>
              <c:f>Projections!$P$316:$AQ$316</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0-7972-43AB-83E8-C2C99B4277B0}"/>
            </c:ext>
          </c:extLst>
        </c:ser>
        <c:ser>
          <c:idx val="2"/>
          <c:order val="1"/>
          <c:tx>
            <c:strRef>
              <c:f>Projections!$A$318</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Projections!$P$318:$BG$318</c15:sqref>
                  </c15:fullRef>
                </c:ext>
              </c:extLst>
              <c:f>Projections!$P$318:$AQ$318</c:f>
              <c:numCache>
                <c:formatCode>#,##0</c:formatCode>
                <c:ptCount val="2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numCache>
            </c:numRef>
          </c:val>
          <c:smooth val="0"/>
          <c:extLst>
            <c:ext xmlns:c16="http://schemas.microsoft.com/office/drawing/2014/chart" uri="{C3380CC4-5D6E-409C-BE32-E72D297353CC}">
              <c16:uniqueId val="{00000001-7972-43AB-83E8-C2C99B4277B0}"/>
            </c:ext>
          </c:extLst>
        </c:ser>
        <c:ser>
          <c:idx val="4"/>
          <c:order val="2"/>
          <c:tx>
            <c:strRef>
              <c:f>Projections!$A$320</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Projections!$P$320:$BG$320</c15:sqref>
                  </c15:fullRef>
                </c:ext>
              </c:extLst>
              <c:f>Projections!$P$320:$AQ$320</c:f>
              <c:numCache>
                <c:formatCode>#,##0</c:formatCode>
                <c:ptCount val="2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numCache>
            </c:numRef>
          </c:val>
          <c:smooth val="0"/>
          <c:extLst>
            <c:ext xmlns:c16="http://schemas.microsoft.com/office/drawing/2014/chart" uri="{C3380CC4-5D6E-409C-BE32-E72D297353CC}">
              <c16:uniqueId val="{00000002-7972-43AB-83E8-C2C99B4277B0}"/>
            </c:ext>
          </c:extLst>
        </c:ser>
        <c:ser>
          <c:idx val="6"/>
          <c:order val="3"/>
          <c:tx>
            <c:strRef>
              <c:f>Projections!$A$322</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Projections!$P$322:$BG$322</c15:sqref>
                  </c15:fullRef>
                </c:ext>
              </c:extLst>
              <c:f>Projections!$P$322:$AQ$322</c:f>
              <c:numCache>
                <c:formatCode>#,##0</c:formatCode>
                <c:ptCount val="2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numCache>
            </c:numRef>
          </c:val>
          <c:smooth val="0"/>
          <c:extLst>
            <c:ext xmlns:c16="http://schemas.microsoft.com/office/drawing/2014/chart" uri="{C3380CC4-5D6E-409C-BE32-E72D297353CC}">
              <c16:uniqueId val="{00000003-7972-43AB-83E8-C2C99B4277B0}"/>
            </c:ext>
          </c:extLst>
        </c:ser>
        <c:ser>
          <c:idx val="8"/>
          <c:order val="4"/>
          <c:tx>
            <c:strRef>
              <c:f>Projections!$A$324</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Projections!$P$324:$BG$324</c15:sqref>
                  </c15:fullRef>
                </c:ext>
              </c:extLst>
              <c:f>Projections!$P$324:$AQ$324</c:f>
              <c:numCache>
                <c:formatCode>#,##0</c:formatCode>
                <c:ptCount val="2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numCache>
            </c:numRef>
          </c:val>
          <c:smooth val="0"/>
          <c:extLst>
            <c:ext xmlns:c16="http://schemas.microsoft.com/office/drawing/2014/chart" uri="{C3380CC4-5D6E-409C-BE32-E72D297353CC}">
              <c16:uniqueId val="{00000004-7972-43AB-83E8-C2C99B4277B0}"/>
            </c:ext>
          </c:extLst>
        </c:ser>
        <c:ser>
          <c:idx val="10"/>
          <c:order val="5"/>
          <c:tx>
            <c:strRef>
              <c:f>Projections!$A$326</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Projections!$P$326:$BG$326</c15:sqref>
                  </c15:fullRef>
                </c:ext>
              </c:extLst>
              <c:f>Projections!$P$326:$AQ$326</c:f>
              <c:numCache>
                <c:formatCode>#,##0</c:formatCode>
                <c:ptCount val="2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numCache>
            </c:numRef>
          </c:val>
          <c:smooth val="0"/>
          <c:extLst>
            <c:ext xmlns:c16="http://schemas.microsoft.com/office/drawing/2014/chart" uri="{C3380CC4-5D6E-409C-BE32-E72D297353CC}">
              <c16:uniqueId val="{00000005-7972-43AB-83E8-C2C99B4277B0}"/>
            </c:ext>
          </c:extLst>
        </c:ser>
        <c:ser>
          <c:idx val="12"/>
          <c:order val="6"/>
          <c:tx>
            <c:strRef>
              <c:f>Projections!$A$328</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Projections!$P$328:$BG$328</c15:sqref>
                  </c15:fullRef>
                </c:ext>
              </c:extLst>
              <c:f>Projections!$P$328:$AQ$328</c:f>
              <c:numCache>
                <c:formatCode>#,##0</c:formatCode>
                <c:ptCount val="2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numCache>
            </c:numRef>
          </c:val>
          <c:smooth val="0"/>
          <c:extLst>
            <c:ext xmlns:c16="http://schemas.microsoft.com/office/drawing/2014/chart" uri="{C3380CC4-5D6E-409C-BE32-E72D297353CC}">
              <c16:uniqueId val="{00000006-7972-43AB-83E8-C2C99B4277B0}"/>
            </c:ext>
          </c:extLst>
        </c:ser>
        <c:ser>
          <c:idx val="14"/>
          <c:order val="7"/>
          <c:tx>
            <c:strRef>
              <c:f>Projections!$A$330</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Projections!$P$330:$BG$330</c15:sqref>
                  </c15:fullRef>
                </c:ext>
              </c:extLst>
              <c:f>Projections!$P$330:$AQ$330</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7-7972-43AB-83E8-C2C99B4277B0}"/>
            </c:ext>
          </c:extLst>
        </c:ser>
        <c:ser>
          <c:idx val="16"/>
          <c:order val="8"/>
          <c:tx>
            <c:strRef>
              <c:f>Projections!$A$332</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Projections!$P$332:$BG$332</c15:sqref>
                  </c15:fullRef>
                </c:ext>
              </c:extLst>
              <c:f>Projections!$P$332:$AQ$332</c:f>
              <c:numCache>
                <c:formatCode>#,##0</c:formatCode>
                <c:ptCount val="2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Projections!$A$316</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Projections!$P$317:$BG$317</c15:sqref>
                  </c15:fullRef>
                </c:ext>
              </c:extLst>
              <c:f>Projections!$P$317:$AQ$317</c:f>
              <c:numCache>
                <c:formatCode>#,##0</c:formatCode>
                <c:ptCount val="2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numCache>
            </c:numRef>
          </c:val>
          <c:smooth val="0"/>
          <c:extLst>
            <c:ext xmlns:c16="http://schemas.microsoft.com/office/drawing/2014/chart" uri="{C3380CC4-5D6E-409C-BE32-E72D297353CC}">
              <c16:uniqueId val="{00000000-FE50-482D-905D-7C3B099138E4}"/>
            </c:ext>
          </c:extLst>
        </c:ser>
        <c:ser>
          <c:idx val="3"/>
          <c:order val="1"/>
          <c:tx>
            <c:strRef>
              <c:f>Projections!$A$318</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Projections!$P$319:$BG$319</c15:sqref>
                  </c15:fullRef>
                </c:ext>
              </c:extLst>
              <c:f>Projections!$P$319:$AQ$319</c:f>
              <c:numCache>
                <c:formatCode>#,##0</c:formatCode>
                <c:ptCount val="2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numCache>
            </c:numRef>
          </c:val>
          <c:smooth val="0"/>
          <c:extLst>
            <c:ext xmlns:c16="http://schemas.microsoft.com/office/drawing/2014/chart" uri="{C3380CC4-5D6E-409C-BE32-E72D297353CC}">
              <c16:uniqueId val="{00000001-FE50-482D-905D-7C3B099138E4}"/>
            </c:ext>
          </c:extLst>
        </c:ser>
        <c:ser>
          <c:idx val="5"/>
          <c:order val="2"/>
          <c:tx>
            <c:strRef>
              <c:f>Projections!$A$320</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Projections!$P$321:$BG$321</c15:sqref>
                  </c15:fullRef>
                </c:ext>
              </c:extLst>
              <c:f>Projections!$P$321:$AQ$321</c:f>
              <c:numCache>
                <c:formatCode>#,##0</c:formatCode>
                <c:ptCount val="2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numCache>
            </c:numRef>
          </c:val>
          <c:smooth val="0"/>
          <c:extLst>
            <c:ext xmlns:c16="http://schemas.microsoft.com/office/drawing/2014/chart" uri="{C3380CC4-5D6E-409C-BE32-E72D297353CC}">
              <c16:uniqueId val="{00000002-FE50-482D-905D-7C3B099138E4}"/>
            </c:ext>
          </c:extLst>
        </c:ser>
        <c:ser>
          <c:idx val="7"/>
          <c:order val="3"/>
          <c:tx>
            <c:strRef>
              <c:f>Projections!$A$322</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Projections!$P$323:$BG$323</c15:sqref>
                  </c15:fullRef>
                </c:ext>
              </c:extLst>
              <c:f>Projections!$P$323:$AQ$323</c:f>
              <c:numCache>
                <c:formatCode>#,##0</c:formatCode>
                <c:ptCount val="2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numCache>
            </c:numRef>
          </c:val>
          <c:smooth val="0"/>
          <c:extLst>
            <c:ext xmlns:c16="http://schemas.microsoft.com/office/drawing/2014/chart" uri="{C3380CC4-5D6E-409C-BE32-E72D297353CC}">
              <c16:uniqueId val="{00000003-FE50-482D-905D-7C3B099138E4}"/>
            </c:ext>
          </c:extLst>
        </c:ser>
        <c:ser>
          <c:idx val="9"/>
          <c:order val="4"/>
          <c:tx>
            <c:strRef>
              <c:f>Projections!$A$324</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Projections!$P$325:$BG$325</c15:sqref>
                  </c15:fullRef>
                </c:ext>
              </c:extLst>
              <c:f>Projections!$P$325:$AQ$325</c:f>
              <c:numCache>
                <c:formatCode>#,##0</c:formatCode>
                <c:ptCount val="2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numCache>
            </c:numRef>
          </c:val>
          <c:smooth val="0"/>
          <c:extLst>
            <c:ext xmlns:c16="http://schemas.microsoft.com/office/drawing/2014/chart" uri="{C3380CC4-5D6E-409C-BE32-E72D297353CC}">
              <c16:uniqueId val="{00000004-FE50-482D-905D-7C3B099138E4}"/>
            </c:ext>
          </c:extLst>
        </c:ser>
        <c:ser>
          <c:idx val="11"/>
          <c:order val="5"/>
          <c:tx>
            <c:strRef>
              <c:f>Projections!$A$326</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Projections!$P$327:$BG$327</c15:sqref>
                  </c15:fullRef>
                </c:ext>
              </c:extLst>
              <c:f>Projections!$P$327:$AQ$327</c:f>
              <c:numCache>
                <c:formatCode>#,##0</c:formatCode>
                <c:ptCount val="2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numCache>
            </c:numRef>
          </c:val>
          <c:smooth val="0"/>
          <c:extLst>
            <c:ext xmlns:c16="http://schemas.microsoft.com/office/drawing/2014/chart" uri="{C3380CC4-5D6E-409C-BE32-E72D297353CC}">
              <c16:uniqueId val="{00000005-FE50-482D-905D-7C3B099138E4}"/>
            </c:ext>
          </c:extLst>
        </c:ser>
        <c:ser>
          <c:idx val="13"/>
          <c:order val="6"/>
          <c:tx>
            <c:strRef>
              <c:f>Projections!$A$328</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Projections!$P$329:$BG$329</c15:sqref>
                  </c15:fullRef>
                </c:ext>
              </c:extLst>
              <c:f>Projections!$P$329:$AQ$329</c:f>
              <c:numCache>
                <c:formatCode>#,##0</c:formatCode>
                <c:ptCount val="2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numCache>
            </c:numRef>
          </c:val>
          <c:smooth val="0"/>
          <c:extLst>
            <c:ext xmlns:c16="http://schemas.microsoft.com/office/drawing/2014/chart" uri="{C3380CC4-5D6E-409C-BE32-E72D297353CC}">
              <c16:uniqueId val="{00000006-FE50-482D-905D-7C3B099138E4}"/>
            </c:ext>
          </c:extLst>
        </c:ser>
        <c:ser>
          <c:idx val="15"/>
          <c:order val="7"/>
          <c:tx>
            <c:strRef>
              <c:f>Projections!$A$330</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Projections!$P$331:$BG$331</c15:sqref>
                  </c15:fullRef>
                </c:ext>
              </c:extLst>
              <c:f>Projections!$P$331:$AQ$331</c:f>
              <c:numCache>
                <c:formatCode>#,##0</c:formatCode>
                <c:ptCount val="2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numCache>
            </c:numRef>
          </c:val>
          <c:smooth val="0"/>
          <c:extLst>
            <c:ext xmlns:c16="http://schemas.microsoft.com/office/drawing/2014/chart" uri="{C3380CC4-5D6E-409C-BE32-E72D297353CC}">
              <c16:uniqueId val="{00000007-FE50-482D-905D-7C3B099138E4}"/>
            </c:ext>
          </c:extLst>
        </c:ser>
        <c:ser>
          <c:idx val="17"/>
          <c:order val="8"/>
          <c:tx>
            <c:strRef>
              <c:f>Projections!$A$332</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Projections!$P$333:$BG$333</c15:sqref>
                  </c15:fullRef>
                </c:ext>
              </c:extLst>
              <c:f>Projections!$P$333:$AQ$333</c:f>
              <c:numCache>
                <c:formatCode>#,##0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Projections!$A$345</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Projections!$P$345:$BG$345</c15:sqref>
                  </c15:fullRef>
                </c:ext>
              </c:extLst>
              <c:f>Projections!$P$345:$AQ$345</c:f>
              <c:numCache>
                <c:formatCode>#,##0</c:formatCode>
                <c:ptCount val="2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numCache>
            </c:numRef>
          </c:val>
          <c:smooth val="0"/>
          <c:extLst>
            <c:ext xmlns:c16="http://schemas.microsoft.com/office/drawing/2014/chart" uri="{C3380CC4-5D6E-409C-BE32-E72D297353CC}">
              <c16:uniqueId val="{00000000-C5BA-4495-93D4-AC4CA8674604}"/>
            </c:ext>
          </c:extLst>
        </c:ser>
        <c:ser>
          <c:idx val="4"/>
          <c:order val="1"/>
          <c:tx>
            <c:strRef>
              <c:f>Projections!$A$343</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Projections!$P$343:$BG$343</c15:sqref>
                  </c15:fullRef>
                </c:ext>
              </c:extLst>
              <c:f>Projections!$P$343:$AQ$343</c:f>
              <c:numCache>
                <c:formatCode>#,##0</c:formatCode>
                <c:ptCount val="2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numCache>
            </c:numRef>
          </c:val>
          <c:smooth val="0"/>
          <c:extLst>
            <c:ext xmlns:c16="http://schemas.microsoft.com/office/drawing/2014/chart" uri="{C3380CC4-5D6E-409C-BE32-E72D297353CC}">
              <c16:uniqueId val="{00000001-C5BA-4495-93D4-AC4CA8674604}"/>
            </c:ext>
          </c:extLst>
        </c:ser>
        <c:ser>
          <c:idx val="10"/>
          <c:order val="2"/>
          <c:tx>
            <c:strRef>
              <c:f>Projections!$A$349</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Projections!$P$349:$BG$349</c15:sqref>
                  </c15:fullRef>
                </c:ext>
              </c:extLst>
              <c:f>Projections!$P$349:$AQ$349</c:f>
              <c:numCache>
                <c:formatCode>#,##0</c:formatCode>
                <c:ptCount val="2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numCache>
            </c:numRef>
          </c:val>
          <c:smooth val="0"/>
          <c:extLst>
            <c:ext xmlns:c16="http://schemas.microsoft.com/office/drawing/2014/chart" uri="{C3380CC4-5D6E-409C-BE32-E72D297353CC}">
              <c16:uniqueId val="{00000002-C5BA-4495-93D4-AC4CA8674604}"/>
            </c:ext>
          </c:extLst>
        </c:ser>
        <c:ser>
          <c:idx val="0"/>
          <c:order val="3"/>
          <c:tx>
            <c:strRef>
              <c:f>Projections!$A$339</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Projections!$P$339:$BG$339</c15:sqref>
                  </c15:fullRef>
                </c:ext>
              </c:extLst>
              <c:f>Projections!$P$339:$AQ$339</c:f>
              <c:numCache>
                <c:formatCode>#,##0</c:formatCode>
                <c:ptCount val="2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numCache>
            </c:numRef>
          </c:val>
          <c:smooth val="0"/>
          <c:extLst>
            <c:ext xmlns:c16="http://schemas.microsoft.com/office/drawing/2014/chart" uri="{C3380CC4-5D6E-409C-BE32-E72D297353CC}">
              <c16:uniqueId val="{00000003-C5BA-4495-93D4-AC4CA8674604}"/>
            </c:ext>
          </c:extLst>
        </c:ser>
        <c:ser>
          <c:idx val="2"/>
          <c:order val="4"/>
          <c:tx>
            <c:strRef>
              <c:f>Projections!$A$341</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Projections!$P$341:$BG$341</c15:sqref>
                  </c15:fullRef>
                </c:ext>
              </c:extLst>
              <c:f>Projections!$P$341:$AQ$341</c:f>
              <c:numCache>
                <c:formatCode>#,##0</c:formatCode>
                <c:ptCount val="2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numCache>
            </c:numRef>
          </c:val>
          <c:smooth val="0"/>
          <c:extLst>
            <c:ext xmlns:c16="http://schemas.microsoft.com/office/drawing/2014/chart" uri="{C3380CC4-5D6E-409C-BE32-E72D297353CC}">
              <c16:uniqueId val="{00000004-C5BA-4495-93D4-AC4CA8674604}"/>
            </c:ext>
          </c:extLst>
        </c:ser>
        <c:ser>
          <c:idx val="8"/>
          <c:order val="5"/>
          <c:tx>
            <c:strRef>
              <c:f>Projections!$A$347</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Projections!$P$347:$BG$347</c15:sqref>
                  </c15:fullRef>
                </c:ext>
              </c:extLst>
              <c:f>Projections!$P$347:$AQ$347</c:f>
              <c:numCache>
                <c:formatCode>#,##0</c:formatCode>
                <c:ptCount val="2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Projections!$A$345</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Projections!$P$346:$BG$346</c15:sqref>
                  </c15:fullRef>
                </c:ext>
              </c:extLst>
              <c:f>Projections!$P$346:$AQ$346</c:f>
              <c:numCache>
                <c:formatCode>#,##0</c:formatCode>
                <c:ptCount val="2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numCache>
            </c:numRef>
          </c:val>
          <c:smooth val="0"/>
          <c:extLst>
            <c:ext xmlns:c16="http://schemas.microsoft.com/office/drawing/2014/chart" uri="{C3380CC4-5D6E-409C-BE32-E72D297353CC}">
              <c16:uniqueId val="{00000000-5E66-4AF0-A3CA-7CF12153AA8E}"/>
            </c:ext>
          </c:extLst>
        </c:ser>
        <c:ser>
          <c:idx val="5"/>
          <c:order val="1"/>
          <c:tx>
            <c:strRef>
              <c:f>Projections!$A$343</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Projections!$P$344:$BG$344</c15:sqref>
                  </c15:fullRef>
                </c:ext>
              </c:extLst>
              <c:f>Projections!$P$344:$AQ$344</c:f>
              <c:numCache>
                <c:formatCode>#,##0</c:formatCode>
                <c:ptCount val="2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numCache>
            </c:numRef>
          </c:val>
          <c:smooth val="0"/>
          <c:extLst>
            <c:ext xmlns:c16="http://schemas.microsoft.com/office/drawing/2014/chart" uri="{C3380CC4-5D6E-409C-BE32-E72D297353CC}">
              <c16:uniqueId val="{00000001-5E66-4AF0-A3CA-7CF12153AA8E}"/>
            </c:ext>
          </c:extLst>
        </c:ser>
        <c:ser>
          <c:idx val="1"/>
          <c:order val="2"/>
          <c:tx>
            <c:strRef>
              <c:f>Projections!$A$339</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Projections!$P$340:$BG$340</c15:sqref>
                  </c15:fullRef>
                </c:ext>
              </c:extLst>
              <c:f>Projections!$P$340:$AQ$340</c:f>
              <c:numCache>
                <c:formatCode>#,##0</c:formatCode>
                <c:ptCount val="2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numCache>
            </c:numRef>
          </c:val>
          <c:smooth val="0"/>
          <c:extLst>
            <c:ext xmlns:c16="http://schemas.microsoft.com/office/drawing/2014/chart" uri="{C3380CC4-5D6E-409C-BE32-E72D297353CC}">
              <c16:uniqueId val="{00000002-5E66-4AF0-A3CA-7CF12153AA8E}"/>
            </c:ext>
          </c:extLst>
        </c:ser>
        <c:ser>
          <c:idx val="3"/>
          <c:order val="3"/>
          <c:tx>
            <c:strRef>
              <c:f>Projections!$A$341</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Projections!$P$342:$BG$342</c15:sqref>
                  </c15:fullRef>
                </c:ext>
              </c:extLst>
              <c:f>Projections!$P$342:$AQ$342</c:f>
              <c:numCache>
                <c:formatCode>#,##0</c:formatCode>
                <c:ptCount val="2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numCache>
            </c:numRef>
          </c:val>
          <c:smooth val="0"/>
          <c:extLst>
            <c:ext xmlns:c16="http://schemas.microsoft.com/office/drawing/2014/chart" uri="{C3380CC4-5D6E-409C-BE32-E72D297353CC}">
              <c16:uniqueId val="{00000003-5E66-4AF0-A3CA-7CF12153AA8E}"/>
            </c:ext>
          </c:extLst>
        </c:ser>
        <c:ser>
          <c:idx val="9"/>
          <c:order val="4"/>
          <c:tx>
            <c:strRef>
              <c:f>Projections!$A$347</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Projections!$P$348:$BG$348</c15:sqref>
                  </c15:fullRef>
                </c:ext>
              </c:extLst>
              <c:f>Projections!$P$348:$AQ$348</c:f>
              <c:numCache>
                <c:formatCode>#,##0</c:formatCode>
                <c:ptCount val="2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Projections!$A$284</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Projections!$P$283:$BG$283</c15:sqref>
                  </c15:fullRef>
                </c:ext>
              </c:extLst>
              <c:f>Projections!$P$283:$AL$283</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numCache>
            </c:numRef>
          </c:cat>
          <c:val>
            <c:numRef>
              <c:extLst>
                <c:ext xmlns:c15="http://schemas.microsoft.com/office/drawing/2012/chart" uri="{02D57815-91ED-43cb-92C2-25804820EDAC}">
                  <c15:fullRef>
                    <c15:sqref>Projections!$P$284:$BG$284</c15:sqref>
                  </c15:fullRef>
                </c:ext>
              </c:extLst>
              <c:f>Projections!$P$284:$AL$284</c:f>
              <c:numCache>
                <c:formatCode>#,##0_ ;[Red]\-#,##0\ </c:formatCode>
                <c:ptCount val="23"/>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numCache>
            </c:numRef>
          </c:val>
          <c:smooth val="0"/>
          <c:extLst>
            <c:ext xmlns:c16="http://schemas.microsoft.com/office/drawing/2014/chart" uri="{C3380CC4-5D6E-409C-BE32-E72D297353CC}">
              <c16:uniqueId val="{00000000-9DE3-43B6-B60B-9B4AA4851702}"/>
            </c:ext>
          </c:extLst>
        </c:ser>
        <c:ser>
          <c:idx val="1"/>
          <c:order val="1"/>
          <c:tx>
            <c:strRef>
              <c:f>Projections!$A$308</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Projections!$P$283:$BG$283</c15:sqref>
                  </c15:fullRef>
                </c:ext>
              </c:extLst>
              <c:f>Projections!$P$283:$AL$283</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numCache>
            </c:numRef>
          </c:cat>
          <c:val>
            <c:numRef>
              <c:extLst>
                <c:ext xmlns:c15="http://schemas.microsoft.com/office/drawing/2012/chart" uri="{02D57815-91ED-43cb-92C2-25804820EDAC}">
                  <c15:fullRef>
                    <c15:sqref>Projections!$P$308:$BG$308</c15:sqref>
                  </c15:fullRef>
                </c:ext>
              </c:extLst>
              <c:f>Projections!$P$308:$AL$308</c:f>
              <c:numCache>
                <c:formatCode>General</c:formatCode>
                <c:ptCount val="23"/>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Projections!$A$298</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Projections!$P$283:$BG$283</c15:sqref>
                  </c15:fullRef>
                </c:ext>
              </c:extLst>
              <c:f>Projections!$P$283:$AL$283</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numCache>
            </c:numRef>
          </c:cat>
          <c:val>
            <c:numRef>
              <c:extLst>
                <c:ext xmlns:c15="http://schemas.microsoft.com/office/drawing/2012/chart" uri="{02D57815-91ED-43cb-92C2-25804820EDAC}">
                  <c15:fullRef>
                    <c15:sqref>Projections!$P$298:$BG$298</c15:sqref>
                  </c15:fullRef>
                </c:ext>
              </c:extLst>
              <c:f>Projections!$P$298:$AL$298</c:f>
              <c:numCache>
                <c:formatCode>#,##0_ ;[Red]\-#,##0\ </c:formatCode>
                <c:ptCount val="23"/>
                <c:pt idx="0">
                  <c:v>1.84375</c:v>
                </c:pt>
                <c:pt idx="1">
                  <c:v>3.6875</c:v>
                </c:pt>
                <c:pt idx="2">
                  <c:v>7.375</c:v>
                </c:pt>
                <c:pt idx="3">
                  <c:v>14.75</c:v>
                </c:pt>
                <c:pt idx="4">
                  <c:v>29.5</c:v>
                </c:pt>
                <c:pt idx="5">
                  <c:v>59</c:v>
                </c:pt>
                <c:pt idx="6">
                  <c:v>118</c:v>
                </c:pt>
                <c:pt idx="7">
                  <c:v>236</c:v>
                </c:pt>
                <c:pt idx="8">
                  <c:v>472</c:v>
                </c:pt>
                <c:pt idx="9">
                  <c:v>944</c:v>
                </c:pt>
                <c:pt idx="10">
                  <c:v>1888</c:v>
                </c:pt>
                <c:pt idx="11">
                  <c:v>3776</c:v>
                </c:pt>
                <c:pt idx="12">
                  <c:v>7552</c:v>
                </c:pt>
                <c:pt idx="13">
                  <c:v>15104</c:v>
                </c:pt>
                <c:pt idx="14">
                  <c:v>30208</c:v>
                </c:pt>
                <c:pt idx="15">
                  <c:v>37760</c:v>
                </c:pt>
                <c:pt idx="16">
                  <c:v>45312</c:v>
                </c:pt>
                <c:pt idx="17">
                  <c:v>52864</c:v>
                </c:pt>
                <c:pt idx="18">
                  <c:v>60416</c:v>
                </c:pt>
                <c:pt idx="19">
                  <c:v>77332.479999999996</c:v>
                </c:pt>
                <c:pt idx="20">
                  <c:v>90624</c:v>
                </c:pt>
                <c:pt idx="21">
                  <c:v>105728</c:v>
                </c:pt>
                <c:pt idx="22">
                  <c:v>120832</c:v>
                </c:pt>
              </c:numCache>
            </c:numRef>
          </c:val>
          <c:smooth val="0"/>
          <c:extLst>
            <c:ext xmlns:c16="http://schemas.microsoft.com/office/drawing/2014/chart" uri="{C3380CC4-5D6E-409C-BE32-E72D297353CC}">
              <c16:uniqueId val="{00000000-FE1B-4946-A476-7952C5C71231}"/>
            </c:ext>
          </c:extLst>
        </c:ser>
        <c:ser>
          <c:idx val="1"/>
          <c:order val="1"/>
          <c:tx>
            <c:strRef>
              <c:f>Projections!$A$312</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Projections!$P$283:$BG$283</c15:sqref>
                  </c15:fullRef>
                </c:ext>
              </c:extLst>
              <c:f>Projections!$P$283:$AL$283</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numCache>
            </c:numRef>
          </c:cat>
          <c:val>
            <c:numRef>
              <c:extLst>
                <c:ext xmlns:c15="http://schemas.microsoft.com/office/drawing/2012/chart" uri="{02D57815-91ED-43cb-92C2-25804820EDAC}">
                  <c15:fullRef>
                    <c15:sqref>Projections!$P$312:$BG$312</c15:sqref>
                  </c15:fullRef>
                </c:ext>
              </c:extLst>
              <c:f>Projections!$P$312:$AL$312</c:f>
              <c:numCache>
                <c:formatCode>General</c:formatCode>
                <c:ptCount val="23"/>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pt idx="22" formatCode="#,##0">
                  <c:v>109146</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43946.963576273149</c:v>
                </c:pt>
                <c:pt idx="1">
                  <c:v>43949.963576273149</c:v>
                </c:pt>
                <c:pt idx="2">
                  <c:v>43952.963576273149</c:v>
                </c:pt>
                <c:pt idx="3">
                  <c:v>43955.963576273149</c:v>
                </c:pt>
                <c:pt idx="4">
                  <c:v>43958.963576273149</c:v>
                </c:pt>
                <c:pt idx="5">
                  <c:v>43961.963576273149</c:v>
                </c:pt>
                <c:pt idx="6">
                  <c:v>43964.963576273149</c:v>
                </c:pt>
                <c:pt idx="7">
                  <c:v>43967.963576273149</c:v>
                </c:pt>
                <c:pt idx="8">
                  <c:v>43970.963576273149</c:v>
                </c:pt>
                <c:pt idx="9">
                  <c:v>43973.963576273149</c:v>
                </c:pt>
                <c:pt idx="10">
                  <c:v>43976.963576273149</c:v>
                </c:pt>
                <c:pt idx="11">
                  <c:v>43979.963576273149</c:v>
                </c:pt>
                <c:pt idx="12">
                  <c:v>43982.963576273149</c:v>
                </c:pt>
                <c:pt idx="13">
                  <c:v>43985.963576273149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16.949152542372886</c:v>
                </c:pt>
                <c:pt idx="4">
                  <c:v>33.898305084745772</c:v>
                </c:pt>
                <c:pt idx="5">
                  <c:v>67.796610169491544</c:v>
                </c:pt>
                <c:pt idx="6">
                  <c:v>135.59322033898309</c:v>
                </c:pt>
                <c:pt idx="7">
                  <c:v>271.18644067796617</c:v>
                </c:pt>
                <c:pt idx="8">
                  <c:v>542.37288135593235</c:v>
                </c:pt>
                <c:pt idx="9">
                  <c:v>1084.7457627118647</c:v>
                </c:pt>
                <c:pt idx="10">
                  <c:v>2169.4915254237294</c:v>
                </c:pt>
                <c:pt idx="11">
                  <c:v>4338.9830508474588</c:v>
                </c:pt>
                <c:pt idx="12">
                  <c:v>8677.9661016949176</c:v>
                </c:pt>
                <c:pt idx="13">
                  <c:v>17355.932203389835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43946.963576273149</c:v>
                </c:pt>
                <c:pt idx="1">
                  <c:v>43949.963576273149</c:v>
                </c:pt>
                <c:pt idx="2">
                  <c:v>43952.963576273149</c:v>
                </c:pt>
                <c:pt idx="3">
                  <c:v>43955.963576273149</c:v>
                </c:pt>
                <c:pt idx="4">
                  <c:v>43958.963576273149</c:v>
                </c:pt>
                <c:pt idx="5">
                  <c:v>43961.963576273149</c:v>
                </c:pt>
                <c:pt idx="6">
                  <c:v>43964.963576273149</c:v>
                </c:pt>
                <c:pt idx="7">
                  <c:v>43967.963576273149</c:v>
                </c:pt>
                <c:pt idx="8">
                  <c:v>43970.963576273149</c:v>
                </c:pt>
                <c:pt idx="9">
                  <c:v>43973.963576273149</c:v>
                </c:pt>
                <c:pt idx="10">
                  <c:v>43976.963576273149</c:v>
                </c:pt>
                <c:pt idx="11">
                  <c:v>43979.963576273149</c:v>
                </c:pt>
                <c:pt idx="12">
                  <c:v>43982.963576273149</c:v>
                </c:pt>
                <c:pt idx="13">
                  <c:v>43985.963576273149</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16.949152542372886</c:v>
                </c:pt>
                <c:pt idx="3">
                  <c:v>33.898305084745772</c:v>
                </c:pt>
                <c:pt idx="4">
                  <c:v>54.915254237288153</c:v>
                </c:pt>
                <c:pt idx="5">
                  <c:v>109.83050847457631</c:v>
                </c:pt>
                <c:pt idx="6">
                  <c:v>219.66101694915261</c:v>
                </c:pt>
                <c:pt idx="7">
                  <c:v>425.5932203389832</c:v>
                </c:pt>
                <c:pt idx="8">
                  <c:v>851.1864406779664</c:v>
                </c:pt>
                <c:pt idx="9">
                  <c:v>1702.3728813559328</c:v>
                </c:pt>
                <c:pt idx="10">
                  <c:v>3404.7457627118656</c:v>
                </c:pt>
                <c:pt idx="11">
                  <c:v>6809.4915254237312</c:v>
                </c:pt>
                <c:pt idx="12">
                  <c:v>13632.711864406783</c:v>
                </c:pt>
                <c:pt idx="13">
                  <c:v>27265.423728813566</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43946.963576273149</c:v>
                </c:pt>
                <c:pt idx="1">
                  <c:v>43949.963576273149</c:v>
                </c:pt>
                <c:pt idx="2">
                  <c:v>43952.963576273149</c:v>
                </c:pt>
                <c:pt idx="3">
                  <c:v>43955.963576273149</c:v>
                </c:pt>
                <c:pt idx="4">
                  <c:v>43958.963576273149</c:v>
                </c:pt>
                <c:pt idx="5">
                  <c:v>43961.963576273149</c:v>
                </c:pt>
                <c:pt idx="6">
                  <c:v>43964.963576273149</c:v>
                </c:pt>
                <c:pt idx="7">
                  <c:v>43967.963576273149</c:v>
                </c:pt>
                <c:pt idx="8">
                  <c:v>43970.963576273149</c:v>
                </c:pt>
                <c:pt idx="9">
                  <c:v>43973.963576273149</c:v>
                </c:pt>
                <c:pt idx="10">
                  <c:v>43976.963576273149</c:v>
                </c:pt>
                <c:pt idx="11">
                  <c:v>43979.963576273149</c:v>
                </c:pt>
                <c:pt idx="12">
                  <c:v>43982.963576273149</c:v>
                </c:pt>
                <c:pt idx="13">
                  <c:v>43985.963576273149</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12.881355932203393</c:v>
                </c:pt>
                <c:pt idx="5">
                  <c:v>25.762711864406786</c:v>
                </c:pt>
                <c:pt idx="6">
                  <c:v>37.966101694915267</c:v>
                </c:pt>
                <c:pt idx="7">
                  <c:v>75.932203389830534</c:v>
                </c:pt>
                <c:pt idx="8">
                  <c:v>151.86440677966107</c:v>
                </c:pt>
                <c:pt idx="9">
                  <c:v>303.72881355932213</c:v>
                </c:pt>
                <c:pt idx="10">
                  <c:v>607.45762711864427</c:v>
                </c:pt>
                <c:pt idx="11">
                  <c:v>1214.9152542372885</c:v>
                </c:pt>
                <c:pt idx="12">
                  <c:v>2429.8305084745771</c:v>
                </c:pt>
                <c:pt idx="13">
                  <c:v>4859.6610169491541</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43946.963576273149</c:v>
                </c:pt>
                <c:pt idx="1">
                  <c:v>43949.963576273149</c:v>
                </c:pt>
                <c:pt idx="2">
                  <c:v>43952.963576273149</c:v>
                </c:pt>
                <c:pt idx="3">
                  <c:v>43955.963576273149</c:v>
                </c:pt>
                <c:pt idx="4">
                  <c:v>43958.963576273149</c:v>
                </c:pt>
                <c:pt idx="5">
                  <c:v>43961.963576273149</c:v>
                </c:pt>
                <c:pt idx="6">
                  <c:v>43964.963576273149</c:v>
                </c:pt>
                <c:pt idx="7">
                  <c:v>43967.963576273149</c:v>
                </c:pt>
                <c:pt idx="8">
                  <c:v>43970.963576273149</c:v>
                </c:pt>
                <c:pt idx="9">
                  <c:v>43973.963576273149</c:v>
                </c:pt>
                <c:pt idx="10">
                  <c:v>43976.963576273149</c:v>
                </c:pt>
                <c:pt idx="11">
                  <c:v>43979.963576273149</c:v>
                </c:pt>
                <c:pt idx="12">
                  <c:v>43982.963576273149</c:v>
                </c:pt>
                <c:pt idx="13">
                  <c:v>43985.963576273149</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13.55932203389831</c:v>
                </c:pt>
                <c:pt idx="7">
                  <c:v>27.11864406779662</c:v>
                </c:pt>
                <c:pt idx="8">
                  <c:v>54.237288135593239</c:v>
                </c:pt>
                <c:pt idx="9">
                  <c:v>108.47457627118648</c:v>
                </c:pt>
                <c:pt idx="10">
                  <c:v>216.94915254237296</c:v>
                </c:pt>
                <c:pt idx="11">
                  <c:v>433.89830508474591</c:v>
                </c:pt>
                <c:pt idx="12">
                  <c:v>867.79661016949183</c:v>
                </c:pt>
                <c:pt idx="13">
                  <c:v>1735.5932203389837</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43946.963576273149</c:v>
                </c:pt>
                <c:pt idx="1">
                  <c:v>43949.963576273149</c:v>
                </c:pt>
                <c:pt idx="2">
                  <c:v>43952.963576273149</c:v>
                </c:pt>
                <c:pt idx="3">
                  <c:v>43955.963576273149</c:v>
                </c:pt>
                <c:pt idx="4">
                  <c:v>43958.963576273149</c:v>
                </c:pt>
                <c:pt idx="5">
                  <c:v>43961.963576273149</c:v>
                </c:pt>
                <c:pt idx="6">
                  <c:v>43964.963576273149</c:v>
                </c:pt>
                <c:pt idx="7">
                  <c:v>43967.963576273149</c:v>
                </c:pt>
                <c:pt idx="8">
                  <c:v>43970.963576273149</c:v>
                </c:pt>
                <c:pt idx="9">
                  <c:v>43973.963576273149</c:v>
                </c:pt>
                <c:pt idx="10">
                  <c:v>43976.963576273149</c:v>
                </c:pt>
                <c:pt idx="11">
                  <c:v>43979.963576273149</c:v>
                </c:pt>
                <c:pt idx="12">
                  <c:v>43982.963576273149</c:v>
                </c:pt>
                <c:pt idx="13">
                  <c:v>43985.963576273149</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43946.963576273149</c:v>
                </c:pt>
                <c:pt idx="1">
                  <c:v>43949.963576273149</c:v>
                </c:pt>
                <c:pt idx="2">
                  <c:v>43952.963576273149</c:v>
                </c:pt>
                <c:pt idx="3">
                  <c:v>43955.963576273149</c:v>
                </c:pt>
                <c:pt idx="4">
                  <c:v>43958.963576273149</c:v>
                </c:pt>
                <c:pt idx="5">
                  <c:v>43961.963576273149</c:v>
                </c:pt>
                <c:pt idx="6">
                  <c:v>43964.963576273149</c:v>
                </c:pt>
                <c:pt idx="7">
                  <c:v>43967.963576273149</c:v>
                </c:pt>
                <c:pt idx="8">
                  <c:v>43970.963576273149</c:v>
                </c:pt>
                <c:pt idx="9">
                  <c:v>43973.963576273149</c:v>
                </c:pt>
                <c:pt idx="10">
                  <c:v>43976.963576273149</c:v>
                </c:pt>
                <c:pt idx="11">
                  <c:v>43979.963576273149</c:v>
                </c:pt>
                <c:pt idx="12">
                  <c:v>43982.963576273149</c:v>
                </c:pt>
                <c:pt idx="13">
                  <c:v>43985.963576273149</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54.479418886198545</c:v>
                </c:pt>
                <c:pt idx="1">
                  <c:v>108.95883777239709</c:v>
                </c:pt>
                <c:pt idx="2">
                  <c:v>217.91767554479418</c:v>
                </c:pt>
                <c:pt idx="3">
                  <c:v>435.83535108958836</c:v>
                </c:pt>
                <c:pt idx="4">
                  <c:v>871.67070217917671</c:v>
                </c:pt>
                <c:pt idx="5">
                  <c:v>1743.3414043583534</c:v>
                </c:pt>
                <c:pt idx="6">
                  <c:v>3486.6828087167069</c:v>
                </c:pt>
                <c:pt idx="7">
                  <c:v>6973.3656174334137</c:v>
                </c:pt>
                <c:pt idx="8">
                  <c:v>13946.731234866827</c:v>
                </c:pt>
                <c:pt idx="9">
                  <c:v>27893.462469733655</c:v>
                </c:pt>
                <c:pt idx="10">
                  <c:v>55786.92493946731</c:v>
                </c:pt>
                <c:pt idx="11">
                  <c:v>111573.84987893462</c:v>
                </c:pt>
                <c:pt idx="12">
                  <c:v>223147.69975786924</c:v>
                </c:pt>
                <c:pt idx="13">
                  <c:v>446295.39951573848</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43946.963576273149</c:v>
                </c:pt>
                <c:pt idx="1">
                  <c:v>43949.963576273149</c:v>
                </c:pt>
                <c:pt idx="2">
                  <c:v>43952.963576273149</c:v>
                </c:pt>
                <c:pt idx="3">
                  <c:v>43955.963576273149</c:v>
                </c:pt>
                <c:pt idx="4">
                  <c:v>43958.963576273149</c:v>
                </c:pt>
                <c:pt idx="5">
                  <c:v>43961.963576273149</c:v>
                </c:pt>
                <c:pt idx="6">
                  <c:v>43964.963576273149</c:v>
                </c:pt>
                <c:pt idx="7">
                  <c:v>43967.963576273149</c:v>
                </c:pt>
                <c:pt idx="8">
                  <c:v>43970.963576273149</c:v>
                </c:pt>
                <c:pt idx="9">
                  <c:v>43973.963576273149</c:v>
                </c:pt>
                <c:pt idx="10">
                  <c:v>43976.963576273149</c:v>
                </c:pt>
                <c:pt idx="11">
                  <c:v>43979.963576273149</c:v>
                </c:pt>
                <c:pt idx="12">
                  <c:v>43982.963576273149</c:v>
                </c:pt>
                <c:pt idx="13">
                  <c:v>43985.963576273149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16.949152542372886</c:v>
                </c:pt>
                <c:pt idx="4">
                  <c:v>33.898305084745772</c:v>
                </c:pt>
                <c:pt idx="5">
                  <c:v>67.796610169491544</c:v>
                </c:pt>
                <c:pt idx="6">
                  <c:v>135.59322033898309</c:v>
                </c:pt>
                <c:pt idx="7">
                  <c:v>271.18644067796617</c:v>
                </c:pt>
                <c:pt idx="8">
                  <c:v>542.37288135593235</c:v>
                </c:pt>
                <c:pt idx="9">
                  <c:v>1084.7457627118647</c:v>
                </c:pt>
                <c:pt idx="10">
                  <c:v>2169.4915254237294</c:v>
                </c:pt>
                <c:pt idx="11">
                  <c:v>4338.9830508474588</c:v>
                </c:pt>
                <c:pt idx="12">
                  <c:v>8677.9661016949176</c:v>
                </c:pt>
                <c:pt idx="13">
                  <c:v>17355.932203389835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43946.963576273149</c:v>
                </c:pt>
                <c:pt idx="1">
                  <c:v>43949.963576273149</c:v>
                </c:pt>
                <c:pt idx="2">
                  <c:v>43952.963576273149</c:v>
                </c:pt>
                <c:pt idx="3">
                  <c:v>43955.963576273149</c:v>
                </c:pt>
                <c:pt idx="4">
                  <c:v>43958.963576273149</c:v>
                </c:pt>
                <c:pt idx="5">
                  <c:v>43961.963576273149</c:v>
                </c:pt>
                <c:pt idx="6">
                  <c:v>43964.963576273149</c:v>
                </c:pt>
                <c:pt idx="7">
                  <c:v>43967.963576273149</c:v>
                </c:pt>
                <c:pt idx="8">
                  <c:v>43970.963576273149</c:v>
                </c:pt>
                <c:pt idx="9">
                  <c:v>43973.963576273149</c:v>
                </c:pt>
                <c:pt idx="10">
                  <c:v>43976.963576273149</c:v>
                </c:pt>
                <c:pt idx="11">
                  <c:v>43979.963576273149</c:v>
                </c:pt>
                <c:pt idx="12">
                  <c:v>43982.963576273149</c:v>
                </c:pt>
                <c:pt idx="13">
                  <c:v>43985.963576273149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16.949152542372886</c:v>
                </c:pt>
                <c:pt idx="4">
                  <c:v>33.898305084745772</c:v>
                </c:pt>
                <c:pt idx="5">
                  <c:v>67.796610169491544</c:v>
                </c:pt>
                <c:pt idx="6">
                  <c:v>135.59322033898309</c:v>
                </c:pt>
                <c:pt idx="7">
                  <c:v>271.18644067796617</c:v>
                </c:pt>
                <c:pt idx="8">
                  <c:v>542.37288135593235</c:v>
                </c:pt>
                <c:pt idx="9">
                  <c:v>1084.7457627118647</c:v>
                </c:pt>
                <c:pt idx="10">
                  <c:v>2169.4915254237294</c:v>
                </c:pt>
                <c:pt idx="11">
                  <c:v>4338.9830508474588</c:v>
                </c:pt>
                <c:pt idx="12">
                  <c:v>8677.9661016949176</c:v>
                </c:pt>
                <c:pt idx="13">
                  <c:v>17355.932203389835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43946.963576273149</c:v>
                </c:pt>
                <c:pt idx="1">
                  <c:v>43949.963576273149</c:v>
                </c:pt>
                <c:pt idx="2">
                  <c:v>43952.963576273149</c:v>
                </c:pt>
                <c:pt idx="3">
                  <c:v>43955.963576273149</c:v>
                </c:pt>
                <c:pt idx="4">
                  <c:v>43958.963576273149</c:v>
                </c:pt>
                <c:pt idx="5">
                  <c:v>43961.963576273149</c:v>
                </c:pt>
                <c:pt idx="6">
                  <c:v>43964.963576273149</c:v>
                </c:pt>
                <c:pt idx="7">
                  <c:v>43967.963576273149</c:v>
                </c:pt>
                <c:pt idx="8">
                  <c:v>43970.963576273149</c:v>
                </c:pt>
                <c:pt idx="9">
                  <c:v>43973.963576273149</c:v>
                </c:pt>
                <c:pt idx="10">
                  <c:v>43976.963576273149</c:v>
                </c:pt>
                <c:pt idx="11">
                  <c:v>43979.963576273149</c:v>
                </c:pt>
                <c:pt idx="12">
                  <c:v>43982.963576273149</c:v>
                </c:pt>
                <c:pt idx="13">
                  <c:v>43985.963576273149</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16.949152542372886</c:v>
                </c:pt>
                <c:pt idx="3">
                  <c:v>33.898305084745772</c:v>
                </c:pt>
                <c:pt idx="4">
                  <c:v>54.915254237288153</c:v>
                </c:pt>
                <c:pt idx="5">
                  <c:v>109.83050847457631</c:v>
                </c:pt>
                <c:pt idx="6">
                  <c:v>219.66101694915261</c:v>
                </c:pt>
                <c:pt idx="7">
                  <c:v>425.5932203389832</c:v>
                </c:pt>
                <c:pt idx="8">
                  <c:v>851.1864406779664</c:v>
                </c:pt>
                <c:pt idx="9">
                  <c:v>1702.3728813559328</c:v>
                </c:pt>
                <c:pt idx="10">
                  <c:v>3404.7457627118656</c:v>
                </c:pt>
                <c:pt idx="11">
                  <c:v>6809.4915254237312</c:v>
                </c:pt>
                <c:pt idx="12">
                  <c:v>13632.711864406783</c:v>
                </c:pt>
                <c:pt idx="13">
                  <c:v>27265.423728813566</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43946.963576273149</c:v>
                </c:pt>
                <c:pt idx="1">
                  <c:v>43949.963576273149</c:v>
                </c:pt>
                <c:pt idx="2">
                  <c:v>43952.963576273149</c:v>
                </c:pt>
                <c:pt idx="3">
                  <c:v>43955.963576273149</c:v>
                </c:pt>
                <c:pt idx="4">
                  <c:v>43958.963576273149</c:v>
                </c:pt>
                <c:pt idx="5">
                  <c:v>43961.963576273149</c:v>
                </c:pt>
                <c:pt idx="6">
                  <c:v>43964.963576273149</c:v>
                </c:pt>
                <c:pt idx="7">
                  <c:v>43967.963576273149</c:v>
                </c:pt>
                <c:pt idx="8">
                  <c:v>43970.963576273149</c:v>
                </c:pt>
                <c:pt idx="9">
                  <c:v>43973.963576273149</c:v>
                </c:pt>
                <c:pt idx="10">
                  <c:v>43976.963576273149</c:v>
                </c:pt>
                <c:pt idx="11">
                  <c:v>43979.963576273149</c:v>
                </c:pt>
                <c:pt idx="12">
                  <c:v>43982.963576273149</c:v>
                </c:pt>
                <c:pt idx="13">
                  <c:v>43985.963576273149</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12.881355932203393</c:v>
                </c:pt>
                <c:pt idx="5">
                  <c:v>25.762711864406786</c:v>
                </c:pt>
                <c:pt idx="6">
                  <c:v>37.966101694915267</c:v>
                </c:pt>
                <c:pt idx="7">
                  <c:v>75.932203389830534</c:v>
                </c:pt>
                <c:pt idx="8">
                  <c:v>151.86440677966107</c:v>
                </c:pt>
                <c:pt idx="9">
                  <c:v>303.72881355932213</c:v>
                </c:pt>
                <c:pt idx="10">
                  <c:v>607.45762711864427</c:v>
                </c:pt>
                <c:pt idx="11">
                  <c:v>1214.9152542372885</c:v>
                </c:pt>
                <c:pt idx="12">
                  <c:v>2429.8305084745771</c:v>
                </c:pt>
                <c:pt idx="13">
                  <c:v>4859.6610169491541</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43946.963576273149</c:v>
                </c:pt>
                <c:pt idx="1">
                  <c:v>43949.963576273149</c:v>
                </c:pt>
                <c:pt idx="2">
                  <c:v>43952.963576273149</c:v>
                </c:pt>
                <c:pt idx="3">
                  <c:v>43955.963576273149</c:v>
                </c:pt>
                <c:pt idx="4">
                  <c:v>43958.963576273149</c:v>
                </c:pt>
                <c:pt idx="5">
                  <c:v>43961.963576273149</c:v>
                </c:pt>
                <c:pt idx="6">
                  <c:v>43964.963576273149</c:v>
                </c:pt>
                <c:pt idx="7">
                  <c:v>43967.963576273149</c:v>
                </c:pt>
                <c:pt idx="8">
                  <c:v>43970.963576273149</c:v>
                </c:pt>
                <c:pt idx="9">
                  <c:v>43973.963576273149</c:v>
                </c:pt>
                <c:pt idx="10">
                  <c:v>43976.963576273149</c:v>
                </c:pt>
                <c:pt idx="11">
                  <c:v>43979.963576273149</c:v>
                </c:pt>
                <c:pt idx="12">
                  <c:v>43982.963576273149</c:v>
                </c:pt>
                <c:pt idx="13">
                  <c:v>43985.963576273149</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13.55932203389831</c:v>
                </c:pt>
                <c:pt idx="7">
                  <c:v>27.11864406779662</c:v>
                </c:pt>
                <c:pt idx="8">
                  <c:v>54.237288135593239</c:v>
                </c:pt>
                <c:pt idx="9">
                  <c:v>108.47457627118648</c:v>
                </c:pt>
                <c:pt idx="10">
                  <c:v>216.94915254237296</c:v>
                </c:pt>
                <c:pt idx="11">
                  <c:v>433.89830508474591</c:v>
                </c:pt>
                <c:pt idx="12">
                  <c:v>867.79661016949183</c:v>
                </c:pt>
                <c:pt idx="13">
                  <c:v>1735.5932203389837</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Projections!$A$294</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Projections!$P$294:$BG$294</c15:sqref>
                  </c15:fullRef>
                </c:ext>
              </c:extLst>
              <c:f>Projections!$P$294:$AQ$294</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65577.889617991445</c:v>
                </c:pt>
                <c:pt idx="15">
                  <c:v>155906.69596672634</c:v>
                </c:pt>
                <c:pt idx="16">
                  <c:v>111083.1714562041</c:v>
                </c:pt>
                <c:pt idx="17">
                  <c:v>132795.09456567839</c:v>
                </c:pt>
                <c:pt idx="18">
                  <c:v>155204.27961369391</c:v>
                </c:pt>
                <c:pt idx="19">
                  <c:v>295492.66518045042</c:v>
                </c:pt>
                <c:pt idx="20">
                  <c:v>354791.8589697365</c:v>
                </c:pt>
                <c:pt idx="21">
                  <c:v>448469.46944997844</c:v>
                </c:pt>
                <c:pt idx="22">
                  <c:v>407976.69599878788</c:v>
                </c:pt>
                <c:pt idx="23">
                  <c:v>940698.40448295011</c:v>
                </c:pt>
                <c:pt idx="24">
                  <c:v>810839.39785012079</c:v>
                </c:pt>
                <c:pt idx="25">
                  <c:v>952745.88707694656</c:v>
                </c:pt>
                <c:pt idx="26">
                  <c:v>1064307.9294741398</c:v>
                </c:pt>
                <c:pt idx="27">
                  <c:v>1160249.6763565929</c:v>
                </c:pt>
              </c:numCache>
            </c:numRef>
          </c:val>
          <c:smooth val="0"/>
          <c:extLst>
            <c:ext xmlns:c16="http://schemas.microsoft.com/office/drawing/2014/chart" uri="{C3380CC4-5D6E-409C-BE32-E72D297353CC}">
              <c16:uniqueId val="{00000003-5231-4BE2-97ED-54F0C3DB105C}"/>
            </c:ext>
          </c:extLst>
        </c:ser>
        <c:ser>
          <c:idx val="2"/>
          <c:order val="1"/>
          <c:tx>
            <c:strRef>
              <c:f>Projections!$A$295</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Projections!$P$295:$BG$295</c15:sqref>
                  </c15:fullRef>
                </c:ext>
              </c:extLst>
              <c:f>Projections!$P$295:$AQ$295</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60011.596753736201</c:v>
                </c:pt>
                <c:pt idx="15">
                  <c:v>142124.36171205499</c:v>
                </c:pt>
                <c:pt idx="16">
                  <c:v>89737.506502580392</c:v>
                </c:pt>
                <c:pt idx="17">
                  <c:v>82168.218806941761</c:v>
                </c:pt>
                <c:pt idx="18">
                  <c:v>121077.37661798642</c:v>
                </c:pt>
                <c:pt idx="19">
                  <c:v>252868.59737156465</c:v>
                </c:pt>
                <c:pt idx="20">
                  <c:v>181677.79901564698</c:v>
                </c:pt>
                <c:pt idx="21">
                  <c:v>203285.11007365442</c:v>
                </c:pt>
                <c:pt idx="22">
                  <c:v>252056.96599880184</c:v>
                </c:pt>
                <c:pt idx="23">
                  <c:v>532659.2429449925</c:v>
                </c:pt>
                <c:pt idx="24">
                  <c:v>553229.92637480807</c:v>
                </c:pt>
                <c:pt idx="25">
                  <c:v>351534.76998693473</c:v>
                </c:pt>
                <c:pt idx="26">
                  <c:v>535989.53950503108</c:v>
                </c:pt>
                <c:pt idx="27">
                  <c:v>531877.01113903837</c:v>
                </c:pt>
              </c:numCache>
            </c:numRef>
          </c:val>
          <c:smooth val="0"/>
          <c:extLst>
            <c:ext xmlns:c16="http://schemas.microsoft.com/office/drawing/2014/chart" uri="{C3380CC4-5D6E-409C-BE32-E72D297353CC}">
              <c16:uniqueId val="{00000002-9381-4A4E-BB43-DCD8EC2F4E00}"/>
            </c:ext>
          </c:extLst>
        </c:ser>
        <c:ser>
          <c:idx val="0"/>
          <c:order val="2"/>
          <c:tx>
            <c:strRef>
              <c:f>Projections!$A$296</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Projections!$P$296:$BG$296</c15:sqref>
                  </c15:fullRef>
                </c:ext>
              </c:extLst>
              <c:f>Projections!$P$296:$AQ$296</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123.70535714285711</c:v>
                </c:pt>
                <c:pt idx="13">
                  <c:v>515.59097869702066</c:v>
                </c:pt>
                <c:pt idx="14">
                  <c:v>5570.8928571428578</c:v>
                </c:pt>
                <c:pt idx="15">
                  <c:v>13823.025678649645</c:v>
                </c:pt>
                <c:pt idx="16">
                  <c:v>21428.939201378067</c:v>
                </c:pt>
                <c:pt idx="17">
                  <c:v>50945.755168707459</c:v>
                </c:pt>
                <c:pt idx="18">
                  <c:v>35451.144071431758</c:v>
                </c:pt>
                <c:pt idx="19">
                  <c:v>42937.038554280232</c:v>
                </c:pt>
                <c:pt idx="20">
                  <c:v>134060.1838119278</c:v>
                </c:pt>
                <c:pt idx="21">
                  <c:v>169554.0325304759</c:v>
                </c:pt>
                <c:pt idx="22">
                  <c:v>163685.41381191395</c:v>
                </c:pt>
                <c:pt idx="23">
                  <c:v>121528.35323819361</c:v>
                </c:pt>
                <c:pt idx="24">
                  <c:v>115367.50498258488</c:v>
                </c:pt>
                <c:pt idx="25">
                  <c:v>144053.00494187459</c:v>
                </c:pt>
                <c:pt idx="26">
                  <c:v>169297.15502566702</c:v>
                </c:pt>
                <c:pt idx="27">
                  <c:v>192561.66533694998</c:v>
                </c:pt>
              </c:numCache>
            </c:numRef>
          </c:val>
          <c:smooth val="0"/>
          <c:extLst>
            <c:ext xmlns:c16="http://schemas.microsoft.com/office/drawing/2014/chart" uri="{C3380CC4-5D6E-409C-BE32-E72D297353CC}">
              <c16:uniqueId val="{00000000-9381-4A4E-BB43-DCD8EC2F4E00}"/>
            </c:ext>
          </c:extLst>
        </c:ser>
        <c:ser>
          <c:idx val="4"/>
          <c:order val="3"/>
          <c:tx>
            <c:strRef>
              <c:f>Projections!$A$297</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Projections!$P$297:$BG$297</c15:sqref>
                  </c15:fullRef>
                </c:ext>
              </c:extLst>
              <c:f>Projections!$P$297:$AQ$297</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121.95297559059789</c:v>
                </c:pt>
                <c:pt idx="13">
                  <c:v>512.48161226603429</c:v>
                </c:pt>
                <c:pt idx="14">
                  <c:v>5557.792864255247</c:v>
                </c:pt>
                <c:pt idx="15">
                  <c:v>13764.945321506788</c:v>
                </c:pt>
                <c:pt idx="16">
                  <c:v>21278.039953623709</c:v>
                </c:pt>
                <c:pt idx="17">
                  <c:v>50430.164190010437</c:v>
                </c:pt>
                <c:pt idx="18">
                  <c:v>33551.402995707496</c:v>
                </c:pt>
                <c:pt idx="19">
                  <c:v>30465.110685232437</c:v>
                </c:pt>
                <c:pt idx="20">
                  <c:v>98609.039740496039</c:v>
                </c:pt>
                <c:pt idx="21">
                  <c:v>120294.25919359041</c:v>
                </c:pt>
                <c:pt idx="22">
                  <c:v>29625.229999986157</c:v>
                </c:pt>
                <c:pt idx="23">
                  <c:v>23871.298760504302</c:v>
                </c:pt>
                <c:pt idx="24">
                  <c:v>0</c:v>
                </c:pt>
                <c:pt idx="25">
                  <c:v>0</c:v>
                </c:pt>
                <c:pt idx="26">
                  <c:v>0</c:v>
                </c:pt>
                <c:pt idx="27">
                  <c:v>0</c:v>
                </c:pt>
              </c:numCache>
            </c:numRef>
          </c:val>
          <c:smooth val="0"/>
          <c:extLst>
            <c:ext xmlns:c16="http://schemas.microsoft.com/office/drawing/2014/chart" uri="{C3380CC4-5D6E-409C-BE32-E72D297353CC}">
              <c16:uniqueId val="{00000003-9381-4A4E-BB43-DCD8EC2F4E00}"/>
            </c:ext>
          </c:extLst>
        </c:ser>
        <c:ser>
          <c:idx val="1"/>
          <c:order val="4"/>
          <c:tx>
            <c:strRef>
              <c:f>Projections!$A$298</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Projections!$P$298:$BG$298</c15:sqref>
                  </c15:fullRef>
                </c:ext>
              </c:extLst>
              <c:f>Projections!$P$298:$AQ$298</c:f>
              <c:numCache>
                <c:formatCode>#,##0_ ;[Red]\-#,##0\ </c:formatCode>
                <c:ptCount val="28"/>
                <c:pt idx="0">
                  <c:v>1.84375</c:v>
                </c:pt>
                <c:pt idx="1">
                  <c:v>3.6875</c:v>
                </c:pt>
                <c:pt idx="2">
                  <c:v>7.375</c:v>
                </c:pt>
                <c:pt idx="3">
                  <c:v>14.75</c:v>
                </c:pt>
                <c:pt idx="4">
                  <c:v>29.5</c:v>
                </c:pt>
                <c:pt idx="5">
                  <c:v>59</c:v>
                </c:pt>
                <c:pt idx="6">
                  <c:v>118</c:v>
                </c:pt>
                <c:pt idx="7">
                  <c:v>236</c:v>
                </c:pt>
                <c:pt idx="8">
                  <c:v>472</c:v>
                </c:pt>
                <c:pt idx="9">
                  <c:v>944</c:v>
                </c:pt>
                <c:pt idx="10">
                  <c:v>1888</c:v>
                </c:pt>
                <c:pt idx="11">
                  <c:v>3776</c:v>
                </c:pt>
                <c:pt idx="12">
                  <c:v>7552</c:v>
                </c:pt>
                <c:pt idx="13">
                  <c:v>15104</c:v>
                </c:pt>
                <c:pt idx="14">
                  <c:v>30208</c:v>
                </c:pt>
                <c:pt idx="15">
                  <c:v>37760</c:v>
                </c:pt>
                <c:pt idx="16">
                  <c:v>45312</c:v>
                </c:pt>
                <c:pt idx="17">
                  <c:v>52864</c:v>
                </c:pt>
                <c:pt idx="18">
                  <c:v>60416</c:v>
                </c:pt>
                <c:pt idx="19">
                  <c:v>77332.479999999996</c:v>
                </c:pt>
                <c:pt idx="20">
                  <c:v>90624</c:v>
                </c:pt>
                <c:pt idx="21">
                  <c:v>105728</c:v>
                </c:pt>
                <c:pt idx="22">
                  <c:v>120832</c:v>
                </c:pt>
                <c:pt idx="23">
                  <c:v>144998.39999999999</c:v>
                </c:pt>
                <c:pt idx="24">
                  <c:v>169164.79999999999</c:v>
                </c:pt>
                <c:pt idx="25">
                  <c:v>193331.19999999998</c:v>
                </c:pt>
                <c:pt idx="26">
                  <c:v>217497.59999999998</c:v>
                </c:pt>
                <c:pt idx="27">
                  <c:v>241664</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Projections!$A$316</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Projections!$P$316:$BG$316</c15:sqref>
                  </c15:fullRef>
                </c:ext>
              </c:extLst>
              <c:f>Projections!$P$316:$AQ$316</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0-04B6-450D-AD81-6BF382C059D1}"/>
            </c:ext>
          </c:extLst>
        </c:ser>
        <c:ser>
          <c:idx val="2"/>
          <c:order val="1"/>
          <c:tx>
            <c:strRef>
              <c:f>Projections!$A$318</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Projections!$P$318:$BG$318</c15:sqref>
                  </c15:fullRef>
                </c:ext>
              </c:extLst>
              <c:f>Projections!$P$318:$AQ$318</c:f>
              <c:numCache>
                <c:formatCode>#,##0</c:formatCode>
                <c:ptCount val="2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numCache>
            </c:numRef>
          </c:val>
          <c:smooth val="0"/>
          <c:extLst>
            <c:ext xmlns:c16="http://schemas.microsoft.com/office/drawing/2014/chart" uri="{C3380CC4-5D6E-409C-BE32-E72D297353CC}">
              <c16:uniqueId val="{00000002-04B6-450D-AD81-6BF382C059D1}"/>
            </c:ext>
          </c:extLst>
        </c:ser>
        <c:ser>
          <c:idx val="4"/>
          <c:order val="2"/>
          <c:tx>
            <c:strRef>
              <c:f>Projections!$A$320</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Projections!$P$320:$BG$320</c15:sqref>
                  </c15:fullRef>
                </c:ext>
              </c:extLst>
              <c:f>Projections!$P$320:$AQ$320</c:f>
              <c:numCache>
                <c:formatCode>#,##0</c:formatCode>
                <c:ptCount val="2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numCache>
            </c:numRef>
          </c:val>
          <c:smooth val="0"/>
          <c:extLst>
            <c:ext xmlns:c16="http://schemas.microsoft.com/office/drawing/2014/chart" uri="{C3380CC4-5D6E-409C-BE32-E72D297353CC}">
              <c16:uniqueId val="{00000004-04B6-450D-AD81-6BF382C059D1}"/>
            </c:ext>
          </c:extLst>
        </c:ser>
        <c:ser>
          <c:idx val="6"/>
          <c:order val="3"/>
          <c:tx>
            <c:strRef>
              <c:f>Projections!$A$322</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Projections!$P$322:$BG$322</c15:sqref>
                  </c15:fullRef>
                </c:ext>
              </c:extLst>
              <c:f>Projections!$P$322:$AQ$322</c:f>
              <c:numCache>
                <c:formatCode>#,##0</c:formatCode>
                <c:ptCount val="2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numCache>
            </c:numRef>
          </c:val>
          <c:smooth val="0"/>
          <c:extLst>
            <c:ext xmlns:c16="http://schemas.microsoft.com/office/drawing/2014/chart" uri="{C3380CC4-5D6E-409C-BE32-E72D297353CC}">
              <c16:uniqueId val="{00000006-04B6-450D-AD81-6BF382C059D1}"/>
            </c:ext>
          </c:extLst>
        </c:ser>
        <c:ser>
          <c:idx val="8"/>
          <c:order val="4"/>
          <c:tx>
            <c:strRef>
              <c:f>Projections!$A$324</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Projections!$P$324:$BG$324</c15:sqref>
                  </c15:fullRef>
                </c:ext>
              </c:extLst>
              <c:f>Projections!$P$324:$AQ$324</c:f>
              <c:numCache>
                <c:formatCode>#,##0</c:formatCode>
                <c:ptCount val="2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numCache>
            </c:numRef>
          </c:val>
          <c:smooth val="0"/>
          <c:extLst>
            <c:ext xmlns:c16="http://schemas.microsoft.com/office/drawing/2014/chart" uri="{C3380CC4-5D6E-409C-BE32-E72D297353CC}">
              <c16:uniqueId val="{00000008-04B6-450D-AD81-6BF382C059D1}"/>
            </c:ext>
          </c:extLst>
        </c:ser>
        <c:ser>
          <c:idx val="10"/>
          <c:order val="5"/>
          <c:tx>
            <c:strRef>
              <c:f>Projections!$A$326</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Projections!$P$326:$BG$326</c15:sqref>
                  </c15:fullRef>
                </c:ext>
              </c:extLst>
              <c:f>Projections!$P$326:$AQ$326</c:f>
              <c:numCache>
                <c:formatCode>#,##0</c:formatCode>
                <c:ptCount val="2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numCache>
            </c:numRef>
          </c:val>
          <c:smooth val="0"/>
          <c:extLst>
            <c:ext xmlns:c16="http://schemas.microsoft.com/office/drawing/2014/chart" uri="{C3380CC4-5D6E-409C-BE32-E72D297353CC}">
              <c16:uniqueId val="{0000000A-04B6-450D-AD81-6BF382C059D1}"/>
            </c:ext>
          </c:extLst>
        </c:ser>
        <c:ser>
          <c:idx val="12"/>
          <c:order val="6"/>
          <c:tx>
            <c:strRef>
              <c:f>Projections!$A$328</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Projections!$P$328:$BG$328</c15:sqref>
                  </c15:fullRef>
                </c:ext>
              </c:extLst>
              <c:f>Projections!$P$328:$AQ$328</c:f>
              <c:numCache>
                <c:formatCode>#,##0</c:formatCode>
                <c:ptCount val="2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numCache>
            </c:numRef>
          </c:val>
          <c:smooth val="0"/>
          <c:extLst>
            <c:ext xmlns:c16="http://schemas.microsoft.com/office/drawing/2014/chart" uri="{C3380CC4-5D6E-409C-BE32-E72D297353CC}">
              <c16:uniqueId val="{0000000C-04B6-450D-AD81-6BF382C059D1}"/>
            </c:ext>
          </c:extLst>
        </c:ser>
        <c:ser>
          <c:idx val="14"/>
          <c:order val="7"/>
          <c:tx>
            <c:strRef>
              <c:f>Projections!$A$330</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Projections!$P$330:$BG$330</c15:sqref>
                  </c15:fullRef>
                </c:ext>
              </c:extLst>
              <c:f>Projections!$P$330:$AQ$330</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E-04B6-450D-AD81-6BF382C059D1}"/>
            </c:ext>
          </c:extLst>
        </c:ser>
        <c:ser>
          <c:idx val="16"/>
          <c:order val="8"/>
          <c:tx>
            <c:strRef>
              <c:f>Projections!$A$332</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Projections!$P$332:$BG$332</c15:sqref>
                  </c15:fullRef>
                </c:ext>
              </c:extLst>
              <c:f>Projections!$P$332:$AQ$332</c:f>
              <c:numCache>
                <c:formatCode>#,##0</c:formatCode>
                <c:ptCount val="2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Projections!$A$316</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Projections!$P$317:$BG$317</c15:sqref>
                  </c15:fullRef>
                </c:ext>
              </c:extLst>
              <c:f>Projections!$P$317:$AQ$317</c:f>
              <c:numCache>
                <c:formatCode>#,##0</c:formatCode>
                <c:ptCount val="2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numCache>
            </c:numRef>
          </c:val>
          <c:smooth val="0"/>
          <c:extLst>
            <c:ext xmlns:c16="http://schemas.microsoft.com/office/drawing/2014/chart" uri="{C3380CC4-5D6E-409C-BE32-E72D297353CC}">
              <c16:uniqueId val="{00000001-EBAD-48A5-9277-83F388186C0C}"/>
            </c:ext>
          </c:extLst>
        </c:ser>
        <c:ser>
          <c:idx val="3"/>
          <c:order val="1"/>
          <c:tx>
            <c:strRef>
              <c:f>Projections!$A$318</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Projections!$P$319:$BG$319</c15:sqref>
                  </c15:fullRef>
                </c:ext>
              </c:extLst>
              <c:f>Projections!$P$319:$AQ$319</c:f>
              <c:numCache>
                <c:formatCode>#,##0</c:formatCode>
                <c:ptCount val="2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numCache>
            </c:numRef>
          </c:val>
          <c:smooth val="0"/>
          <c:extLst>
            <c:ext xmlns:c16="http://schemas.microsoft.com/office/drawing/2014/chart" uri="{C3380CC4-5D6E-409C-BE32-E72D297353CC}">
              <c16:uniqueId val="{00000003-EBAD-48A5-9277-83F388186C0C}"/>
            </c:ext>
          </c:extLst>
        </c:ser>
        <c:ser>
          <c:idx val="5"/>
          <c:order val="2"/>
          <c:tx>
            <c:strRef>
              <c:f>Projections!$A$320</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Projections!$P$321:$BG$321</c15:sqref>
                  </c15:fullRef>
                </c:ext>
              </c:extLst>
              <c:f>Projections!$P$321:$AQ$321</c:f>
              <c:numCache>
                <c:formatCode>#,##0</c:formatCode>
                <c:ptCount val="2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numCache>
            </c:numRef>
          </c:val>
          <c:smooth val="0"/>
          <c:extLst>
            <c:ext xmlns:c16="http://schemas.microsoft.com/office/drawing/2014/chart" uri="{C3380CC4-5D6E-409C-BE32-E72D297353CC}">
              <c16:uniqueId val="{00000005-EBAD-48A5-9277-83F388186C0C}"/>
            </c:ext>
          </c:extLst>
        </c:ser>
        <c:ser>
          <c:idx val="7"/>
          <c:order val="3"/>
          <c:tx>
            <c:strRef>
              <c:f>Projections!$A$322</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Projections!$P$323:$BG$323</c15:sqref>
                  </c15:fullRef>
                </c:ext>
              </c:extLst>
              <c:f>Projections!$P$323:$AQ$323</c:f>
              <c:numCache>
                <c:formatCode>#,##0</c:formatCode>
                <c:ptCount val="2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numCache>
            </c:numRef>
          </c:val>
          <c:smooth val="0"/>
          <c:extLst>
            <c:ext xmlns:c16="http://schemas.microsoft.com/office/drawing/2014/chart" uri="{C3380CC4-5D6E-409C-BE32-E72D297353CC}">
              <c16:uniqueId val="{00000007-EBAD-48A5-9277-83F388186C0C}"/>
            </c:ext>
          </c:extLst>
        </c:ser>
        <c:ser>
          <c:idx val="9"/>
          <c:order val="4"/>
          <c:tx>
            <c:strRef>
              <c:f>Projections!$A$324</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Projections!$P$325:$BG$325</c15:sqref>
                  </c15:fullRef>
                </c:ext>
              </c:extLst>
              <c:f>Projections!$P$325:$AQ$325</c:f>
              <c:numCache>
                <c:formatCode>#,##0</c:formatCode>
                <c:ptCount val="2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numCache>
            </c:numRef>
          </c:val>
          <c:smooth val="0"/>
          <c:extLst>
            <c:ext xmlns:c16="http://schemas.microsoft.com/office/drawing/2014/chart" uri="{C3380CC4-5D6E-409C-BE32-E72D297353CC}">
              <c16:uniqueId val="{00000009-EBAD-48A5-9277-83F388186C0C}"/>
            </c:ext>
          </c:extLst>
        </c:ser>
        <c:ser>
          <c:idx val="11"/>
          <c:order val="5"/>
          <c:tx>
            <c:strRef>
              <c:f>Projections!$A$326</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Projections!$P$327:$BG$327</c15:sqref>
                  </c15:fullRef>
                </c:ext>
              </c:extLst>
              <c:f>Projections!$P$327:$AQ$327</c:f>
              <c:numCache>
                <c:formatCode>#,##0</c:formatCode>
                <c:ptCount val="2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numCache>
            </c:numRef>
          </c:val>
          <c:smooth val="0"/>
          <c:extLst>
            <c:ext xmlns:c16="http://schemas.microsoft.com/office/drawing/2014/chart" uri="{C3380CC4-5D6E-409C-BE32-E72D297353CC}">
              <c16:uniqueId val="{0000000B-EBAD-48A5-9277-83F388186C0C}"/>
            </c:ext>
          </c:extLst>
        </c:ser>
        <c:ser>
          <c:idx val="13"/>
          <c:order val="6"/>
          <c:tx>
            <c:strRef>
              <c:f>Projections!$A$328</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Projections!$P$329:$BG$329</c15:sqref>
                  </c15:fullRef>
                </c:ext>
              </c:extLst>
              <c:f>Projections!$P$329:$AQ$329</c:f>
              <c:numCache>
                <c:formatCode>#,##0</c:formatCode>
                <c:ptCount val="2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numCache>
            </c:numRef>
          </c:val>
          <c:smooth val="0"/>
          <c:extLst>
            <c:ext xmlns:c16="http://schemas.microsoft.com/office/drawing/2014/chart" uri="{C3380CC4-5D6E-409C-BE32-E72D297353CC}">
              <c16:uniqueId val="{0000000D-EBAD-48A5-9277-83F388186C0C}"/>
            </c:ext>
          </c:extLst>
        </c:ser>
        <c:ser>
          <c:idx val="15"/>
          <c:order val="7"/>
          <c:tx>
            <c:strRef>
              <c:f>Projections!$A$330</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Projections!$P$331:$BG$331</c15:sqref>
                  </c15:fullRef>
                </c:ext>
              </c:extLst>
              <c:f>Projections!$P$331:$AQ$331</c:f>
              <c:numCache>
                <c:formatCode>#,##0</c:formatCode>
                <c:ptCount val="2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numCache>
            </c:numRef>
          </c:val>
          <c:smooth val="0"/>
          <c:extLst>
            <c:ext xmlns:c16="http://schemas.microsoft.com/office/drawing/2014/chart" uri="{C3380CC4-5D6E-409C-BE32-E72D297353CC}">
              <c16:uniqueId val="{0000000F-EBAD-48A5-9277-83F388186C0C}"/>
            </c:ext>
          </c:extLst>
        </c:ser>
        <c:ser>
          <c:idx val="17"/>
          <c:order val="8"/>
          <c:tx>
            <c:strRef>
              <c:f>Projections!$A$332</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Projections!$P$333:$BG$333</c15:sqref>
                  </c15:fullRef>
                </c:ext>
              </c:extLst>
              <c:f>Projections!$P$333:$AQ$333</c:f>
              <c:numCache>
                <c:formatCode>#,##0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Projections!$A$345</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Projections!$P$345:$BG$345</c15:sqref>
                  </c15:fullRef>
                </c:ext>
              </c:extLst>
              <c:f>Projections!$P$345:$AQ$345</c:f>
              <c:numCache>
                <c:formatCode>#,##0</c:formatCode>
                <c:ptCount val="2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numCache>
            </c:numRef>
          </c:val>
          <c:smooth val="0"/>
          <c:extLst>
            <c:ext xmlns:c16="http://schemas.microsoft.com/office/drawing/2014/chart" uri="{C3380CC4-5D6E-409C-BE32-E72D297353CC}">
              <c16:uniqueId val="{0000001E-05DD-4DD4-A5B5-12D162507280}"/>
            </c:ext>
          </c:extLst>
        </c:ser>
        <c:ser>
          <c:idx val="4"/>
          <c:order val="1"/>
          <c:tx>
            <c:strRef>
              <c:f>Projections!$A$343</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Projections!$P$343:$BG$343</c15:sqref>
                  </c15:fullRef>
                </c:ext>
              </c:extLst>
              <c:f>Projections!$P$343:$AQ$343</c:f>
              <c:numCache>
                <c:formatCode>#,##0</c:formatCode>
                <c:ptCount val="2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numCache>
            </c:numRef>
          </c:val>
          <c:smooth val="0"/>
          <c:extLst>
            <c:ext xmlns:c16="http://schemas.microsoft.com/office/drawing/2014/chart" uri="{C3380CC4-5D6E-409C-BE32-E72D297353CC}">
              <c16:uniqueId val="{0000001C-05DD-4DD4-A5B5-12D162507280}"/>
            </c:ext>
          </c:extLst>
        </c:ser>
        <c:ser>
          <c:idx val="10"/>
          <c:order val="2"/>
          <c:tx>
            <c:strRef>
              <c:f>Projections!$A$349</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Projections!$P$349:$BG$349</c15:sqref>
                  </c15:fullRef>
                </c:ext>
              </c:extLst>
              <c:f>Projections!$P$349:$AQ$349</c:f>
              <c:numCache>
                <c:formatCode>#,##0</c:formatCode>
                <c:ptCount val="2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numCache>
            </c:numRef>
          </c:val>
          <c:smooth val="0"/>
          <c:extLst>
            <c:ext xmlns:c16="http://schemas.microsoft.com/office/drawing/2014/chart" uri="{C3380CC4-5D6E-409C-BE32-E72D297353CC}">
              <c16:uniqueId val="{00000022-05DD-4DD4-A5B5-12D162507280}"/>
            </c:ext>
          </c:extLst>
        </c:ser>
        <c:ser>
          <c:idx val="0"/>
          <c:order val="3"/>
          <c:tx>
            <c:strRef>
              <c:f>Projections!$A$339</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Projections!$P$339:$BG$339</c15:sqref>
                  </c15:fullRef>
                </c:ext>
              </c:extLst>
              <c:f>Projections!$P$339:$AQ$339</c:f>
              <c:numCache>
                <c:formatCode>#,##0</c:formatCode>
                <c:ptCount val="2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numCache>
            </c:numRef>
          </c:val>
          <c:smooth val="0"/>
          <c:extLst>
            <c:ext xmlns:c16="http://schemas.microsoft.com/office/drawing/2014/chart" uri="{C3380CC4-5D6E-409C-BE32-E72D297353CC}">
              <c16:uniqueId val="{00000018-05DD-4DD4-A5B5-12D162507280}"/>
            </c:ext>
          </c:extLst>
        </c:ser>
        <c:ser>
          <c:idx val="2"/>
          <c:order val="4"/>
          <c:tx>
            <c:strRef>
              <c:f>Projections!$A$341</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Projections!$P$341:$BG$341</c15:sqref>
                  </c15:fullRef>
                </c:ext>
              </c:extLst>
              <c:f>Projections!$P$341:$AQ$341</c:f>
              <c:numCache>
                <c:formatCode>#,##0</c:formatCode>
                <c:ptCount val="2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numCache>
            </c:numRef>
          </c:val>
          <c:smooth val="0"/>
          <c:extLst>
            <c:ext xmlns:c16="http://schemas.microsoft.com/office/drawing/2014/chart" uri="{C3380CC4-5D6E-409C-BE32-E72D297353CC}">
              <c16:uniqueId val="{0000001A-05DD-4DD4-A5B5-12D162507280}"/>
            </c:ext>
          </c:extLst>
        </c:ser>
        <c:ser>
          <c:idx val="8"/>
          <c:order val="5"/>
          <c:tx>
            <c:strRef>
              <c:f>Projections!$A$347</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Projections!$P$347:$BG$347</c15:sqref>
                  </c15:fullRef>
                </c:ext>
              </c:extLst>
              <c:f>Projections!$P$347:$AQ$347</c:f>
              <c:numCache>
                <c:formatCode>#,##0</c:formatCode>
                <c:ptCount val="2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Projections!$A$345</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Projections!$P$346:$BG$346</c15:sqref>
                  </c15:fullRef>
                </c:ext>
              </c:extLst>
              <c:f>Projections!$P$346:$AQ$346</c:f>
              <c:numCache>
                <c:formatCode>#,##0</c:formatCode>
                <c:ptCount val="2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numCache>
            </c:numRef>
          </c:val>
          <c:smooth val="0"/>
          <c:extLst>
            <c:ext xmlns:c16="http://schemas.microsoft.com/office/drawing/2014/chart" uri="{C3380CC4-5D6E-409C-BE32-E72D297353CC}">
              <c16:uniqueId val="{00000007-65B4-47F9-9B97-64FB989C8893}"/>
            </c:ext>
          </c:extLst>
        </c:ser>
        <c:ser>
          <c:idx val="5"/>
          <c:order val="1"/>
          <c:tx>
            <c:strRef>
              <c:f>Projections!$A$343</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Projections!$P$344:$BG$344</c15:sqref>
                  </c15:fullRef>
                </c:ext>
              </c:extLst>
              <c:f>Projections!$P$344:$AQ$344</c:f>
              <c:numCache>
                <c:formatCode>#,##0</c:formatCode>
                <c:ptCount val="2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numCache>
            </c:numRef>
          </c:val>
          <c:smooth val="0"/>
          <c:extLst>
            <c:ext xmlns:c16="http://schemas.microsoft.com/office/drawing/2014/chart" uri="{C3380CC4-5D6E-409C-BE32-E72D297353CC}">
              <c16:uniqueId val="{00000005-65B4-47F9-9B97-64FB989C8893}"/>
            </c:ext>
          </c:extLst>
        </c:ser>
        <c:ser>
          <c:idx val="1"/>
          <c:order val="2"/>
          <c:tx>
            <c:strRef>
              <c:f>Projections!$A$339</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Projections!$P$340:$BG$340</c15:sqref>
                  </c15:fullRef>
                </c:ext>
              </c:extLst>
              <c:f>Projections!$P$340:$AQ$340</c:f>
              <c:numCache>
                <c:formatCode>#,##0</c:formatCode>
                <c:ptCount val="2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numCache>
            </c:numRef>
          </c:val>
          <c:smooth val="0"/>
          <c:extLst>
            <c:ext xmlns:c16="http://schemas.microsoft.com/office/drawing/2014/chart" uri="{C3380CC4-5D6E-409C-BE32-E72D297353CC}">
              <c16:uniqueId val="{00000001-65B4-47F9-9B97-64FB989C8893}"/>
            </c:ext>
          </c:extLst>
        </c:ser>
        <c:ser>
          <c:idx val="3"/>
          <c:order val="3"/>
          <c:tx>
            <c:strRef>
              <c:f>Projections!$A$341</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Projections!$P$342:$BG$342</c15:sqref>
                  </c15:fullRef>
                </c:ext>
              </c:extLst>
              <c:f>Projections!$P$342:$AQ$342</c:f>
              <c:numCache>
                <c:formatCode>#,##0</c:formatCode>
                <c:ptCount val="2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numCache>
            </c:numRef>
          </c:val>
          <c:smooth val="0"/>
          <c:extLst>
            <c:ext xmlns:c16="http://schemas.microsoft.com/office/drawing/2014/chart" uri="{C3380CC4-5D6E-409C-BE32-E72D297353CC}">
              <c16:uniqueId val="{00000003-65B4-47F9-9B97-64FB989C8893}"/>
            </c:ext>
          </c:extLst>
        </c:ser>
        <c:ser>
          <c:idx val="9"/>
          <c:order val="4"/>
          <c:tx>
            <c:strRef>
              <c:f>Projections!$A$347</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Projections!$P$283:$BG$283</c15:sqref>
                  </c15:fullRef>
                </c:ext>
              </c:extLst>
              <c:f>Projections!$P$283:$AQ$283</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43958.5</c:v>
                </c:pt>
                <c:pt idx="20">
                  <c:v>43969</c:v>
                </c:pt>
                <c:pt idx="21">
                  <c:v>43980.34</c:v>
                </c:pt>
                <c:pt idx="22">
                  <c:v>43990</c:v>
                </c:pt>
                <c:pt idx="23">
                  <c:v>44006.8</c:v>
                </c:pt>
                <c:pt idx="24">
                  <c:v>44023.6</c:v>
                </c:pt>
                <c:pt idx="25">
                  <c:v>44040.4</c:v>
                </c:pt>
                <c:pt idx="26">
                  <c:v>44057.2</c:v>
                </c:pt>
                <c:pt idx="27">
                  <c:v>44074</c:v>
                </c:pt>
              </c:numCache>
            </c:numRef>
          </c:cat>
          <c:val>
            <c:numRef>
              <c:extLst>
                <c:ext xmlns:c15="http://schemas.microsoft.com/office/drawing/2012/chart" uri="{02D57815-91ED-43cb-92C2-25804820EDAC}">
                  <c15:fullRef>
                    <c15:sqref>Projections!$P$348:$BG$348</c15:sqref>
                  </c15:fullRef>
                </c:ext>
              </c:extLst>
              <c:f>Projections!$P$348:$AQ$348</c:f>
              <c:numCache>
                <c:formatCode>#,##0</c:formatCode>
                <c:ptCount val="2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61</xdr:col>
      <xdr:colOff>9526</xdr:colOff>
      <xdr:row>282</xdr:row>
      <xdr:rowOff>104775</xdr:rowOff>
    </xdr:from>
    <xdr:to>
      <xdr:col>72</xdr:col>
      <xdr:colOff>600075</xdr:colOff>
      <xdr:row>314</xdr:row>
      <xdr:rowOff>104775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60</xdr:col>
      <xdr:colOff>736455</xdr:colOff>
      <xdr:row>354</xdr:row>
      <xdr:rowOff>120114</xdr:rowOff>
    </xdr:from>
    <xdr:to>
      <xdr:col>73</xdr:col>
      <xdr:colOff>19050</xdr:colOff>
      <xdr:row>377</xdr:row>
      <xdr:rowOff>129639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61</xdr:col>
      <xdr:colOff>3031</xdr:colOff>
      <xdr:row>378</xdr:row>
      <xdr:rowOff>124876</xdr:rowOff>
    </xdr:from>
    <xdr:to>
      <xdr:col>73</xdr:col>
      <xdr:colOff>28575</xdr:colOff>
      <xdr:row>395</xdr:row>
      <xdr:rowOff>101064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60</xdr:col>
      <xdr:colOff>741217</xdr:colOff>
      <xdr:row>396</xdr:row>
      <xdr:rowOff>105825</xdr:rowOff>
    </xdr:from>
    <xdr:to>
      <xdr:col>73</xdr:col>
      <xdr:colOff>38099</xdr:colOff>
      <xdr:row>412</xdr:row>
      <xdr:rowOff>101064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60</xdr:col>
      <xdr:colOff>741219</xdr:colOff>
      <xdr:row>413</xdr:row>
      <xdr:rowOff>124875</xdr:rowOff>
    </xdr:from>
    <xdr:to>
      <xdr:col>73</xdr:col>
      <xdr:colOff>19050</xdr:colOff>
      <xdr:row>432</xdr:row>
      <xdr:rowOff>120114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60</xdr:col>
      <xdr:colOff>738187</xdr:colOff>
      <xdr:row>316</xdr:row>
      <xdr:rowOff>119062</xdr:rowOff>
    </xdr:from>
    <xdr:to>
      <xdr:col>73</xdr:col>
      <xdr:colOff>19050</xdr:colOff>
      <xdr:row>336</xdr:row>
      <xdr:rowOff>118382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60</xdr:col>
      <xdr:colOff>740228</xdr:colOff>
      <xdr:row>337</xdr:row>
      <xdr:rowOff>117021</xdr:rowOff>
    </xdr:from>
    <xdr:to>
      <xdr:col>72</xdr:col>
      <xdr:colOff>590550</xdr:colOff>
      <xdr:row>353</xdr:row>
      <xdr:rowOff>100692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74</xdr:col>
      <xdr:colOff>1</xdr:colOff>
      <xdr:row>282</xdr:row>
      <xdr:rowOff>104775</xdr:rowOff>
    </xdr:from>
    <xdr:to>
      <xdr:col>86</xdr:col>
      <xdr:colOff>161925</xdr:colOff>
      <xdr:row>314</xdr:row>
      <xdr:rowOff>104775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73</xdr:col>
      <xdr:colOff>607867</xdr:colOff>
      <xdr:row>354</xdr:row>
      <xdr:rowOff>101064</xdr:rowOff>
    </xdr:from>
    <xdr:to>
      <xdr:col>86</xdr:col>
      <xdr:colOff>209550</xdr:colOff>
      <xdr:row>377</xdr:row>
      <xdr:rowOff>110589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73</xdr:col>
      <xdr:colOff>598343</xdr:colOff>
      <xdr:row>378</xdr:row>
      <xdr:rowOff>115351</xdr:rowOff>
    </xdr:from>
    <xdr:to>
      <xdr:col>86</xdr:col>
      <xdr:colOff>200025</xdr:colOff>
      <xdr:row>395</xdr:row>
      <xdr:rowOff>91539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74</xdr:col>
      <xdr:colOff>3029</xdr:colOff>
      <xdr:row>396</xdr:row>
      <xdr:rowOff>105825</xdr:rowOff>
    </xdr:from>
    <xdr:to>
      <xdr:col>86</xdr:col>
      <xdr:colOff>219074</xdr:colOff>
      <xdr:row>412</xdr:row>
      <xdr:rowOff>101064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74</xdr:col>
      <xdr:colOff>22081</xdr:colOff>
      <xdr:row>413</xdr:row>
      <xdr:rowOff>124875</xdr:rowOff>
    </xdr:from>
    <xdr:to>
      <xdr:col>86</xdr:col>
      <xdr:colOff>228600</xdr:colOff>
      <xdr:row>432</xdr:row>
      <xdr:rowOff>120114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73</xdr:col>
      <xdr:colOff>600074</xdr:colOff>
      <xdr:row>316</xdr:row>
      <xdr:rowOff>128587</xdr:rowOff>
    </xdr:from>
    <xdr:to>
      <xdr:col>86</xdr:col>
      <xdr:colOff>200025</xdr:colOff>
      <xdr:row>336</xdr:row>
      <xdr:rowOff>127907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73</xdr:col>
      <xdr:colOff>606878</xdr:colOff>
      <xdr:row>337</xdr:row>
      <xdr:rowOff>117021</xdr:rowOff>
    </xdr:from>
    <xdr:to>
      <xdr:col>86</xdr:col>
      <xdr:colOff>161925</xdr:colOff>
      <xdr:row>353</xdr:row>
      <xdr:rowOff>100692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mmid.github.io/topics/covid19/severity/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cmmid.github.io/topics/covid19/global_cfr_estimate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Demographics_of_the_United_State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cdc.gov/flu/pandemic-resources/basics/past-pandemics.html" TargetMode="External"/><Relationship Id="rId2" Type="http://schemas.openxmlformats.org/officeDocument/2006/relationships/hyperlink" Target="https://www.cdc.gov/nchs/fastats/deaths.htm" TargetMode="External"/><Relationship Id="rId1" Type="http://schemas.openxmlformats.org/officeDocument/2006/relationships/hyperlink" Target="https://en.wikipedia.org/wiki/United_States_military_casualties_of_war" TargetMode="External"/><Relationship Id="rId5" Type="http://schemas.openxmlformats.org/officeDocument/2006/relationships/printerSettings" Target="../printerSettings/printerSettings4.bin"/><Relationship Id="rId4" Type="http://schemas.openxmlformats.org/officeDocument/2006/relationships/hyperlink" Target="https://en.wikipedia.org/wiki/List_of_disasters_in_the_United_States_by_death_to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A22" sqref="A22"/>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538</v>
      </c>
    </row>
    <row r="3" spans="2:2" x14ac:dyDescent="0.25">
      <c r="B3" t="s">
        <v>52</v>
      </c>
    </row>
    <row r="4" spans="2:2" x14ac:dyDescent="0.25">
      <c r="B4" t="s">
        <v>62</v>
      </c>
    </row>
    <row r="5" spans="2:2" x14ac:dyDescent="0.25">
      <c r="B5" t="s">
        <v>64</v>
      </c>
    </row>
    <row r="6" spans="2:2" x14ac:dyDescent="0.25">
      <c r="B6" t="s">
        <v>65</v>
      </c>
    </row>
    <row r="7" spans="2:2" x14ac:dyDescent="0.25">
      <c r="B7" t="s">
        <v>53</v>
      </c>
    </row>
    <row r="11" spans="2:2" x14ac:dyDescent="0.25">
      <c r="B11" t="s">
        <v>72</v>
      </c>
    </row>
    <row r="12" spans="2:2" x14ac:dyDescent="0.25">
      <c r="B12" t="s">
        <v>85</v>
      </c>
    </row>
    <row r="13" spans="2:2" x14ac:dyDescent="0.25">
      <c r="B13" t="s">
        <v>87</v>
      </c>
    </row>
    <row r="14" spans="2:2" x14ac:dyDescent="0.25">
      <c r="B14" t="s">
        <v>86</v>
      </c>
    </row>
    <row r="15" spans="2:2" x14ac:dyDescent="0.25">
      <c r="B15" t="s">
        <v>93</v>
      </c>
    </row>
    <row r="17" spans="1:43" x14ac:dyDescent="0.25">
      <c r="A17" t="s">
        <v>91</v>
      </c>
      <c r="B17" s="102">
        <f>(AP25/E31) /Projections!B271</f>
        <v>71.428571428571431</v>
      </c>
      <c r="C17" s="103"/>
      <c r="D17" s="104"/>
      <c r="E17" s="98">
        <f>B17*2</f>
        <v>142.85714285714286</v>
      </c>
      <c r="F17" s="103"/>
      <c r="G17" s="98"/>
      <c r="H17" s="98">
        <f>E17*2</f>
        <v>285.71428571428572</v>
      </c>
      <c r="I17" s="103"/>
      <c r="J17" s="104"/>
      <c r="K17" s="95">
        <f>H17*2</f>
        <v>571.42857142857144</v>
      </c>
      <c r="L17" s="93"/>
      <c r="M17" s="94"/>
      <c r="N17" s="95">
        <f>K17*2</f>
        <v>1142.8571428571429</v>
      </c>
      <c r="O17" s="93"/>
      <c r="P17" s="94"/>
      <c r="Q17" s="95">
        <f>N17*2</f>
        <v>2285.7142857142858</v>
      </c>
      <c r="R17" s="93"/>
      <c r="S17" s="94"/>
      <c r="T17" s="95">
        <f>Q17*2</f>
        <v>4571.4285714285716</v>
      </c>
      <c r="U17" s="93"/>
      <c r="V17" s="94"/>
      <c r="W17" s="95">
        <f>T17*2</f>
        <v>9142.8571428571431</v>
      </c>
      <c r="X17" s="93"/>
      <c r="Y17" s="94"/>
      <c r="Z17" s="95">
        <f>W17*2</f>
        <v>18285.714285714286</v>
      </c>
      <c r="AA17" s="93"/>
      <c r="AB17" s="94"/>
      <c r="AC17" s="95">
        <f>Z17*2</f>
        <v>36571.428571428572</v>
      </c>
      <c r="AD17" s="93"/>
      <c r="AE17" s="94"/>
      <c r="AF17" s="95">
        <f>AC17*2</f>
        <v>73142.857142857145</v>
      </c>
      <c r="AG17" s="93"/>
      <c r="AH17" s="94"/>
      <c r="AI17" s="95">
        <f>AF17*2</f>
        <v>146285.71428571429</v>
      </c>
      <c r="AJ17" s="93"/>
      <c r="AK17" s="94"/>
      <c r="AL17" s="95">
        <f>AI17*2</f>
        <v>292571.42857142858</v>
      </c>
      <c r="AM17" s="93"/>
      <c r="AN17" s="94"/>
      <c r="AO17" s="95">
        <f>AL17*2</f>
        <v>585142.85714285716</v>
      </c>
      <c r="AP17" s="98"/>
      <c r="AQ17" t="s">
        <v>91</v>
      </c>
    </row>
    <row r="18" spans="1:43" s="69" customFormat="1" x14ac:dyDescent="0.25">
      <c r="A18" s="69" t="s">
        <v>163</v>
      </c>
      <c r="B18" s="88">
        <f>B17*$E$34</f>
        <v>54.479418886198545</v>
      </c>
      <c r="C18" s="105"/>
      <c r="D18" s="105"/>
      <c r="E18" s="105">
        <f>E17*$E$34</f>
        <v>108.95883777239709</v>
      </c>
      <c r="F18" s="105"/>
      <c r="G18" s="33"/>
      <c r="H18" s="105">
        <f>H17*$E$34</f>
        <v>217.91767554479418</v>
      </c>
      <c r="I18" s="105"/>
      <c r="J18" s="105"/>
      <c r="K18" s="105">
        <f>K17*$E$34</f>
        <v>435.83535108958836</v>
      </c>
      <c r="L18" s="105"/>
      <c r="M18" s="105"/>
      <c r="N18" s="105">
        <f>N17*$E$34</f>
        <v>871.67070217917671</v>
      </c>
      <c r="O18" s="105"/>
      <c r="P18" s="105"/>
      <c r="Q18" s="105">
        <f>Q17*$E$34</f>
        <v>1743.3414043583534</v>
      </c>
      <c r="R18" s="105"/>
      <c r="S18" s="105"/>
      <c r="T18" s="105">
        <f>T17*$E$34</f>
        <v>3486.6828087167069</v>
      </c>
      <c r="U18" s="105"/>
      <c r="V18" s="105"/>
      <c r="W18" s="105">
        <f>W17*$E$34</f>
        <v>6973.3656174334137</v>
      </c>
      <c r="X18" s="105"/>
      <c r="Y18" s="105"/>
      <c r="Z18" s="105">
        <f>Z17*$E$34</f>
        <v>13946.731234866827</v>
      </c>
      <c r="AA18" s="105"/>
      <c r="AB18" s="105"/>
      <c r="AC18" s="105">
        <f>AC17*$E$34</f>
        <v>27893.462469733655</v>
      </c>
      <c r="AD18" s="105"/>
      <c r="AE18" s="105"/>
      <c r="AF18" s="105">
        <f>AF17*$E$34</f>
        <v>55786.92493946731</v>
      </c>
      <c r="AG18" s="105"/>
      <c r="AH18" s="105"/>
      <c r="AI18" s="105">
        <f>AI17*$E$34</f>
        <v>111573.84987893462</v>
      </c>
      <c r="AJ18" s="105"/>
      <c r="AK18" s="105"/>
      <c r="AL18" s="105">
        <f>AL17*$E$34</f>
        <v>223147.69975786924</v>
      </c>
      <c r="AM18" s="105"/>
      <c r="AN18" s="105"/>
      <c r="AO18" s="105">
        <f>AO17*$E$34</f>
        <v>446295.39951573848</v>
      </c>
      <c r="AP18" s="33"/>
      <c r="AQ18" s="69" t="s">
        <v>163</v>
      </c>
    </row>
    <row r="19" spans="1:43" s="69" customFormat="1" x14ac:dyDescent="0.25">
      <c r="A19" s="47" t="s">
        <v>165</v>
      </c>
      <c r="B19" s="86">
        <f>B18</f>
        <v>54.479418886198545</v>
      </c>
      <c r="C19" s="87"/>
      <c r="D19" s="87"/>
      <c r="E19" s="87">
        <f>E18</f>
        <v>108.95883777239709</v>
      </c>
      <c r="F19" s="87"/>
      <c r="G19" s="34"/>
      <c r="H19" s="87">
        <f>H18</f>
        <v>217.91767554479418</v>
      </c>
      <c r="I19" s="87"/>
      <c r="J19" s="87"/>
      <c r="K19" s="87">
        <f>K18</f>
        <v>435.83535108958836</v>
      </c>
      <c r="L19" s="87"/>
      <c r="M19" s="87"/>
      <c r="N19" s="87">
        <f>N18</f>
        <v>871.67070217917671</v>
      </c>
      <c r="O19" s="87"/>
      <c r="P19" s="87"/>
      <c r="Q19" s="87">
        <f>Q18</f>
        <v>1743.3414043583534</v>
      </c>
      <c r="R19" s="87"/>
      <c r="S19" s="87"/>
      <c r="T19" s="87">
        <f>T18</f>
        <v>3486.6828087167069</v>
      </c>
      <c r="U19" s="87"/>
      <c r="V19" s="87"/>
      <c r="W19" s="121">
        <f>W18-B18</f>
        <v>6918.8861985472149</v>
      </c>
      <c r="X19" s="121"/>
      <c r="Y19" s="121"/>
      <c r="Z19" s="121">
        <f>Z18-E18</f>
        <v>13837.77239709443</v>
      </c>
      <c r="AA19" s="121"/>
      <c r="AB19" s="121"/>
      <c r="AC19" s="121">
        <f>AC18-H18</f>
        <v>27675.54479418886</v>
      </c>
      <c r="AD19" s="121"/>
      <c r="AE19" s="121"/>
      <c r="AF19" s="121">
        <f>AF18-K18</f>
        <v>55351.089588377719</v>
      </c>
      <c r="AG19" s="121"/>
      <c r="AH19" s="121"/>
      <c r="AI19" s="121">
        <f>AI18-N18</f>
        <v>110702.17917675544</v>
      </c>
      <c r="AJ19" s="121"/>
      <c r="AK19" s="121"/>
      <c r="AL19" s="121">
        <f>AL18-Q18</f>
        <v>221404.35835351088</v>
      </c>
      <c r="AM19" s="121"/>
      <c r="AN19" s="121"/>
      <c r="AO19" s="121">
        <f>AO18-T18</f>
        <v>442808.71670702175</v>
      </c>
      <c r="AP19" s="122"/>
      <c r="AQ19" s="47" t="s">
        <v>165</v>
      </c>
    </row>
    <row r="20" spans="1:43" s="69" customFormat="1" x14ac:dyDescent="0.25">
      <c r="A20" t="s">
        <v>92</v>
      </c>
      <c r="B20" s="88"/>
      <c r="C20" s="105"/>
      <c r="D20" s="105"/>
      <c r="E20" s="105"/>
      <c r="F20" s="105"/>
      <c r="G20" s="33"/>
      <c r="H20" s="106"/>
      <c r="I20" s="107"/>
      <c r="J20" s="108"/>
      <c r="K20" s="131">
        <f>B17*(1-$E$34)</f>
        <v>16.949152542372886</v>
      </c>
      <c r="L20" s="128"/>
      <c r="M20" s="129"/>
      <c r="N20" s="130">
        <f>E17*(1-$E$34)</f>
        <v>33.898305084745772</v>
      </c>
      <c r="O20" s="128"/>
      <c r="P20" s="129"/>
      <c r="Q20" s="130">
        <f>H17*(1-$E$34)</f>
        <v>67.796610169491544</v>
      </c>
      <c r="R20" s="128"/>
      <c r="S20" s="129"/>
      <c r="T20" s="130">
        <f>K17*(1-$E$34)</f>
        <v>135.59322033898309</v>
      </c>
      <c r="U20" s="128"/>
      <c r="V20" s="129"/>
      <c r="W20" s="130">
        <f>N17*(1-$E$34)</f>
        <v>271.18644067796617</v>
      </c>
      <c r="X20" s="128"/>
      <c r="Y20" s="129"/>
      <c r="Z20" s="130">
        <f>Q17*(1-$E$34)</f>
        <v>542.37288135593235</v>
      </c>
      <c r="AA20" s="128"/>
      <c r="AB20" s="129"/>
      <c r="AC20" s="130">
        <f>T17*(1-$E$34)</f>
        <v>1084.7457627118647</v>
      </c>
      <c r="AD20" s="128"/>
      <c r="AE20" s="129"/>
      <c r="AF20" s="130">
        <f>W17*(1-$E$34)</f>
        <v>2169.4915254237294</v>
      </c>
      <c r="AG20" s="128"/>
      <c r="AH20" s="129"/>
      <c r="AI20" s="130">
        <f>Z17*(1-$E$34)</f>
        <v>4338.9830508474588</v>
      </c>
      <c r="AJ20" s="128"/>
      <c r="AK20" s="129"/>
      <c r="AL20" s="130">
        <f>AC17*(1-$E$34)</f>
        <v>8677.9661016949176</v>
      </c>
      <c r="AM20" s="128"/>
      <c r="AN20" s="129"/>
      <c r="AO20" s="130">
        <f>AF17*(1-$E$34)</f>
        <v>17355.932203389835</v>
      </c>
      <c r="AP20" s="79"/>
      <c r="AQ20" t="s">
        <v>92</v>
      </c>
    </row>
    <row r="21" spans="1:43" s="69" customFormat="1" x14ac:dyDescent="0.25">
      <c r="A21" s="69" t="s">
        <v>73</v>
      </c>
      <c r="B21" s="80"/>
      <c r="C21" s="81"/>
      <c r="D21" s="81"/>
      <c r="E21" s="81"/>
      <c r="F21" s="81"/>
      <c r="G21" s="82"/>
      <c r="H21" s="123">
        <f>B17-B18</f>
        <v>16.949152542372886</v>
      </c>
      <c r="I21" s="123"/>
      <c r="J21" s="123"/>
      <c r="K21" s="123">
        <f>E17-E18</f>
        <v>33.898305084745772</v>
      </c>
      <c r="L21" s="123"/>
      <c r="M21" s="123"/>
      <c r="N21" s="123">
        <f>(H17-H18)*$E$35</f>
        <v>54.915254237288153</v>
      </c>
      <c r="O21" s="123"/>
      <c r="P21" s="123"/>
      <c r="Q21" s="123">
        <f>(K17-K18)*$E$35</f>
        <v>109.83050847457631</v>
      </c>
      <c r="R21" s="123"/>
      <c r="S21" s="123"/>
      <c r="T21" s="123">
        <f>(N17-N18)*$E$35</f>
        <v>219.66101694915261</v>
      </c>
      <c r="U21" s="123"/>
      <c r="V21" s="123"/>
      <c r="W21" s="123">
        <f>((Q17-Q18)*$E$35)-(H21*$E$35)</f>
        <v>425.5932203389832</v>
      </c>
      <c r="X21" s="123"/>
      <c r="Y21" s="123"/>
      <c r="Z21" s="123">
        <f>((T17-T18)*$E$35)-(K21*$E$35)</f>
        <v>851.1864406779664</v>
      </c>
      <c r="AA21" s="123"/>
      <c r="AB21" s="123"/>
      <c r="AC21" s="123">
        <f>((W17-W18)*$E$35)-N21</f>
        <v>1702.3728813559328</v>
      </c>
      <c r="AD21" s="123"/>
      <c r="AE21" s="123"/>
      <c r="AF21" s="123">
        <f>((Z17-Z18)*$E$35)-Q21</f>
        <v>3404.7457627118656</v>
      </c>
      <c r="AG21" s="123"/>
      <c r="AH21" s="123"/>
      <c r="AI21" s="123">
        <f>((AC17-AC18)*$E$35)-T21</f>
        <v>6809.4915254237312</v>
      </c>
      <c r="AJ21" s="123"/>
      <c r="AK21" s="123"/>
      <c r="AL21" s="123">
        <f>((AF17-AF18)*$E$35)-W21</f>
        <v>13632.711864406783</v>
      </c>
      <c r="AM21" s="123"/>
      <c r="AN21" s="123"/>
      <c r="AO21" s="123">
        <f>((AI17-AI18)*$E$35)-Z21</f>
        <v>27265.423728813566</v>
      </c>
      <c r="AP21" s="124"/>
      <c r="AQ21" s="69" t="s">
        <v>73</v>
      </c>
    </row>
    <row r="22" spans="1:43" s="69" customFormat="1" x14ac:dyDescent="0.25">
      <c r="A22" s="69" t="s">
        <v>74</v>
      </c>
      <c r="B22" s="80"/>
      <c r="C22" s="81"/>
      <c r="D22" s="81"/>
      <c r="E22" s="81"/>
      <c r="F22" s="81"/>
      <c r="G22" s="82"/>
      <c r="H22" s="107"/>
      <c r="I22" s="107"/>
      <c r="J22" s="107"/>
      <c r="K22" s="107"/>
      <c r="L22" s="107"/>
      <c r="M22" s="108"/>
      <c r="N22" s="125">
        <f>(H17-H18)*($E$36+$E$37)</f>
        <v>12.881355932203393</v>
      </c>
      <c r="O22" s="125"/>
      <c r="P22" s="125"/>
      <c r="Q22" s="125">
        <f>(K17-K18)*($E$36+$E$37)</f>
        <v>25.762711864406786</v>
      </c>
      <c r="R22" s="125"/>
      <c r="S22" s="125"/>
      <c r="T22" s="125">
        <f>(N17-N18)*$E$36</f>
        <v>37.966101694915267</v>
      </c>
      <c r="U22" s="125"/>
      <c r="V22" s="125"/>
      <c r="W22" s="125">
        <f>(Q17-Q18)*$E$36</f>
        <v>75.932203389830534</v>
      </c>
      <c r="X22" s="125"/>
      <c r="Y22" s="125"/>
      <c r="Z22" s="125">
        <f>(T17-T18)*$E$36</f>
        <v>151.86440677966107</v>
      </c>
      <c r="AA22" s="125"/>
      <c r="AB22" s="125"/>
      <c r="AC22" s="125">
        <f>(W17-W18)*$E$36</f>
        <v>303.72881355932213</v>
      </c>
      <c r="AD22" s="125"/>
      <c r="AE22" s="125"/>
      <c r="AF22" s="125">
        <f>(Z17-Z18)*$E$36</f>
        <v>607.45762711864427</v>
      </c>
      <c r="AG22" s="125"/>
      <c r="AH22" s="125"/>
      <c r="AI22" s="125">
        <f>(AC17-AC18)*$E$36</f>
        <v>1214.9152542372885</v>
      </c>
      <c r="AJ22" s="125"/>
      <c r="AK22" s="125"/>
      <c r="AL22" s="125">
        <f>(AF17-AF18)*$E$36</f>
        <v>2429.8305084745771</v>
      </c>
      <c r="AM22" s="125"/>
      <c r="AN22" s="125"/>
      <c r="AO22" s="125">
        <f>(AI17-AI18)*$E$36</f>
        <v>4859.6610169491541</v>
      </c>
      <c r="AP22" s="126"/>
      <c r="AQ22" s="69" t="s">
        <v>74</v>
      </c>
    </row>
    <row r="23" spans="1:43" s="69" customFormat="1" x14ac:dyDescent="0.25">
      <c r="A23" s="47" t="s">
        <v>75</v>
      </c>
      <c r="B23" s="80"/>
      <c r="C23" s="81"/>
      <c r="D23" s="81"/>
      <c r="E23" s="81"/>
      <c r="F23" s="81"/>
      <c r="G23" s="82"/>
      <c r="H23" s="87"/>
      <c r="I23" s="87"/>
      <c r="J23" s="87"/>
      <c r="K23" s="87"/>
      <c r="L23" s="87"/>
      <c r="M23" s="87"/>
      <c r="N23" s="107"/>
      <c r="O23" s="107"/>
      <c r="P23" s="107"/>
      <c r="Q23" s="107"/>
      <c r="R23" s="107"/>
      <c r="S23" s="108"/>
      <c r="T23" s="40">
        <f>(N17-N18)*$E$37</f>
        <v>13.55932203389831</v>
      </c>
      <c r="U23" s="40"/>
      <c r="V23" s="40"/>
      <c r="W23" s="40">
        <f>(Q17-Q18)*$E$37</f>
        <v>27.11864406779662</v>
      </c>
      <c r="X23" s="40"/>
      <c r="Y23" s="40"/>
      <c r="Z23" s="40">
        <f>(T17-T18)*$E$37</f>
        <v>54.237288135593239</v>
      </c>
      <c r="AA23" s="40"/>
      <c r="AB23" s="40"/>
      <c r="AC23" s="40">
        <f>(W17-W18)*$E$37</f>
        <v>108.47457627118648</v>
      </c>
      <c r="AD23" s="40"/>
      <c r="AE23" s="40"/>
      <c r="AF23" s="40">
        <f>(Z17-Z18)*$E$37</f>
        <v>216.94915254237296</v>
      </c>
      <c r="AG23" s="40"/>
      <c r="AH23" s="40"/>
      <c r="AI23" s="40">
        <f>(AC17-AC18)*$E$37</f>
        <v>433.89830508474591</v>
      </c>
      <c r="AJ23" s="40"/>
      <c r="AK23" s="40"/>
      <c r="AL23" s="40">
        <f>(AF17-AF18)*$E$37</f>
        <v>867.79661016949183</v>
      </c>
      <c r="AM23" s="40"/>
      <c r="AN23" s="40"/>
      <c r="AO23" s="40">
        <f>(AI17-AI18)*$E$37</f>
        <v>1735.5932203389837</v>
      </c>
      <c r="AP23" s="127"/>
      <c r="AQ23" s="47" t="s">
        <v>75</v>
      </c>
    </row>
    <row r="24" spans="1:43" s="69" customFormat="1" x14ac:dyDescent="0.25">
      <c r="A24" s="47" t="s">
        <v>80</v>
      </c>
      <c r="B24" s="86"/>
      <c r="C24" s="87"/>
      <c r="D24" s="87"/>
      <c r="E24" s="87"/>
      <c r="F24" s="87"/>
      <c r="G24" s="34"/>
      <c r="H24" s="87"/>
      <c r="I24" s="87"/>
      <c r="J24" s="87"/>
      <c r="K24" s="87"/>
      <c r="L24" s="87"/>
      <c r="M24" s="87"/>
      <c r="N24" s="87"/>
      <c r="O24" s="87"/>
      <c r="P24" s="87"/>
      <c r="Q24" s="87"/>
      <c r="R24" s="87"/>
      <c r="S24" s="87"/>
      <c r="T24" s="107"/>
      <c r="U24" s="108"/>
      <c r="V24" s="109">
        <f>H21*$E$35</f>
        <v>13.728813559322038</v>
      </c>
      <c r="W24" s="109"/>
      <c r="X24" s="109"/>
      <c r="Y24" s="109">
        <f>K21*$E$35</f>
        <v>27.457627118644076</v>
      </c>
      <c r="Z24" s="109"/>
      <c r="AA24" s="109"/>
      <c r="AB24" s="109">
        <f>N21</f>
        <v>54.915254237288153</v>
      </c>
      <c r="AC24" s="109"/>
      <c r="AD24" s="109"/>
      <c r="AE24" s="109">
        <f>Q21</f>
        <v>109.83050847457631</v>
      </c>
      <c r="AF24" s="109"/>
      <c r="AG24" s="109"/>
      <c r="AH24" s="109">
        <f>T21</f>
        <v>219.66101694915261</v>
      </c>
      <c r="AI24" s="109"/>
      <c r="AJ24" s="109"/>
      <c r="AK24" s="109">
        <f>W21</f>
        <v>425.5932203389832</v>
      </c>
      <c r="AL24" s="109"/>
      <c r="AM24" s="109"/>
      <c r="AN24" s="109">
        <f>Z21</f>
        <v>851.1864406779664</v>
      </c>
      <c r="AO24" s="109"/>
      <c r="AP24" s="110"/>
      <c r="AQ24" s="47" t="s">
        <v>80</v>
      </c>
    </row>
    <row r="25" spans="1:43" x14ac:dyDescent="0.25">
      <c r="A25" s="47" t="s">
        <v>69</v>
      </c>
      <c r="B25" s="99"/>
      <c r="C25" s="100"/>
      <c r="D25" s="100"/>
      <c r="E25" s="100"/>
      <c r="F25" s="100"/>
      <c r="G25" s="101"/>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132">
        <f>E32</f>
        <v>1</v>
      </c>
      <c r="AQ25" s="47" t="s">
        <v>69</v>
      </c>
    </row>
    <row r="26" spans="1:43" x14ac:dyDescent="0.25">
      <c r="A26" s="133" t="s">
        <v>96</v>
      </c>
      <c r="B26" s="89">
        <f t="shared" ref="B26:G26" ca="1" si="0">C26-1</f>
        <v>43946.963576273149</v>
      </c>
      <c r="C26" s="90">
        <f t="shared" ca="1" si="0"/>
        <v>43947.963576273149</v>
      </c>
      <c r="D26" s="90">
        <f t="shared" ca="1" si="0"/>
        <v>43948.963576273149</v>
      </c>
      <c r="E26" s="90">
        <f t="shared" ca="1" si="0"/>
        <v>43949.963576273149</v>
      </c>
      <c r="F26" s="90">
        <f t="shared" ca="1" si="0"/>
        <v>43950.963576273149</v>
      </c>
      <c r="G26" s="91">
        <f t="shared" ca="1" si="0"/>
        <v>43951.963576273149</v>
      </c>
      <c r="H26" s="90">
        <f t="shared" ref="H26:U26" ca="1" si="1">I26-1</f>
        <v>43952.963576273149</v>
      </c>
      <c r="I26" s="90">
        <f t="shared" ca="1" si="1"/>
        <v>43953.963576273149</v>
      </c>
      <c r="J26" s="90">
        <f t="shared" ca="1" si="1"/>
        <v>43954.963576273149</v>
      </c>
      <c r="K26" s="90">
        <f t="shared" ca="1" si="1"/>
        <v>43955.963576273149</v>
      </c>
      <c r="L26" s="90">
        <f t="shared" ca="1" si="1"/>
        <v>43956.963576273149</v>
      </c>
      <c r="M26" s="90">
        <f t="shared" ca="1" si="1"/>
        <v>43957.963576273149</v>
      </c>
      <c r="N26" s="91">
        <f t="shared" ca="1" si="1"/>
        <v>43958.963576273149</v>
      </c>
      <c r="O26" s="89">
        <f t="shared" ca="1" si="1"/>
        <v>43959.963576273149</v>
      </c>
      <c r="P26" s="90">
        <f t="shared" ca="1" si="1"/>
        <v>43960.963576273149</v>
      </c>
      <c r="Q26" s="90">
        <f t="shared" ca="1" si="1"/>
        <v>43961.963576273149</v>
      </c>
      <c r="R26" s="90">
        <f t="shared" ca="1" si="1"/>
        <v>43962.963576273149</v>
      </c>
      <c r="S26" s="90">
        <f t="shared" ca="1" si="1"/>
        <v>43963.963576273149</v>
      </c>
      <c r="T26" s="90">
        <f t="shared" ca="1" si="1"/>
        <v>43964.963576273149</v>
      </c>
      <c r="U26" s="91">
        <f t="shared" ca="1" si="1"/>
        <v>43965.963576273149</v>
      </c>
      <c r="V26" s="89">
        <f t="shared" ref="V26:AN26" ca="1" si="2">W26-1</f>
        <v>43966.963576273149</v>
      </c>
      <c r="W26" s="90">
        <f t="shared" ca="1" si="2"/>
        <v>43967.963576273149</v>
      </c>
      <c r="X26" s="90">
        <f t="shared" ca="1" si="2"/>
        <v>43968.963576273149</v>
      </c>
      <c r="Y26" s="90">
        <f t="shared" ca="1" si="2"/>
        <v>43969.963576273149</v>
      </c>
      <c r="Z26" s="90">
        <f t="shared" ca="1" si="2"/>
        <v>43970.963576273149</v>
      </c>
      <c r="AA26" s="90">
        <f t="shared" ca="1" si="2"/>
        <v>43971.963576273149</v>
      </c>
      <c r="AB26" s="91">
        <f t="shared" ca="1" si="2"/>
        <v>43972.963576273149</v>
      </c>
      <c r="AC26" s="89">
        <f t="shared" ca="1" si="2"/>
        <v>43973.963576273149</v>
      </c>
      <c r="AD26" s="90">
        <f t="shared" ca="1" si="2"/>
        <v>43974.963576273149</v>
      </c>
      <c r="AE26" s="90">
        <f t="shared" ca="1" si="2"/>
        <v>43975.963576273149</v>
      </c>
      <c r="AF26" s="90">
        <f t="shared" ca="1" si="2"/>
        <v>43976.963576273149</v>
      </c>
      <c r="AG26" s="90">
        <f t="shared" ca="1" si="2"/>
        <v>43977.963576273149</v>
      </c>
      <c r="AH26" s="90">
        <f t="shared" ca="1" si="2"/>
        <v>43978.963576273149</v>
      </c>
      <c r="AI26" s="91">
        <f t="shared" ca="1" si="2"/>
        <v>43979.963576273149</v>
      </c>
      <c r="AJ26" s="89">
        <f t="shared" ca="1" si="2"/>
        <v>43980.963576273149</v>
      </c>
      <c r="AK26" s="90">
        <f t="shared" ca="1" si="2"/>
        <v>43981.963576273149</v>
      </c>
      <c r="AL26" s="90">
        <f t="shared" ca="1" si="2"/>
        <v>43982.963576273149</v>
      </c>
      <c r="AM26" s="90">
        <f t="shared" ca="1" si="2"/>
        <v>43983.963576273149</v>
      </c>
      <c r="AN26" s="90">
        <f t="shared" ca="1" si="2"/>
        <v>43984.963576273149</v>
      </c>
      <c r="AO26" s="90">
        <f ca="1">AP26-1</f>
        <v>43985.963576273149</v>
      </c>
      <c r="AP26" s="111">
        <f ca="1">NOW()</f>
        <v>43986.963576273149</v>
      </c>
    </row>
    <row r="27" spans="1:43" x14ac:dyDescent="0.25">
      <c r="A27" s="134" t="s">
        <v>97</v>
      </c>
      <c r="B27" s="117">
        <v>1</v>
      </c>
      <c r="C27" s="118">
        <v>2</v>
      </c>
      <c r="D27" s="117">
        <v>3</v>
      </c>
      <c r="E27" s="118">
        <v>4</v>
      </c>
      <c r="F27" s="117">
        <v>5</v>
      </c>
      <c r="G27" s="119">
        <v>6</v>
      </c>
      <c r="H27" s="118">
        <v>7</v>
      </c>
      <c r="I27" s="118">
        <v>8</v>
      </c>
      <c r="J27" s="118">
        <v>9</v>
      </c>
      <c r="K27" s="118">
        <v>10</v>
      </c>
      <c r="L27" s="118">
        <v>11</v>
      </c>
      <c r="M27" s="118">
        <v>12</v>
      </c>
      <c r="N27" s="119">
        <v>13</v>
      </c>
      <c r="O27" s="117">
        <v>14</v>
      </c>
      <c r="P27" s="118">
        <v>15</v>
      </c>
      <c r="Q27" s="118">
        <v>16</v>
      </c>
      <c r="R27" s="118">
        <v>17</v>
      </c>
      <c r="S27" s="118">
        <v>18</v>
      </c>
      <c r="T27" s="118">
        <v>19</v>
      </c>
      <c r="U27" s="119">
        <v>20</v>
      </c>
      <c r="V27" s="117">
        <v>21</v>
      </c>
      <c r="W27" s="118">
        <v>22</v>
      </c>
      <c r="X27" s="118">
        <v>23</v>
      </c>
      <c r="Y27" s="118">
        <v>24</v>
      </c>
      <c r="Z27" s="118">
        <v>25</v>
      </c>
      <c r="AA27" s="118">
        <v>26</v>
      </c>
      <c r="AB27" s="119">
        <v>27</v>
      </c>
      <c r="AC27" s="117">
        <v>28</v>
      </c>
      <c r="AD27" s="118">
        <v>29</v>
      </c>
      <c r="AE27" s="118">
        <v>30</v>
      </c>
      <c r="AF27" s="118">
        <v>31</v>
      </c>
      <c r="AG27" s="118">
        <v>32</v>
      </c>
      <c r="AH27" s="118">
        <v>33</v>
      </c>
      <c r="AI27" s="119">
        <v>34</v>
      </c>
      <c r="AJ27" s="117">
        <v>35</v>
      </c>
      <c r="AK27" s="118">
        <v>36</v>
      </c>
      <c r="AL27" s="118">
        <v>37</v>
      </c>
      <c r="AM27" s="118">
        <v>38</v>
      </c>
      <c r="AN27" s="118">
        <v>39</v>
      </c>
      <c r="AO27" s="118">
        <v>40</v>
      </c>
      <c r="AP27" s="119">
        <v>41</v>
      </c>
    </row>
    <row r="28" spans="1:43" x14ac:dyDescent="0.25">
      <c r="A28" s="135" t="s">
        <v>98</v>
      </c>
      <c r="B28" s="345" t="s">
        <v>67</v>
      </c>
      <c r="C28" s="346"/>
      <c r="D28" s="346"/>
      <c r="E28" s="346"/>
      <c r="F28" s="346"/>
      <c r="G28" s="347"/>
      <c r="H28" s="351" t="s">
        <v>57</v>
      </c>
      <c r="I28" s="351"/>
      <c r="J28" s="351"/>
      <c r="K28" s="351"/>
      <c r="L28" s="351"/>
      <c r="M28" s="351"/>
      <c r="N28" s="352"/>
      <c r="O28" s="350" t="s">
        <v>58</v>
      </c>
      <c r="P28" s="351"/>
      <c r="Q28" s="351"/>
      <c r="R28" s="351"/>
      <c r="S28" s="351"/>
      <c r="T28" s="351"/>
      <c r="U28" s="352"/>
      <c r="V28" s="350" t="s">
        <v>59</v>
      </c>
      <c r="W28" s="351"/>
      <c r="X28" s="351"/>
      <c r="Y28" s="351"/>
      <c r="Z28" s="351"/>
      <c r="AA28" s="351"/>
      <c r="AB28" s="352"/>
      <c r="AC28" s="350" t="s">
        <v>60</v>
      </c>
      <c r="AD28" s="351"/>
      <c r="AE28" s="351"/>
      <c r="AF28" s="351"/>
      <c r="AG28" s="351"/>
      <c r="AH28" s="351"/>
      <c r="AI28" s="352"/>
      <c r="AJ28" s="350" t="s">
        <v>61</v>
      </c>
      <c r="AK28" s="351"/>
      <c r="AL28" s="351"/>
      <c r="AM28" s="351"/>
      <c r="AN28" s="351"/>
      <c r="AO28" s="351"/>
      <c r="AP28" s="352"/>
    </row>
    <row r="29" spans="1:43" x14ac:dyDescent="0.25">
      <c r="B29" s="51" t="s">
        <v>79</v>
      </c>
      <c r="C29" s="96"/>
      <c r="D29" s="96"/>
      <c r="E29" s="96"/>
      <c r="F29" s="96"/>
      <c r="G29" s="97"/>
      <c r="H29" s="348" t="s">
        <v>66</v>
      </c>
      <c r="I29" s="348"/>
      <c r="J29" s="348"/>
      <c r="K29" s="348"/>
      <c r="L29" s="348"/>
      <c r="M29" s="348"/>
      <c r="N29" s="348"/>
      <c r="O29" s="348"/>
      <c r="P29" s="348"/>
      <c r="Q29" s="348"/>
      <c r="R29" s="348"/>
      <c r="S29" s="348"/>
      <c r="T29" s="348"/>
      <c r="U29" s="348"/>
      <c r="V29" s="348"/>
      <c r="W29" s="348"/>
      <c r="X29" s="348"/>
      <c r="Y29" s="348"/>
      <c r="Z29" s="348"/>
      <c r="AA29" s="348"/>
      <c r="AB29" s="348"/>
      <c r="AC29" s="348"/>
      <c r="AD29" s="348"/>
      <c r="AE29" s="348"/>
      <c r="AF29" s="348"/>
      <c r="AG29" s="348"/>
      <c r="AH29" s="348"/>
      <c r="AI29" s="348"/>
      <c r="AJ29" s="348"/>
      <c r="AK29" s="348"/>
      <c r="AL29" s="348"/>
      <c r="AM29" s="348"/>
      <c r="AN29" s="348"/>
      <c r="AO29" s="348"/>
      <c r="AP29" s="349"/>
    </row>
    <row r="31" spans="1:43" x14ac:dyDescent="0.25">
      <c r="B31" s="57" t="s">
        <v>68</v>
      </c>
      <c r="C31" s="138" t="s">
        <v>189</v>
      </c>
      <c r="D31" s="9"/>
      <c r="E31" s="85">
        <f>VLOOKUP(C31,B43:C54,2,FALSE)</f>
        <v>5.8999999999999997E-2</v>
      </c>
      <c r="F31" s="9"/>
      <c r="G31" s="9"/>
      <c r="H31" s="9"/>
      <c r="I31" s="5"/>
    </row>
    <row r="32" spans="1:43" x14ac:dyDescent="0.25">
      <c r="B32" s="41" t="s">
        <v>95</v>
      </c>
      <c r="C32" s="16"/>
      <c r="D32" s="16"/>
      <c r="E32" s="139">
        <v>1</v>
      </c>
      <c r="F32" s="16"/>
      <c r="G32" s="16"/>
      <c r="H32" s="16"/>
      <c r="I32" s="17"/>
    </row>
    <row r="33" spans="2:9" x14ac:dyDescent="0.25">
      <c r="B33" s="41" t="s">
        <v>70</v>
      </c>
      <c r="C33" s="16"/>
      <c r="D33" s="16"/>
      <c r="E33" s="16">
        <v>3</v>
      </c>
      <c r="F33" s="16" t="s">
        <v>71</v>
      </c>
      <c r="G33" s="16"/>
      <c r="H33" s="16"/>
      <c r="I33" s="17"/>
    </row>
    <row r="34" spans="2:9" x14ac:dyDescent="0.25">
      <c r="B34" s="41" t="s">
        <v>184</v>
      </c>
      <c r="C34" s="16"/>
      <c r="D34" s="16"/>
      <c r="E34" s="140">
        <f>1-Projections!B271</f>
        <v>0.76271186440677963</v>
      </c>
      <c r="F34" s="16" t="s">
        <v>186</v>
      </c>
      <c r="G34" s="16"/>
      <c r="H34" s="16"/>
      <c r="I34" s="17"/>
    </row>
    <row r="35" spans="2:9" x14ac:dyDescent="0.25">
      <c r="B35" s="41" t="s">
        <v>76</v>
      </c>
      <c r="C35" s="16"/>
      <c r="D35" s="16"/>
      <c r="E35" s="140">
        <v>0.81</v>
      </c>
      <c r="F35" s="16" t="s">
        <v>94</v>
      </c>
      <c r="G35" s="16"/>
      <c r="H35" s="16"/>
      <c r="I35" s="17"/>
    </row>
    <row r="36" spans="2:9" x14ac:dyDescent="0.25">
      <c r="B36" s="41" t="s">
        <v>77</v>
      </c>
      <c r="C36" s="16"/>
      <c r="D36" s="16"/>
      <c r="E36" s="140">
        <v>0.14000000000000001</v>
      </c>
      <c r="F36" s="16" t="s">
        <v>94</v>
      </c>
      <c r="G36" s="16"/>
      <c r="H36" s="16"/>
      <c r="I36" s="17"/>
    </row>
    <row r="37" spans="2:9" x14ac:dyDescent="0.25">
      <c r="B37" s="41" t="s">
        <v>78</v>
      </c>
      <c r="C37" s="16"/>
      <c r="D37" s="16"/>
      <c r="E37" s="140">
        <v>0.05</v>
      </c>
      <c r="F37" s="16" t="s">
        <v>94</v>
      </c>
      <c r="G37" s="16"/>
      <c r="H37" s="16"/>
      <c r="I37" s="17"/>
    </row>
    <row r="38" spans="2:9" x14ac:dyDescent="0.25">
      <c r="B38" s="41" t="s">
        <v>81</v>
      </c>
      <c r="C38" s="16"/>
      <c r="D38" s="16"/>
      <c r="E38" s="136">
        <v>2</v>
      </c>
      <c r="F38" s="16" t="s">
        <v>82</v>
      </c>
      <c r="G38" s="16"/>
      <c r="H38" s="16"/>
      <c r="I38" s="17"/>
    </row>
    <row r="39" spans="2:9" x14ac:dyDescent="0.25">
      <c r="B39" s="37" t="s">
        <v>83</v>
      </c>
      <c r="C39" s="137"/>
      <c r="D39" s="39"/>
      <c r="E39" s="116">
        <v>4</v>
      </c>
      <c r="F39" s="39" t="s">
        <v>82</v>
      </c>
      <c r="G39" s="39" t="s">
        <v>84</v>
      </c>
      <c r="H39" s="39"/>
      <c r="I39" s="63"/>
    </row>
    <row r="42" spans="2:9" x14ac:dyDescent="0.25">
      <c r="B42" t="s">
        <v>90</v>
      </c>
    </row>
    <row r="43" spans="2:9" x14ac:dyDescent="0.25">
      <c r="B43" s="4" t="s">
        <v>89</v>
      </c>
      <c r="C43" s="115">
        <v>3.5000000000000003E-2</v>
      </c>
    </row>
    <row r="44" spans="2:9" x14ac:dyDescent="0.25">
      <c r="B44" s="41" t="s">
        <v>88</v>
      </c>
      <c r="C44" s="27">
        <v>2.3E-2</v>
      </c>
    </row>
    <row r="45" spans="2:9" x14ac:dyDescent="0.25">
      <c r="B45" s="41" t="s">
        <v>189</v>
      </c>
      <c r="C45" s="27">
        <f>Projections!B279</f>
        <v>5.8999999999999997E-2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20"/>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BK352"/>
  <sheetViews>
    <sheetView tabSelected="1" topLeftCell="R253" zoomScale="85" zoomScaleNormal="85" workbookViewId="0">
      <selection activeCell="AQ275" sqref="AQ275"/>
    </sheetView>
  </sheetViews>
  <sheetFormatPr defaultRowHeight="15" x14ac:dyDescent="0.25"/>
  <cols>
    <col min="1" max="1" width="44.28515625" customWidth="1"/>
    <col min="2" max="2" width="16.7109375" bestFit="1" customWidth="1"/>
    <col min="3" max="3" width="12" customWidth="1"/>
    <col min="4" max="4" width="13.5703125" bestFit="1" customWidth="1"/>
    <col min="5" max="5" width="10.7109375" bestFit="1" customWidth="1"/>
    <col min="6" max="15" width="11.28515625" customWidth="1"/>
    <col min="16" max="16" width="10.7109375" customWidth="1"/>
    <col min="17" max="17" width="10.85546875" bestFit="1" customWidth="1"/>
    <col min="18" max="18" width="10.7109375" bestFit="1" customWidth="1"/>
    <col min="19" max="20" width="10.85546875" bestFit="1" customWidth="1"/>
    <col min="21" max="21" width="10.5703125" customWidth="1"/>
    <col min="22" max="22" width="11.28515625" bestFit="1" customWidth="1"/>
    <col min="23" max="23" width="11" customWidth="1"/>
    <col min="24" max="24" width="10.7109375" customWidth="1"/>
    <col min="25" max="26" width="10.85546875" bestFit="1" customWidth="1"/>
    <col min="27" max="27" width="10.85546875" customWidth="1"/>
    <col min="28" max="29" width="10.85546875" bestFit="1" customWidth="1"/>
    <col min="30" max="33" width="11.28515625" customWidth="1"/>
    <col min="34" max="34" width="10.7109375" bestFit="1" customWidth="1"/>
    <col min="35" max="37" width="10.7109375" customWidth="1"/>
    <col min="38" max="38" width="10.7109375" bestFit="1" customWidth="1"/>
    <col min="39" max="39" width="11.5703125" customWidth="1"/>
    <col min="40" max="42" width="10.7109375" customWidth="1"/>
    <col min="43" max="43" width="11.7109375" bestFit="1" customWidth="1"/>
    <col min="44" max="47" width="11.7109375" customWidth="1"/>
    <col min="48" max="52" width="11.5703125" customWidth="1"/>
    <col min="53" max="53" width="11.7109375" customWidth="1"/>
    <col min="54" max="56" width="11.5703125" bestFit="1" customWidth="1"/>
    <col min="57" max="58" width="13.28515625" bestFit="1" customWidth="1"/>
    <col min="59" max="59" width="13.7109375" customWidth="1"/>
    <col min="60" max="60" width="11.5703125" style="69" bestFit="1" customWidth="1"/>
    <col min="61" max="61" width="11.140625" bestFit="1" customWidth="1"/>
    <col min="62" max="62" width="12.140625" bestFit="1" customWidth="1"/>
  </cols>
  <sheetData>
    <row r="1" spans="3:34" x14ac:dyDescent="0.25">
      <c r="C1" t="s">
        <v>356</v>
      </c>
      <c r="D1" t="s">
        <v>121</v>
      </c>
      <c r="E1" t="s">
        <v>357</v>
      </c>
    </row>
    <row r="2" spans="3:34" x14ac:dyDescent="0.25">
      <c r="C2" t="s">
        <v>353</v>
      </c>
      <c r="D2" t="s">
        <v>353</v>
      </c>
      <c r="E2" s="276">
        <v>2017</v>
      </c>
      <c r="F2" t="s">
        <v>274</v>
      </c>
    </row>
    <row r="3" spans="3:34" x14ac:dyDescent="0.25">
      <c r="C3" t="s">
        <v>353</v>
      </c>
      <c r="D3" t="s">
        <v>353</v>
      </c>
      <c r="E3" s="276">
        <v>2018</v>
      </c>
      <c r="F3" t="s">
        <v>273</v>
      </c>
    </row>
    <row r="4" spans="3:34" x14ac:dyDescent="0.25">
      <c r="C4" t="s">
        <v>353</v>
      </c>
      <c r="D4" t="s">
        <v>353</v>
      </c>
      <c r="E4" s="295">
        <v>43647</v>
      </c>
      <c r="F4" t="s">
        <v>385</v>
      </c>
    </row>
    <row r="5" spans="3:34" x14ac:dyDescent="0.25">
      <c r="C5" t="s">
        <v>353</v>
      </c>
      <c r="D5" t="s">
        <v>353</v>
      </c>
      <c r="E5" s="217">
        <v>44177</v>
      </c>
      <c r="F5" t="s">
        <v>512</v>
      </c>
    </row>
    <row r="6" spans="3:34" x14ac:dyDescent="0.25">
      <c r="C6" t="s">
        <v>353</v>
      </c>
      <c r="D6" t="s">
        <v>353</v>
      </c>
      <c r="E6" s="217">
        <v>43829</v>
      </c>
      <c r="F6" t="s">
        <v>259</v>
      </c>
    </row>
    <row r="7" spans="3:34" x14ac:dyDescent="0.25">
      <c r="C7" t="s">
        <v>353</v>
      </c>
      <c r="D7" t="s">
        <v>353</v>
      </c>
      <c r="E7" s="217">
        <v>43830</v>
      </c>
      <c r="F7" t="s">
        <v>262</v>
      </c>
    </row>
    <row r="8" spans="3:34" x14ac:dyDescent="0.25">
      <c r="D8" t="s">
        <v>353</v>
      </c>
      <c r="E8" t="s">
        <v>353</v>
      </c>
      <c r="F8" s="217">
        <v>43833</v>
      </c>
      <c r="G8" t="s">
        <v>258</v>
      </c>
    </row>
    <row r="9" spans="3:34" x14ac:dyDescent="0.25">
      <c r="D9" t="s">
        <v>353</v>
      </c>
      <c r="E9" t="s">
        <v>353</v>
      </c>
      <c r="F9" s="271">
        <v>43835</v>
      </c>
      <c r="G9" s="69" t="s">
        <v>255</v>
      </c>
      <c r="H9" s="69"/>
      <c r="I9" s="69"/>
      <c r="J9" s="69"/>
      <c r="K9" s="69"/>
      <c r="L9" s="69"/>
      <c r="M9" s="69"/>
      <c r="N9" s="165"/>
      <c r="P9" s="217"/>
    </row>
    <row r="10" spans="3:34" x14ac:dyDescent="0.25">
      <c r="D10" t="s">
        <v>353</v>
      </c>
      <c r="E10" t="s">
        <v>353</v>
      </c>
      <c r="F10" s="158">
        <v>43836</v>
      </c>
      <c r="G10" s="159" t="s">
        <v>191</v>
      </c>
      <c r="H10" s="159"/>
      <c r="I10" s="159"/>
      <c r="J10" s="159"/>
      <c r="K10" s="159"/>
      <c r="L10" s="159"/>
      <c r="M10" s="159"/>
      <c r="N10" s="158">
        <v>43850</v>
      </c>
      <c r="P10" s="217"/>
    </row>
    <row r="11" spans="3:34" x14ac:dyDescent="0.25">
      <c r="D11" t="s">
        <v>353</v>
      </c>
      <c r="E11" t="s">
        <v>353</v>
      </c>
      <c r="F11" s="271">
        <v>43837</v>
      </c>
      <c r="G11" s="69" t="s">
        <v>225</v>
      </c>
      <c r="H11" s="69"/>
      <c r="I11" s="69"/>
      <c r="J11" s="69"/>
      <c r="K11" s="69"/>
      <c r="L11" s="69"/>
      <c r="M11" s="69"/>
      <c r="N11" s="165"/>
      <c r="P11" s="217"/>
    </row>
    <row r="12" spans="3:34" x14ac:dyDescent="0.25">
      <c r="D12" t="s">
        <v>353</v>
      </c>
      <c r="E12" t="s">
        <v>353</v>
      </c>
      <c r="F12" s="165">
        <v>43838</v>
      </c>
      <c r="G12" s="69" t="s">
        <v>263</v>
      </c>
      <c r="H12" s="69"/>
      <c r="I12" s="69"/>
      <c r="J12" s="69"/>
      <c r="K12" s="69"/>
      <c r="L12" s="69"/>
      <c r="M12" s="69"/>
      <c r="N12" s="165"/>
      <c r="O12" s="69"/>
      <c r="P12" s="165"/>
      <c r="Q12" s="69"/>
      <c r="R12" s="69"/>
      <c r="S12" s="69"/>
      <c r="T12" s="69"/>
      <c r="V12" s="69"/>
      <c r="W12" s="69"/>
      <c r="X12" s="69"/>
      <c r="Y12" s="69"/>
      <c r="Z12" s="69"/>
      <c r="AA12" s="69"/>
      <c r="AB12" s="69"/>
      <c r="AC12" s="69"/>
      <c r="AD12" s="69"/>
      <c r="AE12" s="69"/>
      <c r="AF12" s="69"/>
      <c r="AG12" s="69"/>
      <c r="AH12" s="69"/>
    </row>
    <row r="13" spans="3:34" x14ac:dyDescent="0.25">
      <c r="D13" t="s">
        <v>353</v>
      </c>
      <c r="E13" t="s">
        <v>353</v>
      </c>
      <c r="F13" s="165">
        <v>43839</v>
      </c>
      <c r="G13" s="69" t="s">
        <v>545</v>
      </c>
      <c r="H13" s="69"/>
      <c r="I13" s="69"/>
      <c r="J13" s="69"/>
      <c r="K13" s="69"/>
      <c r="L13" s="69"/>
      <c r="M13" s="69"/>
      <c r="N13" s="165"/>
      <c r="O13" s="69"/>
      <c r="P13" s="165"/>
      <c r="Q13" s="69"/>
      <c r="R13" s="69"/>
      <c r="S13" s="69"/>
      <c r="T13" s="69"/>
      <c r="V13" s="69"/>
      <c r="W13" s="69"/>
      <c r="X13" s="69"/>
      <c r="Y13" s="69"/>
      <c r="Z13" s="69"/>
      <c r="AA13" s="69"/>
      <c r="AB13" s="69"/>
      <c r="AC13" s="69"/>
      <c r="AD13" s="69"/>
      <c r="AE13" s="69"/>
      <c r="AF13" s="69"/>
      <c r="AG13" s="69"/>
      <c r="AH13" s="69"/>
    </row>
    <row r="14" spans="3:34" x14ac:dyDescent="0.25">
      <c r="D14" t="s">
        <v>353</v>
      </c>
      <c r="E14" t="s">
        <v>353</v>
      </c>
      <c r="F14" s="271">
        <v>43839</v>
      </c>
      <c r="G14" s="69" t="s">
        <v>226</v>
      </c>
      <c r="H14" s="69"/>
      <c r="I14" s="69"/>
      <c r="J14" s="69"/>
      <c r="K14" s="69"/>
      <c r="L14" s="69"/>
      <c r="M14" s="69"/>
      <c r="N14" s="165"/>
      <c r="P14" s="217"/>
    </row>
    <row r="15" spans="3:34" x14ac:dyDescent="0.25">
      <c r="D15" t="s">
        <v>353</v>
      </c>
      <c r="E15" t="s">
        <v>353</v>
      </c>
      <c r="F15" s="271">
        <v>43840</v>
      </c>
      <c r="G15" s="69" t="s">
        <v>296</v>
      </c>
      <c r="H15" s="69"/>
      <c r="I15" s="69"/>
      <c r="J15" s="69"/>
      <c r="K15" s="69"/>
      <c r="L15" s="69"/>
      <c r="M15" s="69"/>
      <c r="N15" s="165"/>
      <c r="P15" s="217"/>
    </row>
    <row r="16" spans="3:34" x14ac:dyDescent="0.25">
      <c r="D16" t="s">
        <v>353</v>
      </c>
      <c r="E16" t="s">
        <v>353</v>
      </c>
      <c r="F16" s="165">
        <v>43841</v>
      </c>
      <c r="G16" s="69" t="s">
        <v>233</v>
      </c>
      <c r="H16" s="69"/>
      <c r="I16" s="69"/>
      <c r="J16" s="69"/>
      <c r="K16" s="69"/>
      <c r="L16" s="69"/>
      <c r="M16" s="69"/>
      <c r="N16" s="165"/>
      <c r="P16" s="217"/>
    </row>
    <row r="17" spans="4:35" x14ac:dyDescent="0.25">
      <c r="D17" t="s">
        <v>353</v>
      </c>
      <c r="E17" t="s">
        <v>353</v>
      </c>
      <c r="F17" s="165">
        <v>43842</v>
      </c>
      <c r="G17" s="69" t="s">
        <v>260</v>
      </c>
      <c r="H17" s="69"/>
      <c r="I17" s="69"/>
      <c r="J17" s="69"/>
      <c r="K17" s="69"/>
      <c r="L17" s="69"/>
      <c r="M17" s="69"/>
      <c r="N17" s="165"/>
      <c r="P17" s="217"/>
    </row>
    <row r="18" spans="4:35" x14ac:dyDescent="0.25">
      <c r="D18" t="s">
        <v>353</v>
      </c>
      <c r="E18" t="s">
        <v>353</v>
      </c>
      <c r="F18" s="271">
        <v>43844</v>
      </c>
      <c r="G18" s="69" t="s">
        <v>546</v>
      </c>
      <c r="H18" s="69"/>
      <c r="I18" s="69"/>
      <c r="J18" s="69"/>
      <c r="K18" s="69"/>
      <c r="L18" s="69"/>
      <c r="M18" s="69"/>
      <c r="N18" s="165"/>
      <c r="P18" s="217"/>
    </row>
    <row r="19" spans="4:35" x14ac:dyDescent="0.25">
      <c r="D19" s="69" t="s">
        <v>353</v>
      </c>
      <c r="E19" s="69" t="s">
        <v>353</v>
      </c>
      <c r="F19" s="165">
        <v>43844</v>
      </c>
      <c r="G19" s="69" t="s">
        <v>549</v>
      </c>
      <c r="H19" s="69"/>
      <c r="I19" s="69"/>
      <c r="J19" s="69"/>
      <c r="K19" s="69"/>
      <c r="L19" s="69"/>
      <c r="M19" s="69"/>
      <c r="N19" s="165"/>
      <c r="P19" s="217"/>
    </row>
    <row r="20" spans="4:35" x14ac:dyDescent="0.25">
      <c r="D20" t="s">
        <v>353</v>
      </c>
      <c r="E20" t="s">
        <v>353</v>
      </c>
      <c r="F20" s="165">
        <v>43845</v>
      </c>
      <c r="G20" s="69" t="s">
        <v>266</v>
      </c>
      <c r="H20" s="69"/>
      <c r="I20" s="69"/>
      <c r="J20" s="69"/>
      <c r="K20" s="69"/>
      <c r="L20" s="69"/>
      <c r="M20" s="69"/>
      <c r="N20" s="165"/>
      <c r="P20" s="217"/>
      <c r="AI20" s="69"/>
    </row>
    <row r="21" spans="4:35" x14ac:dyDescent="0.25">
      <c r="D21" t="s">
        <v>353</v>
      </c>
      <c r="E21" t="s">
        <v>353</v>
      </c>
      <c r="F21" s="165">
        <v>43846</v>
      </c>
      <c r="G21" s="69" t="s">
        <v>192</v>
      </c>
      <c r="H21" s="69"/>
      <c r="I21" s="69"/>
      <c r="J21" s="69"/>
      <c r="K21" s="69"/>
      <c r="L21" s="69"/>
      <c r="M21" s="69"/>
      <c r="N21" s="165"/>
      <c r="P21" s="217"/>
    </row>
    <row r="22" spans="4:35" x14ac:dyDescent="0.25">
      <c r="D22" t="s">
        <v>353</v>
      </c>
      <c r="E22" t="s">
        <v>353</v>
      </c>
      <c r="F22" s="158">
        <v>43847</v>
      </c>
      <c r="G22" s="159" t="s">
        <v>218</v>
      </c>
      <c r="H22" s="159"/>
      <c r="I22" s="159"/>
      <c r="J22" s="159"/>
      <c r="K22" s="159"/>
      <c r="L22" s="159"/>
      <c r="M22" s="159"/>
      <c r="N22" s="158">
        <v>43861</v>
      </c>
      <c r="P22" s="217"/>
    </row>
    <row r="23" spans="4:35" x14ac:dyDescent="0.25">
      <c r="D23" t="s">
        <v>353</v>
      </c>
      <c r="E23" t="s">
        <v>353</v>
      </c>
      <c r="F23" s="270">
        <v>43848</v>
      </c>
      <c r="G23" s="69" t="s">
        <v>202</v>
      </c>
      <c r="H23" s="69"/>
      <c r="I23" s="69"/>
      <c r="J23" s="69"/>
      <c r="K23" s="69"/>
      <c r="L23" s="69"/>
      <c r="M23" s="69"/>
      <c r="N23" s="165"/>
      <c r="O23" s="69"/>
      <c r="P23" s="165"/>
    </row>
    <row r="24" spans="4:35" x14ac:dyDescent="0.25">
      <c r="D24" t="s">
        <v>353</v>
      </c>
      <c r="E24" t="s">
        <v>353</v>
      </c>
      <c r="F24" s="165">
        <v>43850</v>
      </c>
      <c r="G24" s="69" t="s">
        <v>548</v>
      </c>
      <c r="H24" s="69"/>
      <c r="I24" s="69"/>
      <c r="J24" s="69"/>
      <c r="K24" s="69"/>
      <c r="L24" s="69"/>
      <c r="M24" s="69"/>
      <c r="N24" s="165"/>
      <c r="O24" s="69"/>
      <c r="P24" s="165"/>
    </row>
    <row r="25" spans="4:35" x14ac:dyDescent="0.25">
      <c r="D25" s="289">
        <v>1</v>
      </c>
      <c r="E25" t="s">
        <v>353</v>
      </c>
      <c r="F25" s="217">
        <v>43851</v>
      </c>
      <c r="G25" t="s">
        <v>193</v>
      </c>
    </row>
    <row r="26" spans="4:35" x14ac:dyDescent="0.25">
      <c r="D26" s="291">
        <v>1</v>
      </c>
      <c r="E26" t="s">
        <v>353</v>
      </c>
      <c r="F26" s="270">
        <v>43852</v>
      </c>
      <c r="G26" t="s">
        <v>194</v>
      </c>
    </row>
    <row r="27" spans="4:35" x14ac:dyDescent="0.25">
      <c r="D27" s="291">
        <v>1</v>
      </c>
      <c r="E27" t="s">
        <v>353</v>
      </c>
      <c r="F27" s="165">
        <v>43853</v>
      </c>
      <c r="G27" t="s">
        <v>547</v>
      </c>
    </row>
    <row r="28" spans="4:35" x14ac:dyDescent="0.25">
      <c r="D28" s="291">
        <v>1</v>
      </c>
      <c r="E28" t="s">
        <v>353</v>
      </c>
      <c r="F28" s="271">
        <v>43853</v>
      </c>
      <c r="G28" s="69" t="s">
        <v>231</v>
      </c>
      <c r="H28" s="69"/>
      <c r="I28" s="69"/>
      <c r="J28" s="69"/>
      <c r="K28" s="69"/>
      <c r="L28" s="69"/>
      <c r="M28" s="69"/>
      <c r="N28" s="69"/>
      <c r="O28" s="69"/>
      <c r="P28" s="69"/>
      <c r="Q28" s="69"/>
      <c r="R28" s="69"/>
      <c r="S28" s="69"/>
      <c r="T28" s="69"/>
      <c r="V28" s="69"/>
      <c r="W28" s="69"/>
      <c r="X28" s="69"/>
      <c r="Y28" s="69"/>
      <c r="Z28" s="69"/>
      <c r="AA28" s="69"/>
      <c r="AB28" s="69"/>
      <c r="AC28" s="69"/>
      <c r="AD28" s="69"/>
      <c r="AE28" s="69"/>
      <c r="AF28" s="69"/>
      <c r="AG28" s="69"/>
      <c r="AH28" s="69"/>
    </row>
    <row r="29" spans="4:35" x14ac:dyDescent="0.25">
      <c r="D29" s="289">
        <v>2</v>
      </c>
      <c r="E29" s="69" t="s">
        <v>353</v>
      </c>
      <c r="F29" s="270">
        <v>43854</v>
      </c>
      <c r="G29" s="69" t="s">
        <v>227</v>
      </c>
      <c r="H29" s="69"/>
      <c r="I29" s="69"/>
      <c r="J29" s="69"/>
      <c r="K29" s="69"/>
      <c r="L29" s="69"/>
      <c r="M29" s="69"/>
      <c r="N29" s="69"/>
      <c r="O29" s="69"/>
      <c r="P29" s="69"/>
      <c r="Q29" s="69"/>
      <c r="R29" s="69"/>
      <c r="S29" s="69"/>
      <c r="T29" s="69"/>
      <c r="V29" s="69"/>
      <c r="W29" s="69"/>
      <c r="X29" s="69"/>
      <c r="Y29" s="69"/>
      <c r="Z29" s="69"/>
      <c r="AA29" s="69"/>
      <c r="AB29" s="69"/>
      <c r="AC29" s="69"/>
      <c r="AD29" s="69"/>
      <c r="AE29" s="69"/>
      <c r="AF29" s="69"/>
      <c r="AG29" s="69"/>
      <c r="AH29" s="69"/>
    </row>
    <row r="30" spans="4:35" x14ac:dyDescent="0.25">
      <c r="D30" s="289">
        <v>5</v>
      </c>
      <c r="E30" s="69" t="s">
        <v>353</v>
      </c>
      <c r="F30" s="165">
        <v>43857</v>
      </c>
      <c r="G30" s="69" t="s">
        <v>203</v>
      </c>
      <c r="H30" s="69"/>
      <c r="I30" s="69"/>
      <c r="J30" s="69"/>
      <c r="K30" s="69"/>
      <c r="L30" s="69"/>
      <c r="M30" s="69"/>
      <c r="N30" s="69"/>
      <c r="O30" s="69"/>
      <c r="P30" s="69"/>
      <c r="Q30" s="69"/>
      <c r="R30" s="69"/>
      <c r="S30" s="69"/>
      <c r="T30" s="69"/>
      <c r="V30" s="69"/>
      <c r="W30" s="69"/>
      <c r="X30" s="69"/>
      <c r="Y30" s="69"/>
      <c r="Z30" s="69"/>
      <c r="AA30" s="69"/>
      <c r="AB30" s="69"/>
      <c r="AC30" s="69"/>
      <c r="AD30" s="69"/>
      <c r="AE30" s="69"/>
      <c r="AF30" s="69"/>
      <c r="AG30" s="69"/>
      <c r="AH30" s="69"/>
    </row>
    <row r="31" spans="4:35" x14ac:dyDescent="0.25">
      <c r="D31" s="291">
        <v>5</v>
      </c>
      <c r="E31" s="69" t="s">
        <v>353</v>
      </c>
      <c r="F31" s="158">
        <v>43858</v>
      </c>
      <c r="G31" s="159" t="s">
        <v>265</v>
      </c>
      <c r="H31" s="159"/>
      <c r="I31" s="159"/>
      <c r="J31" s="159"/>
      <c r="K31" s="159"/>
      <c r="L31" s="159"/>
      <c r="M31" s="159"/>
      <c r="N31" s="159"/>
      <c r="O31" s="158">
        <v>43873</v>
      </c>
      <c r="P31" s="69"/>
      <c r="Q31" s="69"/>
      <c r="R31" s="69"/>
      <c r="S31" s="69"/>
      <c r="T31" s="69"/>
      <c r="V31" s="69"/>
      <c r="W31" s="69"/>
      <c r="X31" s="69"/>
      <c r="Y31" s="69"/>
      <c r="Z31" s="69"/>
      <c r="AA31" s="69"/>
      <c r="AB31" s="69"/>
      <c r="AC31" s="69"/>
      <c r="AD31" s="69"/>
      <c r="AE31" s="69"/>
      <c r="AF31" s="69"/>
      <c r="AG31" s="69"/>
      <c r="AH31" s="69"/>
    </row>
    <row r="32" spans="4:35" x14ac:dyDescent="0.25">
      <c r="D32" s="291">
        <v>5</v>
      </c>
      <c r="E32" s="69" t="s">
        <v>353</v>
      </c>
      <c r="F32" s="165">
        <v>43859</v>
      </c>
      <c r="G32" s="69" t="s">
        <v>204</v>
      </c>
      <c r="H32" s="69"/>
      <c r="I32" s="69"/>
      <c r="J32" s="69"/>
      <c r="K32" s="69"/>
      <c r="L32" s="69"/>
      <c r="M32" s="69"/>
      <c r="N32" s="69"/>
      <c r="O32" s="69"/>
      <c r="P32" s="69"/>
      <c r="Q32" s="69"/>
      <c r="R32" s="69"/>
      <c r="S32" s="69"/>
      <c r="T32" s="69"/>
      <c r="V32" s="69"/>
      <c r="W32" s="69"/>
      <c r="X32" s="69"/>
      <c r="Y32" s="69"/>
      <c r="Z32" s="69"/>
      <c r="AA32" s="69"/>
      <c r="AB32" s="69"/>
      <c r="AC32" s="69"/>
      <c r="AD32" s="69"/>
      <c r="AE32" s="69"/>
      <c r="AF32" s="69"/>
      <c r="AG32" s="69"/>
      <c r="AH32" s="69"/>
    </row>
    <row r="33" spans="4:52" x14ac:dyDescent="0.25">
      <c r="D33" s="291">
        <v>5</v>
      </c>
      <c r="E33" s="69" t="s">
        <v>353</v>
      </c>
      <c r="F33" s="217">
        <v>43859</v>
      </c>
      <c r="G33" t="s">
        <v>195</v>
      </c>
      <c r="Q33" s="217"/>
    </row>
    <row r="34" spans="4:52" x14ac:dyDescent="0.25">
      <c r="D34" s="291">
        <v>6</v>
      </c>
      <c r="E34" s="69" t="s">
        <v>353</v>
      </c>
      <c r="F34" s="271">
        <v>43860</v>
      </c>
      <c r="G34" t="s">
        <v>234</v>
      </c>
      <c r="AI34" s="69"/>
      <c r="AJ34" s="69"/>
      <c r="AK34" s="69"/>
      <c r="AL34" s="69"/>
      <c r="AM34" s="69"/>
      <c r="AN34" s="69"/>
    </row>
    <row r="35" spans="4:52" x14ac:dyDescent="0.25">
      <c r="D35" s="291">
        <v>6</v>
      </c>
      <c r="E35" s="69" t="s">
        <v>353</v>
      </c>
      <c r="F35" s="270">
        <v>43860</v>
      </c>
      <c r="G35" t="s">
        <v>205</v>
      </c>
      <c r="AI35" s="69"/>
    </row>
    <row r="36" spans="4:52" x14ac:dyDescent="0.25">
      <c r="D36" s="291">
        <v>6</v>
      </c>
      <c r="E36" s="69" t="s">
        <v>353</v>
      </c>
      <c r="F36" s="270">
        <v>43860</v>
      </c>
      <c r="G36" t="s">
        <v>277</v>
      </c>
      <c r="AI36" s="69"/>
    </row>
    <row r="37" spans="4:52" x14ac:dyDescent="0.25">
      <c r="D37" s="291">
        <v>6</v>
      </c>
      <c r="E37" s="69" t="s">
        <v>353</v>
      </c>
      <c r="F37" s="165">
        <v>43860</v>
      </c>
      <c r="G37" s="69" t="s">
        <v>261</v>
      </c>
      <c r="H37" s="69"/>
      <c r="I37" s="69"/>
      <c r="J37" s="69"/>
      <c r="K37" s="69"/>
      <c r="L37" s="69"/>
      <c r="M37" s="69"/>
      <c r="N37" s="69"/>
      <c r="O37" s="69"/>
      <c r="P37" s="69"/>
      <c r="Q37" s="69"/>
      <c r="R37" s="69"/>
      <c r="S37" s="69"/>
      <c r="T37" s="69"/>
      <c r="V37" s="69"/>
      <c r="W37" s="69"/>
      <c r="X37" s="69"/>
      <c r="Y37" s="69"/>
      <c r="Z37" s="69"/>
      <c r="AA37" s="69"/>
      <c r="AB37" s="69"/>
      <c r="AC37" s="69"/>
      <c r="AD37" s="69"/>
      <c r="AE37" s="69"/>
      <c r="AF37" s="69"/>
      <c r="AG37" s="69"/>
      <c r="AH37" s="69"/>
      <c r="AI37" s="69"/>
    </row>
    <row r="38" spans="4:52" x14ac:dyDescent="0.25">
      <c r="D38" s="291">
        <v>6</v>
      </c>
      <c r="E38" s="69" t="s">
        <v>353</v>
      </c>
      <c r="F38" s="165">
        <v>43860</v>
      </c>
      <c r="G38" s="69" t="s">
        <v>354</v>
      </c>
      <c r="H38" s="69"/>
      <c r="I38" s="69"/>
      <c r="J38" s="69"/>
      <c r="K38" s="69"/>
      <c r="L38" s="69"/>
      <c r="M38" s="69"/>
      <c r="N38" s="69"/>
      <c r="O38" s="69"/>
      <c r="P38" s="69"/>
      <c r="Q38" s="69"/>
      <c r="R38" s="69"/>
      <c r="S38" s="69"/>
      <c r="T38" s="69"/>
      <c r="V38" s="69"/>
      <c r="W38" s="69"/>
      <c r="X38" s="69"/>
      <c r="Y38" s="69"/>
      <c r="Z38" s="69"/>
      <c r="AA38" s="69"/>
      <c r="AB38" s="69"/>
      <c r="AC38" s="69"/>
      <c r="AD38" s="69"/>
      <c r="AE38" s="69"/>
      <c r="AF38" s="69"/>
      <c r="AG38" s="69"/>
      <c r="AH38" s="69"/>
      <c r="AI38" s="69"/>
    </row>
    <row r="39" spans="4:52" x14ac:dyDescent="0.25">
      <c r="D39" s="291">
        <v>7</v>
      </c>
      <c r="E39" s="69" t="s">
        <v>353</v>
      </c>
      <c r="F39" s="165">
        <v>43861</v>
      </c>
      <c r="G39" s="69" t="s">
        <v>240</v>
      </c>
      <c r="H39" s="69"/>
      <c r="I39" s="69"/>
      <c r="J39" s="69"/>
      <c r="K39" s="69"/>
      <c r="L39" s="69"/>
      <c r="M39" s="69"/>
      <c r="N39" s="69"/>
      <c r="O39" s="165"/>
      <c r="AI39" s="69"/>
    </row>
    <row r="40" spans="4:52" x14ac:dyDescent="0.25">
      <c r="D40" s="291">
        <v>7</v>
      </c>
      <c r="E40" s="69" t="s">
        <v>353</v>
      </c>
      <c r="F40" s="270">
        <v>43861</v>
      </c>
      <c r="G40" s="69" t="s">
        <v>243</v>
      </c>
      <c r="H40" s="69"/>
      <c r="I40" s="69"/>
      <c r="J40" s="69"/>
      <c r="K40" s="69"/>
      <c r="L40" s="69"/>
      <c r="M40" s="69"/>
      <c r="N40" s="69"/>
      <c r="O40" s="165"/>
    </row>
    <row r="41" spans="4:52" x14ac:dyDescent="0.25">
      <c r="D41" s="291">
        <v>7</v>
      </c>
      <c r="E41" s="69" t="s">
        <v>353</v>
      </c>
      <c r="F41" s="165">
        <v>43861</v>
      </c>
      <c r="G41" s="69" t="s">
        <v>241</v>
      </c>
      <c r="H41" s="69"/>
      <c r="I41" s="69"/>
      <c r="J41" s="69"/>
      <c r="K41" s="69"/>
      <c r="L41" s="69"/>
      <c r="M41" s="69"/>
      <c r="N41" s="69"/>
      <c r="O41" s="165"/>
    </row>
    <row r="42" spans="4:52" x14ac:dyDescent="0.25">
      <c r="G42" s="165" t="s">
        <v>206</v>
      </c>
      <c r="H42" t="s">
        <v>207</v>
      </c>
    </row>
    <row r="43" spans="4:52" x14ac:dyDescent="0.25">
      <c r="E43" s="69"/>
      <c r="G43" s="272" t="s">
        <v>229</v>
      </c>
      <c r="H43" s="69" t="s">
        <v>230</v>
      </c>
      <c r="I43" s="69"/>
      <c r="L43" s="69"/>
      <c r="M43" s="69"/>
      <c r="N43" s="69"/>
      <c r="O43" s="69"/>
      <c r="P43" s="165"/>
      <c r="Q43" s="165"/>
      <c r="R43" s="69"/>
      <c r="S43" s="69"/>
      <c r="T43" s="69"/>
      <c r="U43" s="69"/>
      <c r="V43" s="69"/>
      <c r="W43" s="69"/>
      <c r="X43" s="69"/>
      <c r="Y43" s="69"/>
      <c r="Z43" s="69"/>
      <c r="AA43" s="69"/>
      <c r="AB43" s="69"/>
      <c r="AC43" s="69"/>
      <c r="AD43" s="69"/>
      <c r="AE43" s="69"/>
      <c r="AF43" s="69"/>
      <c r="AG43" s="69"/>
      <c r="AH43" s="69"/>
    </row>
    <row r="44" spans="4:52" x14ac:dyDescent="0.25">
      <c r="F44" s="289">
        <v>8</v>
      </c>
      <c r="G44" t="s">
        <v>353</v>
      </c>
      <c r="H44" s="217">
        <v>43862</v>
      </c>
      <c r="I44" t="s">
        <v>237</v>
      </c>
    </row>
    <row r="45" spans="4:52" x14ac:dyDescent="0.25">
      <c r="F45" s="291">
        <v>11</v>
      </c>
      <c r="G45" s="69" t="s">
        <v>353</v>
      </c>
      <c r="H45" s="158">
        <v>43863</v>
      </c>
      <c r="I45" s="159" t="s">
        <v>197</v>
      </c>
      <c r="J45" s="159"/>
      <c r="K45" s="159"/>
      <c r="L45" s="159"/>
      <c r="M45" s="159"/>
      <c r="N45" s="158"/>
      <c r="O45" s="158">
        <v>43877</v>
      </c>
      <c r="AI45" s="69"/>
    </row>
    <row r="46" spans="4:52" x14ac:dyDescent="0.25">
      <c r="E46" s="69"/>
      <c r="F46" s="291">
        <v>11</v>
      </c>
      <c r="G46" s="69" t="s">
        <v>353</v>
      </c>
      <c r="H46" s="270">
        <v>43863</v>
      </c>
      <c r="I46" s="69" t="s">
        <v>282</v>
      </c>
      <c r="J46" s="69"/>
      <c r="K46" s="69"/>
      <c r="L46" s="69"/>
      <c r="M46" s="69"/>
      <c r="N46" s="165"/>
      <c r="O46" s="165"/>
      <c r="P46" s="69"/>
      <c r="Q46" s="69"/>
      <c r="R46" s="69"/>
      <c r="S46" s="69"/>
      <c r="T46" s="69"/>
      <c r="V46" s="69"/>
      <c r="W46" s="69"/>
      <c r="X46" s="69"/>
      <c r="Y46" s="69"/>
      <c r="Z46" s="69"/>
      <c r="AA46" s="69"/>
      <c r="AB46" s="69"/>
      <c r="AC46" s="69"/>
      <c r="AD46" s="69"/>
      <c r="AE46" s="69"/>
      <c r="AF46" s="69"/>
      <c r="AG46" s="69"/>
      <c r="AH46" s="69"/>
    </row>
    <row r="47" spans="4:52" x14ac:dyDescent="0.25">
      <c r="F47" s="291">
        <v>12</v>
      </c>
      <c r="G47" s="69" t="s">
        <v>353</v>
      </c>
      <c r="H47" s="165">
        <v>43866</v>
      </c>
      <c r="I47" s="69" t="s">
        <v>242</v>
      </c>
      <c r="J47" s="69"/>
      <c r="K47" s="69"/>
      <c r="L47" s="69"/>
      <c r="M47" s="69"/>
      <c r="N47" s="165"/>
      <c r="O47" s="165"/>
      <c r="AJ47" s="69"/>
      <c r="AK47" s="69"/>
      <c r="AL47" s="69"/>
      <c r="AM47" s="69"/>
      <c r="AN47" s="69"/>
      <c r="AO47" s="69"/>
      <c r="AP47" s="69"/>
      <c r="AQ47" s="69"/>
      <c r="AR47" s="69"/>
      <c r="AS47" s="69"/>
      <c r="AT47" s="69"/>
      <c r="AU47" s="69"/>
      <c r="AV47" s="69"/>
      <c r="AW47" s="69"/>
      <c r="AX47" s="69"/>
      <c r="AY47" s="69"/>
      <c r="AZ47" s="69"/>
    </row>
    <row r="48" spans="4:52" x14ac:dyDescent="0.25">
      <c r="F48" s="291">
        <v>12</v>
      </c>
      <c r="G48" s="293" t="s">
        <v>355</v>
      </c>
      <c r="H48" s="165">
        <v>43867</v>
      </c>
      <c r="I48" s="16" t="s">
        <v>306</v>
      </c>
      <c r="J48" s="69"/>
      <c r="K48" s="69"/>
      <c r="L48" s="69"/>
      <c r="M48" s="69"/>
      <c r="N48" s="165"/>
      <c r="O48" s="165"/>
      <c r="AJ48" s="69"/>
      <c r="AK48" s="69"/>
      <c r="AL48" s="69"/>
      <c r="AM48" s="69"/>
      <c r="AN48" s="69"/>
    </row>
    <row r="49" spans="4:40" x14ac:dyDescent="0.25">
      <c r="F49" s="291">
        <v>12</v>
      </c>
      <c r="G49" s="293" t="s">
        <v>355</v>
      </c>
      <c r="H49" s="165">
        <v>43868</v>
      </c>
      <c r="I49" s="69" t="s">
        <v>257</v>
      </c>
      <c r="J49" s="69"/>
      <c r="K49" s="69"/>
      <c r="L49" s="69"/>
      <c r="M49" s="69"/>
      <c r="N49" s="165"/>
      <c r="O49" s="165"/>
      <c r="AJ49" s="69"/>
      <c r="AK49" s="69"/>
      <c r="AL49" s="69"/>
      <c r="AM49" s="69"/>
      <c r="AN49" s="69"/>
    </row>
    <row r="50" spans="4:40" x14ac:dyDescent="0.25">
      <c r="F50" s="291">
        <v>12</v>
      </c>
      <c r="G50" s="293" t="s">
        <v>355</v>
      </c>
      <c r="H50" s="270">
        <v>43868</v>
      </c>
      <c r="I50" s="69" t="s">
        <v>400</v>
      </c>
      <c r="J50" s="69"/>
      <c r="K50" s="69"/>
      <c r="L50" s="69"/>
      <c r="M50" s="69"/>
      <c r="N50" s="165"/>
      <c r="O50" s="165"/>
      <c r="AJ50" s="69"/>
      <c r="AK50" s="69"/>
      <c r="AL50" s="69"/>
      <c r="AM50" s="69"/>
      <c r="AN50" s="69"/>
    </row>
    <row r="51" spans="4:40" x14ac:dyDescent="0.25">
      <c r="F51" s="291">
        <v>12</v>
      </c>
      <c r="G51" s="293" t="s">
        <v>355</v>
      </c>
      <c r="H51" s="270">
        <v>43871</v>
      </c>
      <c r="I51" s="69" t="s">
        <v>278</v>
      </c>
      <c r="J51" s="69"/>
      <c r="K51" s="69"/>
      <c r="L51" s="69"/>
      <c r="M51" s="69"/>
      <c r="N51" s="165"/>
      <c r="O51" s="165"/>
      <c r="AJ51" s="69"/>
      <c r="AK51" s="69"/>
      <c r="AL51" s="69"/>
      <c r="AM51" s="69"/>
      <c r="AN51" s="69"/>
    </row>
    <row r="52" spans="4:40" x14ac:dyDescent="0.25">
      <c r="F52" s="291">
        <v>12</v>
      </c>
      <c r="G52" s="293" t="s">
        <v>355</v>
      </c>
      <c r="H52" s="270">
        <v>43871</v>
      </c>
      <c r="I52" s="69" t="s">
        <v>401</v>
      </c>
      <c r="J52" s="69"/>
      <c r="K52" s="69"/>
      <c r="L52" s="69"/>
      <c r="M52" s="69"/>
      <c r="N52" s="165"/>
      <c r="O52" s="165"/>
      <c r="AJ52" s="69"/>
      <c r="AK52" s="69"/>
      <c r="AL52" s="69"/>
      <c r="AM52" s="69"/>
      <c r="AN52" s="69"/>
    </row>
    <row r="53" spans="4:40" x14ac:dyDescent="0.25">
      <c r="F53" s="291">
        <v>12</v>
      </c>
      <c r="G53" s="293" t="s">
        <v>355</v>
      </c>
      <c r="H53" s="270">
        <v>43872</v>
      </c>
      <c r="I53" s="69" t="s">
        <v>272</v>
      </c>
      <c r="J53" s="69"/>
      <c r="K53" s="69"/>
      <c r="L53" s="69"/>
      <c r="M53" s="69"/>
      <c r="N53" s="165"/>
      <c r="O53" s="165"/>
      <c r="AJ53" s="69"/>
      <c r="AK53" s="69"/>
      <c r="AL53" s="69"/>
      <c r="AM53" s="69"/>
      <c r="AN53" s="69"/>
    </row>
    <row r="54" spans="4:40" x14ac:dyDescent="0.25">
      <c r="F54" s="291">
        <v>12</v>
      </c>
      <c r="G54" s="293" t="s">
        <v>355</v>
      </c>
      <c r="H54" s="271">
        <v>43873</v>
      </c>
      <c r="I54" s="69" t="s">
        <v>269</v>
      </c>
      <c r="J54" s="69"/>
      <c r="K54" s="69"/>
      <c r="L54" s="69"/>
      <c r="M54" s="69"/>
      <c r="N54" s="165"/>
      <c r="O54" s="165"/>
      <c r="AI54" s="69"/>
    </row>
    <row r="55" spans="4:40" x14ac:dyDescent="0.25">
      <c r="F55" s="291">
        <v>12</v>
      </c>
      <c r="G55" s="293" t="s">
        <v>355</v>
      </c>
      <c r="H55" s="165">
        <v>43873</v>
      </c>
      <c r="I55" s="69" t="s">
        <v>384</v>
      </c>
      <c r="J55" s="69"/>
      <c r="K55" s="69"/>
      <c r="L55" s="69"/>
      <c r="M55" s="69"/>
      <c r="N55" s="165"/>
      <c r="O55" s="165"/>
      <c r="AI55" s="69"/>
    </row>
    <row r="56" spans="4:40" x14ac:dyDescent="0.25">
      <c r="F56" s="291">
        <v>12</v>
      </c>
      <c r="G56" s="293" t="s">
        <v>355</v>
      </c>
      <c r="H56" s="270">
        <v>43874</v>
      </c>
      <c r="I56" s="69" t="s">
        <v>406</v>
      </c>
      <c r="J56" s="69"/>
      <c r="K56" s="69"/>
      <c r="L56" s="69"/>
      <c r="M56" s="69"/>
      <c r="N56" s="165"/>
      <c r="O56" s="165"/>
      <c r="AI56" s="69"/>
    </row>
    <row r="57" spans="4:40" x14ac:dyDescent="0.25">
      <c r="G57" s="298">
        <v>15</v>
      </c>
      <c r="H57" s="293" t="s">
        <v>355</v>
      </c>
      <c r="I57" s="270">
        <v>43879</v>
      </c>
      <c r="J57" s="69" t="s">
        <v>403</v>
      </c>
      <c r="K57" s="69"/>
      <c r="L57" s="69"/>
      <c r="M57" s="69"/>
      <c r="N57" s="165"/>
      <c r="O57" s="165"/>
      <c r="AI57" s="69"/>
    </row>
    <row r="58" spans="4:40" x14ac:dyDescent="0.25">
      <c r="G58" s="291">
        <v>15</v>
      </c>
      <c r="H58" s="293" t="s">
        <v>355</v>
      </c>
      <c r="I58" s="270">
        <v>43880</v>
      </c>
      <c r="J58" s="69" t="s">
        <v>402</v>
      </c>
      <c r="M58" s="69"/>
      <c r="N58" s="69"/>
      <c r="O58" s="69"/>
      <c r="P58" s="69"/>
      <c r="Q58" s="165"/>
      <c r="AI58" s="69"/>
    </row>
    <row r="59" spans="4:40" x14ac:dyDescent="0.25">
      <c r="E59" s="165"/>
      <c r="F59" s="165"/>
      <c r="G59" s="69"/>
      <c r="H59" s="69"/>
      <c r="I59" s="69"/>
      <c r="J59" s="69"/>
      <c r="K59" s="69"/>
      <c r="L59" s="69"/>
      <c r="M59" s="69"/>
      <c r="N59" s="289">
        <v>35</v>
      </c>
      <c r="O59" s="293" t="s">
        <v>355</v>
      </c>
      <c r="P59" s="217">
        <v>43882</v>
      </c>
      <c r="Q59" t="s">
        <v>208</v>
      </c>
    </row>
    <row r="60" spans="4:40" x14ac:dyDescent="0.25">
      <c r="E60" s="165"/>
      <c r="F60" s="165"/>
      <c r="G60" s="69"/>
      <c r="H60" s="69"/>
      <c r="I60" s="69"/>
      <c r="J60" s="69"/>
      <c r="K60" s="69"/>
      <c r="L60" s="69"/>
      <c r="M60" s="69"/>
      <c r="N60" s="291">
        <v>35</v>
      </c>
      <c r="O60" s="293" t="s">
        <v>355</v>
      </c>
      <c r="P60" s="271">
        <v>43883</v>
      </c>
      <c r="Q60" t="s">
        <v>228</v>
      </c>
    </row>
    <row r="61" spans="4:40" x14ac:dyDescent="0.25">
      <c r="E61" s="165"/>
      <c r="F61" s="165"/>
      <c r="G61" s="69"/>
      <c r="H61" s="69"/>
      <c r="I61" s="69"/>
      <c r="J61" s="69"/>
      <c r="K61" s="69"/>
      <c r="L61" s="69"/>
      <c r="M61" s="69"/>
      <c r="N61" s="291">
        <v>35</v>
      </c>
      <c r="O61" s="293" t="s">
        <v>355</v>
      </c>
      <c r="P61" s="217">
        <v>43884</v>
      </c>
      <c r="Q61" t="s">
        <v>209</v>
      </c>
      <c r="AJ61" s="69"/>
      <c r="AK61" s="69"/>
      <c r="AL61" s="69"/>
      <c r="AM61" s="69"/>
      <c r="AN61" s="69"/>
    </row>
    <row r="62" spans="4:40" x14ac:dyDescent="0.25">
      <c r="E62" s="165"/>
      <c r="F62" s="165"/>
      <c r="G62" s="69"/>
      <c r="H62" s="69"/>
      <c r="I62" s="69"/>
      <c r="J62" s="69"/>
      <c r="K62" s="69"/>
      <c r="L62" s="69"/>
      <c r="M62" s="69"/>
      <c r="N62" s="291">
        <v>35</v>
      </c>
      <c r="O62" s="293" t="s">
        <v>355</v>
      </c>
      <c r="P62" s="270">
        <v>43884</v>
      </c>
      <c r="Q62" t="s">
        <v>404</v>
      </c>
      <c r="AJ62" s="69"/>
      <c r="AK62" s="69"/>
      <c r="AL62" s="69"/>
      <c r="AM62" s="69"/>
      <c r="AN62" s="69"/>
    </row>
    <row r="63" spans="4:40" x14ac:dyDescent="0.25">
      <c r="E63" s="165"/>
      <c r="F63" s="165"/>
      <c r="G63" s="69"/>
      <c r="H63" s="69"/>
      <c r="I63" s="69"/>
      <c r="J63" s="69"/>
      <c r="K63" s="69"/>
      <c r="L63" s="69"/>
      <c r="M63" s="69"/>
      <c r="N63" s="291">
        <v>35</v>
      </c>
      <c r="O63" s="293" t="s">
        <v>355</v>
      </c>
      <c r="P63" s="270">
        <v>43884</v>
      </c>
      <c r="Q63" t="s">
        <v>405</v>
      </c>
      <c r="AJ63" s="69"/>
      <c r="AK63" s="69"/>
      <c r="AL63" s="69"/>
      <c r="AM63" s="69"/>
      <c r="AN63" s="69"/>
    </row>
    <row r="64" spans="4:40" x14ac:dyDescent="0.25">
      <c r="D64" s="217"/>
      <c r="N64" s="291">
        <v>53</v>
      </c>
      <c r="O64" s="293" t="s">
        <v>355</v>
      </c>
      <c r="P64" s="270">
        <v>43885</v>
      </c>
      <c r="Q64" t="s">
        <v>196</v>
      </c>
    </row>
    <row r="65" spans="3:52" x14ac:dyDescent="0.25">
      <c r="N65" s="291">
        <v>57</v>
      </c>
      <c r="O65" s="293" t="s">
        <v>355</v>
      </c>
      <c r="P65" s="165">
        <v>43886</v>
      </c>
      <c r="Q65" t="s">
        <v>210</v>
      </c>
    </row>
    <row r="66" spans="3:52" x14ac:dyDescent="0.25">
      <c r="N66" s="291">
        <v>57</v>
      </c>
      <c r="O66" s="293" t="s">
        <v>355</v>
      </c>
      <c r="P66" s="270">
        <v>43886</v>
      </c>
      <c r="Q66" t="s">
        <v>211</v>
      </c>
      <c r="S66" s="69"/>
      <c r="T66" s="69"/>
      <c r="AO66" s="69"/>
      <c r="AP66" s="69"/>
    </row>
    <row r="67" spans="3:52" x14ac:dyDescent="0.25">
      <c r="N67" s="291">
        <v>57</v>
      </c>
      <c r="O67" s="293" t="s">
        <v>355</v>
      </c>
      <c r="P67" s="270">
        <v>43886</v>
      </c>
      <c r="Q67" t="s">
        <v>271</v>
      </c>
      <c r="AO67" s="69"/>
      <c r="AP67" s="69"/>
    </row>
    <row r="68" spans="3:52" x14ac:dyDescent="0.25">
      <c r="N68" s="291">
        <v>57</v>
      </c>
      <c r="O68" s="293" t="s">
        <v>355</v>
      </c>
      <c r="P68" s="165">
        <v>43886</v>
      </c>
      <c r="Q68" t="s">
        <v>212</v>
      </c>
      <c r="AO68" s="69"/>
      <c r="AP68" s="69"/>
    </row>
    <row r="69" spans="3:52" x14ac:dyDescent="0.25">
      <c r="N69" s="289">
        <v>60</v>
      </c>
      <c r="O69" s="293" t="s">
        <v>355</v>
      </c>
      <c r="P69" s="270">
        <v>43887</v>
      </c>
      <c r="Q69" t="s">
        <v>408</v>
      </c>
      <c r="AO69" s="69"/>
      <c r="AP69" s="69"/>
    </row>
    <row r="70" spans="3:52" x14ac:dyDescent="0.25">
      <c r="N70" s="291">
        <v>60</v>
      </c>
      <c r="O70" s="293" t="s">
        <v>355</v>
      </c>
      <c r="P70" s="270">
        <v>43887</v>
      </c>
      <c r="Q70" t="s">
        <v>409</v>
      </c>
      <c r="AO70" s="69"/>
      <c r="AP70" s="69"/>
    </row>
    <row r="71" spans="3:52" x14ac:dyDescent="0.25">
      <c r="N71" s="291">
        <v>60</v>
      </c>
      <c r="O71" s="293" t="s">
        <v>355</v>
      </c>
      <c r="P71" s="270">
        <v>43887</v>
      </c>
      <c r="Q71" t="s">
        <v>407</v>
      </c>
      <c r="AO71" s="69"/>
      <c r="AP71" s="69"/>
    </row>
    <row r="72" spans="3:52" x14ac:dyDescent="0.25">
      <c r="N72" s="291">
        <v>60</v>
      </c>
      <c r="O72" s="293" t="s">
        <v>355</v>
      </c>
      <c r="P72" s="270">
        <v>43888</v>
      </c>
      <c r="Q72" t="s">
        <v>267</v>
      </c>
      <c r="AO72" s="69"/>
      <c r="AP72" s="69"/>
    </row>
    <row r="73" spans="3:52" x14ac:dyDescent="0.25">
      <c r="N73" s="291">
        <v>60</v>
      </c>
      <c r="O73" s="293" t="s">
        <v>355</v>
      </c>
      <c r="P73" s="270">
        <v>43888</v>
      </c>
      <c r="Q73" t="s">
        <v>268</v>
      </c>
      <c r="AJ73" s="69"/>
      <c r="AK73" s="69"/>
      <c r="AL73" s="69"/>
      <c r="AM73" s="69"/>
      <c r="AN73" s="69"/>
    </row>
    <row r="74" spans="3:52" x14ac:dyDescent="0.25">
      <c r="N74" s="291">
        <v>63</v>
      </c>
      <c r="O74" s="293" t="s">
        <v>355</v>
      </c>
      <c r="P74" s="270">
        <v>43889</v>
      </c>
      <c r="Q74" t="s">
        <v>279</v>
      </c>
      <c r="AJ74" s="69"/>
      <c r="AK74" s="69"/>
      <c r="AL74" s="69"/>
      <c r="AM74" s="69"/>
      <c r="AN74" s="69"/>
    </row>
    <row r="75" spans="3:52" x14ac:dyDescent="0.25">
      <c r="N75" s="291">
        <v>63</v>
      </c>
      <c r="O75" s="293" t="s">
        <v>355</v>
      </c>
      <c r="P75" s="165">
        <v>43889</v>
      </c>
      <c r="Q75" t="s">
        <v>389</v>
      </c>
      <c r="AJ75" s="69"/>
      <c r="AK75" s="69"/>
      <c r="AL75" s="69"/>
      <c r="AM75" s="69"/>
      <c r="AN75" s="69"/>
    </row>
    <row r="76" spans="3:52" x14ac:dyDescent="0.25">
      <c r="O76" s="291">
        <v>68</v>
      </c>
      <c r="P76" s="292">
        <v>1</v>
      </c>
      <c r="Q76" s="158">
        <v>43890</v>
      </c>
      <c r="R76" s="159" t="s">
        <v>198</v>
      </c>
      <c r="S76" s="159"/>
      <c r="T76" s="159"/>
      <c r="U76" s="159"/>
      <c r="V76" s="158">
        <f>Q76+14</f>
        <v>43904</v>
      </c>
      <c r="AQ76" s="69"/>
      <c r="AR76" s="69"/>
      <c r="AS76" s="69"/>
      <c r="AT76" s="69"/>
      <c r="AU76" s="69"/>
      <c r="AV76" s="69"/>
      <c r="AW76" s="69"/>
      <c r="AX76" s="69"/>
      <c r="AY76" s="69"/>
      <c r="AZ76" s="69"/>
    </row>
    <row r="77" spans="3:52" x14ac:dyDescent="0.25">
      <c r="O77" s="291">
        <v>68</v>
      </c>
      <c r="P77" s="293">
        <v>1</v>
      </c>
      <c r="Q77" s="270">
        <v>43890</v>
      </c>
      <c r="R77" s="69" t="s">
        <v>280</v>
      </c>
      <c r="S77" s="69"/>
      <c r="T77" s="165"/>
      <c r="AQ77" s="69"/>
      <c r="AR77" s="69"/>
      <c r="AS77" s="69"/>
      <c r="AT77" s="69"/>
      <c r="AU77" s="69"/>
      <c r="AV77" s="69"/>
      <c r="AW77" s="69"/>
      <c r="AX77" s="69"/>
      <c r="AY77" s="69"/>
      <c r="AZ77" s="69"/>
    </row>
    <row r="78" spans="3:52" x14ac:dyDescent="0.25">
      <c r="E78" s="165"/>
      <c r="O78" s="291">
        <v>100</v>
      </c>
      <c r="P78" s="292">
        <v>6</v>
      </c>
      <c r="Q78" s="158">
        <v>43892</v>
      </c>
      <c r="R78" s="158" t="s">
        <v>175</v>
      </c>
      <c r="S78" s="158"/>
      <c r="T78" s="159"/>
      <c r="U78" s="159"/>
      <c r="V78" s="159"/>
      <c r="W78" s="158">
        <v>43906</v>
      </c>
      <c r="AO78" s="69"/>
      <c r="AP78" s="69"/>
      <c r="AQ78" s="69"/>
      <c r="AR78" s="69"/>
      <c r="AS78" s="69"/>
      <c r="AT78" s="69"/>
      <c r="AU78" s="69"/>
      <c r="AV78" s="69"/>
      <c r="AW78" s="69"/>
      <c r="AX78" s="69"/>
      <c r="AY78" s="69"/>
      <c r="AZ78" s="69"/>
    </row>
    <row r="79" spans="3:52" x14ac:dyDescent="0.25">
      <c r="C79" s="69"/>
      <c r="D79" s="69"/>
      <c r="E79" s="165"/>
      <c r="F79" s="69"/>
      <c r="G79" s="69"/>
      <c r="H79" s="69"/>
      <c r="I79" s="69"/>
      <c r="J79" s="69"/>
      <c r="K79" s="69"/>
      <c r="L79" s="69"/>
      <c r="M79" s="69"/>
      <c r="N79" s="69"/>
      <c r="O79" s="291">
        <v>100</v>
      </c>
      <c r="P79" s="293">
        <v>6</v>
      </c>
      <c r="Q79" s="270">
        <v>43892</v>
      </c>
      <c r="R79" s="165" t="s">
        <v>281</v>
      </c>
      <c r="S79" s="165"/>
      <c r="T79" s="69"/>
      <c r="U79" s="165"/>
      <c r="V79" s="69"/>
      <c r="W79" s="69"/>
      <c r="Z79" s="69"/>
      <c r="AA79" s="69"/>
      <c r="AB79" s="69"/>
      <c r="AC79" s="69"/>
      <c r="AD79" s="69"/>
      <c r="AE79" s="69"/>
      <c r="AF79" s="69"/>
      <c r="AG79" s="69"/>
      <c r="AH79" s="69"/>
      <c r="AQ79" s="69"/>
      <c r="AR79" s="69"/>
      <c r="AS79" s="69"/>
      <c r="AT79" s="69"/>
      <c r="AU79" s="69"/>
      <c r="AV79" s="69"/>
      <c r="AW79" s="69"/>
      <c r="AX79" s="69"/>
      <c r="AY79" s="69"/>
      <c r="AZ79" s="69"/>
    </row>
    <row r="80" spans="3:52" x14ac:dyDescent="0.25">
      <c r="C80" s="69"/>
      <c r="D80" s="69"/>
      <c r="E80" s="165"/>
      <c r="F80" s="69"/>
      <c r="G80" s="69"/>
      <c r="H80" s="69"/>
      <c r="I80" s="69"/>
      <c r="J80" s="69"/>
      <c r="K80" s="69"/>
      <c r="L80" s="69"/>
      <c r="M80" s="69"/>
      <c r="N80" s="69"/>
      <c r="O80" s="69"/>
      <c r="P80" s="289">
        <v>124</v>
      </c>
      <c r="Q80" s="293">
        <v>9</v>
      </c>
      <c r="R80" s="165">
        <v>43893</v>
      </c>
      <c r="S80" s="69" t="s">
        <v>222</v>
      </c>
      <c r="V80" s="69"/>
      <c r="W80" s="165"/>
      <c r="X80" s="69"/>
      <c r="Y80" s="69"/>
      <c r="Z80" s="69"/>
      <c r="AA80" s="69"/>
      <c r="AB80" s="69"/>
      <c r="AC80" s="69"/>
      <c r="AD80" s="69"/>
      <c r="AE80" s="69"/>
      <c r="AF80" s="69"/>
      <c r="AG80" s="69"/>
      <c r="AH80" s="69"/>
      <c r="AQ80" s="69"/>
      <c r="AR80" s="69"/>
      <c r="AS80" s="69"/>
      <c r="AT80" s="69"/>
      <c r="AU80" s="69"/>
      <c r="AV80" s="69"/>
      <c r="AW80" s="69"/>
      <c r="AX80" s="69"/>
      <c r="AY80" s="69"/>
      <c r="AZ80" s="69"/>
    </row>
    <row r="81" spans="3:59" x14ac:dyDescent="0.25">
      <c r="E81" s="165"/>
      <c r="P81" s="291">
        <v>158</v>
      </c>
      <c r="Q81" s="293">
        <v>11</v>
      </c>
      <c r="R81" s="270">
        <v>43894</v>
      </c>
      <c r="S81" t="s">
        <v>199</v>
      </c>
      <c r="AQ81" s="69"/>
      <c r="AR81" s="69"/>
      <c r="AS81" s="69"/>
      <c r="AT81" s="69"/>
      <c r="AU81" s="69"/>
      <c r="AV81" s="69"/>
      <c r="AW81" s="69"/>
      <c r="AX81" s="69"/>
      <c r="AY81" s="69"/>
      <c r="AZ81" s="69"/>
      <c r="BA81" s="69"/>
      <c r="BB81" s="69"/>
      <c r="BC81" s="69"/>
      <c r="BD81" s="69"/>
      <c r="BE81" s="69"/>
      <c r="BF81" s="69"/>
      <c r="BG81" s="69"/>
    </row>
    <row r="82" spans="3:59" x14ac:dyDescent="0.25">
      <c r="E82" s="165"/>
      <c r="P82" s="291">
        <v>158</v>
      </c>
      <c r="Q82" s="293">
        <v>11</v>
      </c>
      <c r="R82" s="270">
        <v>43894</v>
      </c>
      <c r="S82" t="s">
        <v>325</v>
      </c>
      <c r="AQ82" s="69"/>
      <c r="AR82" s="69"/>
      <c r="AS82" s="69"/>
      <c r="AT82" s="69"/>
      <c r="AU82" s="69"/>
      <c r="AV82" s="69"/>
      <c r="AW82" s="69"/>
      <c r="AX82" s="69"/>
      <c r="AY82" s="69"/>
      <c r="AZ82" s="69"/>
    </row>
    <row r="83" spans="3:59" x14ac:dyDescent="0.25">
      <c r="E83" s="165"/>
      <c r="Q83" s="289">
        <v>221</v>
      </c>
      <c r="R83" s="293">
        <v>12</v>
      </c>
      <c r="S83" s="270">
        <v>43895</v>
      </c>
      <c r="T83" s="69" t="s">
        <v>326</v>
      </c>
      <c r="W83" s="165"/>
      <c r="AQ83" s="69"/>
      <c r="AR83" s="69"/>
      <c r="AS83" s="69"/>
      <c r="AT83" s="69"/>
      <c r="AU83" s="69"/>
      <c r="AV83" s="69"/>
      <c r="AW83" s="69"/>
      <c r="AX83" s="69"/>
      <c r="AY83" s="69"/>
      <c r="AZ83" s="69"/>
    </row>
    <row r="84" spans="3:59" x14ac:dyDescent="0.25">
      <c r="E84" s="165"/>
      <c r="Q84" s="291">
        <v>221</v>
      </c>
      <c r="R84" s="293">
        <v>12</v>
      </c>
      <c r="S84" s="270">
        <v>43895</v>
      </c>
      <c r="T84" s="69" t="s">
        <v>276</v>
      </c>
      <c r="W84" s="165"/>
      <c r="AQ84" s="69"/>
      <c r="AR84" s="69"/>
      <c r="AS84" s="69"/>
      <c r="AT84" s="69"/>
      <c r="AU84" s="69"/>
      <c r="AV84" s="69"/>
      <c r="AW84" s="69"/>
      <c r="AX84" s="69"/>
      <c r="AY84" s="69"/>
      <c r="AZ84" s="69"/>
    </row>
    <row r="85" spans="3:59" x14ac:dyDescent="0.25">
      <c r="E85" s="165"/>
      <c r="Q85" s="291">
        <v>319</v>
      </c>
      <c r="R85" s="292">
        <v>15</v>
      </c>
      <c r="S85" s="270">
        <v>43896</v>
      </c>
      <c r="T85" s="69" t="s">
        <v>235</v>
      </c>
      <c r="W85" s="165"/>
      <c r="AI85" s="69"/>
      <c r="AQ85" s="69"/>
      <c r="AR85" s="69"/>
      <c r="AS85" s="69"/>
      <c r="AT85" s="69"/>
      <c r="AU85" s="69"/>
      <c r="AV85" s="69"/>
      <c r="AW85" s="69"/>
      <c r="AX85" s="69"/>
      <c r="AY85" s="69"/>
      <c r="AZ85" s="69"/>
    </row>
    <row r="86" spans="3:59" x14ac:dyDescent="0.25">
      <c r="C86" s="69"/>
      <c r="D86" s="69"/>
      <c r="E86" s="165"/>
      <c r="F86" s="69"/>
      <c r="G86" s="69"/>
      <c r="H86" s="69"/>
      <c r="I86" s="69"/>
      <c r="J86" s="69"/>
      <c r="K86" s="69"/>
      <c r="L86" s="69"/>
      <c r="M86" s="69"/>
      <c r="N86" s="69"/>
      <c r="O86" s="69"/>
      <c r="P86" s="69"/>
      <c r="Q86" s="291">
        <v>319</v>
      </c>
      <c r="R86" s="293">
        <v>15</v>
      </c>
      <c r="S86" s="165">
        <v>43896</v>
      </c>
      <c r="T86" s="69" t="s">
        <v>246</v>
      </c>
      <c r="W86" s="165"/>
      <c r="X86" s="69"/>
      <c r="Y86" s="69"/>
      <c r="Z86" s="69"/>
      <c r="AA86" s="69"/>
      <c r="AB86" s="69"/>
      <c r="AC86" s="69"/>
      <c r="AD86" s="69"/>
      <c r="AE86" s="69"/>
      <c r="AF86" s="69"/>
      <c r="AG86" s="69"/>
      <c r="AH86" s="69"/>
      <c r="AI86" s="69"/>
      <c r="AO86" s="69"/>
      <c r="AP86" s="69"/>
    </row>
    <row r="87" spans="3:59" x14ac:dyDescent="0.25">
      <c r="C87" s="69"/>
      <c r="D87" s="69"/>
      <c r="E87" s="165"/>
      <c r="F87" s="69"/>
      <c r="G87" s="69"/>
      <c r="H87" s="69"/>
      <c r="I87" s="69"/>
      <c r="J87" s="69"/>
      <c r="K87" s="69"/>
      <c r="L87" s="69"/>
      <c r="M87" s="69"/>
      <c r="N87" s="69"/>
      <c r="O87" s="69"/>
      <c r="P87" s="69"/>
      <c r="Q87" s="291">
        <v>319</v>
      </c>
      <c r="R87" s="293">
        <v>15</v>
      </c>
      <c r="S87" s="270">
        <v>43896</v>
      </c>
      <c r="T87" s="69" t="s">
        <v>283</v>
      </c>
      <c r="W87" s="165"/>
      <c r="X87" s="69"/>
      <c r="Y87" s="69"/>
      <c r="Z87" s="69"/>
      <c r="AA87" s="69"/>
      <c r="AB87" s="69"/>
      <c r="AC87" s="69"/>
      <c r="AD87" s="69"/>
      <c r="AE87" s="69"/>
      <c r="AF87" s="69"/>
      <c r="AG87" s="69"/>
      <c r="AH87" s="69"/>
      <c r="AO87" s="69"/>
      <c r="AP87" s="69"/>
    </row>
    <row r="88" spans="3:59" x14ac:dyDescent="0.25">
      <c r="C88" s="69"/>
      <c r="D88" s="69"/>
      <c r="E88" s="165"/>
      <c r="F88" s="69"/>
      <c r="G88" s="69"/>
      <c r="H88" s="69"/>
      <c r="I88" s="69"/>
      <c r="J88" s="69"/>
      <c r="K88" s="69"/>
      <c r="L88" s="69"/>
      <c r="M88" s="69"/>
      <c r="N88" s="69"/>
      <c r="O88" s="69"/>
      <c r="P88" s="69"/>
      <c r="Q88" s="291">
        <v>319</v>
      </c>
      <c r="R88" s="293">
        <v>15</v>
      </c>
      <c r="S88" s="270">
        <v>43896</v>
      </c>
      <c r="T88" s="69" t="s">
        <v>284</v>
      </c>
      <c r="W88" s="165"/>
      <c r="X88" s="69"/>
      <c r="Y88" s="69"/>
      <c r="Z88" s="69"/>
      <c r="AA88" s="69"/>
      <c r="AB88" s="69"/>
      <c r="AC88" s="69"/>
      <c r="AD88" s="69"/>
      <c r="AE88" s="69"/>
      <c r="AF88" s="69"/>
      <c r="AG88" s="69"/>
      <c r="AH88" s="69"/>
    </row>
    <row r="89" spans="3:59" x14ac:dyDescent="0.25">
      <c r="C89" s="69"/>
      <c r="D89" s="69"/>
      <c r="E89" s="165"/>
      <c r="F89" s="69"/>
      <c r="G89" s="69"/>
      <c r="H89" s="69"/>
      <c r="I89" s="69"/>
      <c r="J89" s="69"/>
      <c r="K89" s="69"/>
      <c r="L89" s="69"/>
      <c r="M89" s="69"/>
      <c r="N89" s="69"/>
      <c r="O89" s="69"/>
      <c r="P89" s="69"/>
      <c r="Q89" s="289">
        <v>435</v>
      </c>
      <c r="R89" s="293">
        <v>19</v>
      </c>
      <c r="S89" s="270">
        <v>43897</v>
      </c>
      <c r="T89" s="69" t="s">
        <v>270</v>
      </c>
      <c r="W89" s="165"/>
      <c r="X89" s="69"/>
      <c r="Y89" s="69"/>
      <c r="Z89" s="69"/>
      <c r="AA89" s="69"/>
      <c r="AB89" s="69"/>
      <c r="AC89" s="69"/>
      <c r="AD89" s="69"/>
      <c r="AE89" s="69"/>
      <c r="AF89" s="69"/>
      <c r="AG89" s="69"/>
      <c r="AH89" s="69"/>
    </row>
    <row r="90" spans="3:59" x14ac:dyDescent="0.25">
      <c r="C90" s="69"/>
      <c r="D90" s="69"/>
      <c r="E90" s="165"/>
      <c r="F90" s="69"/>
      <c r="G90" s="69"/>
      <c r="H90" s="69"/>
      <c r="I90" s="69"/>
      <c r="J90" s="69"/>
      <c r="K90" s="69"/>
      <c r="L90" s="69"/>
      <c r="M90" s="69"/>
      <c r="N90" s="69"/>
      <c r="O90" s="69"/>
      <c r="P90" s="69"/>
      <c r="Q90" s="69"/>
      <c r="R90" s="291">
        <v>541</v>
      </c>
      <c r="S90" s="293">
        <v>22</v>
      </c>
      <c r="T90" s="270">
        <v>43898</v>
      </c>
      <c r="U90" s="165" t="s">
        <v>285</v>
      </c>
      <c r="V90" s="69"/>
      <c r="W90" s="69"/>
      <c r="X90" s="69"/>
      <c r="Y90" s="69"/>
      <c r="Z90" s="69"/>
      <c r="AA90" s="69"/>
      <c r="AB90" s="69"/>
      <c r="AC90" s="69"/>
      <c r="AD90" s="69"/>
      <c r="AE90" s="69"/>
      <c r="AF90" s="69"/>
      <c r="AG90" s="69"/>
      <c r="AH90" s="69"/>
    </row>
    <row r="91" spans="3:59" x14ac:dyDescent="0.25">
      <c r="E91" s="165"/>
      <c r="R91" s="291">
        <v>704</v>
      </c>
      <c r="S91" s="293">
        <v>26</v>
      </c>
      <c r="T91" s="270">
        <v>43899</v>
      </c>
      <c r="U91" s="165" t="s">
        <v>351</v>
      </c>
    </row>
    <row r="92" spans="3:59" x14ac:dyDescent="0.25">
      <c r="E92" s="165"/>
      <c r="R92" s="291">
        <v>704</v>
      </c>
      <c r="S92" s="293">
        <v>26</v>
      </c>
      <c r="T92" s="270">
        <v>43899</v>
      </c>
      <c r="U92" s="165" t="s">
        <v>327</v>
      </c>
      <c r="AI92" s="69"/>
    </row>
    <row r="93" spans="3:59" x14ac:dyDescent="0.25">
      <c r="E93" s="165"/>
      <c r="R93" s="291">
        <v>704</v>
      </c>
      <c r="S93" s="293">
        <v>26</v>
      </c>
      <c r="T93" s="270">
        <v>43899</v>
      </c>
      <c r="U93" s="165" t="s">
        <v>213</v>
      </c>
      <c r="AI93" s="69"/>
    </row>
    <row r="94" spans="3:59" x14ac:dyDescent="0.25">
      <c r="E94" s="165"/>
      <c r="R94" s="289">
        <v>994</v>
      </c>
      <c r="S94" s="292">
        <v>30</v>
      </c>
      <c r="T94" s="270">
        <v>43900</v>
      </c>
      <c r="U94" s="165" t="s">
        <v>286</v>
      </c>
      <c r="AI94" s="69"/>
    </row>
    <row r="95" spans="3:59" x14ac:dyDescent="0.25">
      <c r="E95" s="165"/>
      <c r="R95" s="291">
        <v>994</v>
      </c>
      <c r="S95" s="293">
        <v>30</v>
      </c>
      <c r="T95" s="270">
        <v>43900</v>
      </c>
      <c r="U95" s="165" t="s">
        <v>214</v>
      </c>
      <c r="AI95" s="69"/>
    </row>
    <row r="96" spans="3:59" x14ac:dyDescent="0.25">
      <c r="E96" s="165"/>
      <c r="R96" s="165"/>
      <c r="S96" s="291">
        <v>1301</v>
      </c>
      <c r="T96" s="293">
        <v>38</v>
      </c>
      <c r="U96" s="271">
        <v>43901</v>
      </c>
      <c r="V96" s="69" t="s">
        <v>201</v>
      </c>
      <c r="AI96" s="69"/>
    </row>
    <row r="97" spans="3:59" x14ac:dyDescent="0.25">
      <c r="E97" s="165"/>
      <c r="R97" s="165"/>
      <c r="S97" s="291">
        <v>1301</v>
      </c>
      <c r="T97" s="293">
        <v>38</v>
      </c>
      <c r="U97" s="270">
        <v>43901</v>
      </c>
      <c r="V97" s="69" t="s">
        <v>245</v>
      </c>
      <c r="AJ97" s="69"/>
      <c r="AK97" s="69"/>
      <c r="AL97" s="69"/>
      <c r="AM97" s="69"/>
      <c r="AN97" s="69"/>
      <c r="AQ97" s="69"/>
      <c r="AR97" s="69"/>
      <c r="AS97" s="69"/>
      <c r="AT97" s="69"/>
      <c r="AU97" s="69"/>
      <c r="AV97" s="69"/>
      <c r="AW97" s="69"/>
      <c r="AX97" s="69"/>
      <c r="AY97" s="69"/>
      <c r="AZ97" s="69"/>
    </row>
    <row r="98" spans="3:59" x14ac:dyDescent="0.25">
      <c r="E98" s="165"/>
      <c r="S98" s="291">
        <v>1301</v>
      </c>
      <c r="T98" s="293">
        <v>38</v>
      </c>
      <c r="U98" s="270">
        <v>43901</v>
      </c>
      <c r="V98" t="s">
        <v>219</v>
      </c>
      <c r="AJ98" s="69"/>
      <c r="AK98" s="69"/>
      <c r="AL98" s="69"/>
      <c r="AM98" s="69"/>
      <c r="AN98" s="69"/>
    </row>
    <row r="99" spans="3:59" x14ac:dyDescent="0.25">
      <c r="C99" s="69"/>
      <c r="D99" s="69"/>
      <c r="E99" s="165"/>
      <c r="F99" s="69"/>
      <c r="G99" s="69"/>
      <c r="H99" s="69"/>
      <c r="I99" s="69"/>
      <c r="J99" s="69"/>
      <c r="K99" s="69"/>
      <c r="L99" s="69"/>
      <c r="M99" s="69"/>
      <c r="N99" s="69"/>
      <c r="O99" s="69"/>
      <c r="P99" s="69"/>
      <c r="Q99" s="69"/>
      <c r="R99" s="165"/>
      <c r="S99" s="291">
        <v>1630</v>
      </c>
      <c r="T99" s="293">
        <v>41</v>
      </c>
      <c r="U99" s="165">
        <v>43902</v>
      </c>
      <c r="V99" s="69" t="s">
        <v>238</v>
      </c>
      <c r="W99" s="69"/>
      <c r="X99" s="69"/>
      <c r="Y99" s="69"/>
      <c r="Z99" s="69"/>
      <c r="AA99" s="69"/>
      <c r="AB99" s="69"/>
      <c r="AC99" s="69"/>
      <c r="AD99" s="69"/>
      <c r="AE99" s="69"/>
      <c r="AH99" s="69"/>
    </row>
    <row r="100" spans="3:59" x14ac:dyDescent="0.25">
      <c r="E100" s="165"/>
      <c r="S100" s="291">
        <v>1630</v>
      </c>
      <c r="T100" s="293">
        <v>41</v>
      </c>
      <c r="U100" s="270">
        <v>43902</v>
      </c>
      <c r="V100" t="s">
        <v>215</v>
      </c>
      <c r="BA100" s="69"/>
      <c r="BB100" s="69"/>
    </row>
    <row r="101" spans="3:59" x14ac:dyDescent="0.25">
      <c r="E101" s="165"/>
      <c r="S101" s="290">
        <v>2183</v>
      </c>
      <c r="T101" s="293">
        <v>48</v>
      </c>
      <c r="U101" s="158">
        <v>43903</v>
      </c>
      <c r="V101" s="159" t="s">
        <v>176</v>
      </c>
      <c r="W101" s="159"/>
      <c r="X101" s="159"/>
      <c r="Y101" s="159"/>
      <c r="Z101" s="159"/>
      <c r="AA101" s="159"/>
      <c r="AB101" s="159"/>
      <c r="AC101" s="159"/>
      <c r="AD101" s="159"/>
      <c r="AE101" s="159"/>
      <c r="AF101" s="159"/>
      <c r="AG101" s="159"/>
      <c r="AH101" s="159"/>
      <c r="BA101" s="69"/>
      <c r="BB101" s="69"/>
    </row>
    <row r="102" spans="3:59" x14ac:dyDescent="0.25">
      <c r="E102" s="165"/>
      <c r="S102" s="291">
        <v>2183</v>
      </c>
      <c r="T102" s="293">
        <v>48</v>
      </c>
      <c r="U102" s="270">
        <v>43903</v>
      </c>
      <c r="V102" t="s">
        <v>216</v>
      </c>
      <c r="BA102" s="69"/>
      <c r="BB102" s="69"/>
      <c r="BC102" s="69"/>
      <c r="BD102" s="69"/>
      <c r="BE102" s="69"/>
      <c r="BF102" s="69"/>
      <c r="BG102" s="69"/>
    </row>
    <row r="103" spans="3:59" x14ac:dyDescent="0.25">
      <c r="E103" s="165"/>
      <c r="S103" s="291">
        <v>2183</v>
      </c>
      <c r="T103" s="293">
        <v>48</v>
      </c>
      <c r="U103" s="270">
        <v>43903</v>
      </c>
      <c r="V103" t="s">
        <v>217</v>
      </c>
      <c r="BA103" s="69"/>
      <c r="BB103" s="69"/>
    </row>
    <row r="104" spans="3:59" x14ac:dyDescent="0.25">
      <c r="C104" s="69"/>
      <c r="D104" s="69"/>
      <c r="E104" s="165"/>
      <c r="F104" s="69"/>
      <c r="G104" s="69"/>
      <c r="H104" s="69"/>
      <c r="I104" s="69"/>
      <c r="J104" s="69"/>
      <c r="K104" s="69"/>
      <c r="L104" s="69"/>
      <c r="M104" s="69"/>
      <c r="N104" s="69"/>
      <c r="O104" s="69"/>
      <c r="P104" s="69"/>
      <c r="Q104" s="69"/>
      <c r="R104" s="69"/>
      <c r="S104" s="291">
        <v>2183</v>
      </c>
      <c r="T104" s="293">
        <v>48</v>
      </c>
      <c r="U104" s="165">
        <v>43903</v>
      </c>
      <c r="V104" s="69" t="s">
        <v>253</v>
      </c>
      <c r="W104" s="69"/>
      <c r="X104" s="69"/>
      <c r="Y104" s="69"/>
      <c r="Z104" s="69"/>
      <c r="AA104" s="69"/>
      <c r="AB104" s="69"/>
      <c r="AC104" s="69"/>
      <c r="AD104" s="69"/>
      <c r="AE104" s="69"/>
      <c r="AH104" s="69"/>
      <c r="AJ104" s="69"/>
      <c r="AK104" s="69"/>
      <c r="AL104" s="69"/>
      <c r="AM104" s="69"/>
      <c r="AN104" s="69"/>
      <c r="BA104" s="69"/>
      <c r="BB104" s="69"/>
    </row>
    <row r="105" spans="3:59" x14ac:dyDescent="0.25">
      <c r="D105" s="165"/>
      <c r="Q105" s="69"/>
      <c r="R105" s="165"/>
      <c r="S105" s="69"/>
      <c r="T105" s="291">
        <v>2771</v>
      </c>
      <c r="U105" s="292">
        <v>58</v>
      </c>
      <c r="V105" s="158">
        <v>43904</v>
      </c>
      <c r="W105" s="159" t="s">
        <v>171</v>
      </c>
      <c r="X105" s="159"/>
      <c r="Y105" s="158"/>
      <c r="Z105" s="158"/>
      <c r="AA105" s="159"/>
      <c r="AB105" s="158">
        <v>43918</v>
      </c>
      <c r="AI105" s="69"/>
      <c r="AJ105" s="69"/>
      <c r="AK105" s="69"/>
      <c r="AL105" s="69"/>
      <c r="AM105" s="69"/>
      <c r="AN105" s="69"/>
      <c r="BA105" s="69"/>
      <c r="BB105" s="69"/>
    </row>
    <row r="106" spans="3:59" x14ac:dyDescent="0.25">
      <c r="D106" s="69"/>
      <c r="E106" s="69"/>
      <c r="F106" s="165"/>
      <c r="G106" s="165"/>
      <c r="H106" s="165"/>
      <c r="I106" s="165"/>
      <c r="J106" s="165"/>
      <c r="K106" s="165"/>
      <c r="L106" s="165"/>
      <c r="M106" s="165"/>
      <c r="N106" s="165"/>
      <c r="O106" s="165"/>
      <c r="P106" s="69"/>
      <c r="Q106" s="69"/>
      <c r="U106" s="290">
        <v>4604</v>
      </c>
      <c r="V106" s="293">
        <v>95</v>
      </c>
      <c r="W106" s="158">
        <v>43906</v>
      </c>
      <c r="X106" s="159" t="s">
        <v>360</v>
      </c>
      <c r="Y106" s="159"/>
      <c r="Z106" s="159"/>
      <c r="AA106" s="159"/>
      <c r="AB106" s="159"/>
      <c r="AC106" s="159"/>
      <c r="AD106" s="159"/>
      <c r="AE106" s="159"/>
      <c r="AF106" s="159"/>
      <c r="AG106" s="159"/>
      <c r="AH106" s="159"/>
      <c r="AJ106" s="69"/>
      <c r="AK106" s="69"/>
      <c r="AL106" s="69"/>
      <c r="AM106" s="69"/>
      <c r="AN106" s="69"/>
      <c r="BA106" s="69"/>
      <c r="BB106" s="69"/>
    </row>
    <row r="107" spans="3:59" x14ac:dyDescent="0.25">
      <c r="D107" s="69"/>
      <c r="E107" s="69"/>
      <c r="F107" s="165"/>
      <c r="G107" s="165"/>
      <c r="H107" s="165"/>
      <c r="I107" s="165"/>
      <c r="J107" s="165"/>
      <c r="K107" s="165"/>
      <c r="L107" s="165"/>
      <c r="M107" s="165"/>
      <c r="N107" s="165"/>
      <c r="O107" s="165"/>
      <c r="P107" s="69"/>
      <c r="Q107" s="69"/>
      <c r="U107" s="291">
        <v>4604</v>
      </c>
      <c r="V107" s="293">
        <v>95</v>
      </c>
      <c r="W107" s="217">
        <v>43906</v>
      </c>
      <c r="X107" s="165" t="s">
        <v>509</v>
      </c>
      <c r="Y107" s="69"/>
      <c r="Z107" s="69"/>
      <c r="AA107" s="69"/>
      <c r="AB107" s="69"/>
      <c r="AC107" s="69"/>
      <c r="AD107" s="69"/>
      <c r="AE107" s="69"/>
      <c r="AF107" s="69"/>
      <c r="AG107" s="69"/>
      <c r="AH107" s="69"/>
      <c r="AJ107" s="69"/>
      <c r="AK107" s="69"/>
      <c r="AL107" s="69"/>
      <c r="AM107" s="69"/>
      <c r="AN107" s="69"/>
      <c r="BA107" s="69"/>
      <c r="BB107" s="69"/>
    </row>
    <row r="108" spans="3:59" x14ac:dyDescent="0.25">
      <c r="D108" s="69"/>
      <c r="E108" s="69"/>
      <c r="F108" s="69"/>
      <c r="G108" s="69"/>
      <c r="H108" s="69"/>
      <c r="I108" s="69"/>
      <c r="J108" s="69"/>
      <c r="K108" s="69"/>
      <c r="L108" s="69"/>
      <c r="M108" s="69"/>
      <c r="N108" s="69"/>
      <c r="O108" s="69"/>
      <c r="P108" s="165"/>
      <c r="Q108" s="69"/>
      <c r="R108" s="69"/>
      <c r="S108" s="69"/>
      <c r="T108" s="165"/>
      <c r="U108" s="291">
        <v>6357</v>
      </c>
      <c r="V108" s="292">
        <v>121</v>
      </c>
      <c r="W108" s="270">
        <v>43907</v>
      </c>
      <c r="X108" t="s">
        <v>200</v>
      </c>
      <c r="AJ108" s="69"/>
      <c r="AK108" s="69"/>
      <c r="AL108" s="69"/>
      <c r="AM108" s="69"/>
      <c r="AN108" s="69"/>
      <c r="BA108" s="69"/>
      <c r="BB108" s="69"/>
    </row>
    <row r="109" spans="3:59" x14ac:dyDescent="0.25">
      <c r="V109" s="290">
        <v>9317</v>
      </c>
      <c r="W109" s="293">
        <v>171</v>
      </c>
      <c r="X109" s="158">
        <v>43908</v>
      </c>
      <c r="Y109" s="159" t="s">
        <v>172</v>
      </c>
      <c r="Z109" s="158">
        <v>43922</v>
      </c>
      <c r="AJ109" s="69"/>
      <c r="AK109" s="69"/>
      <c r="AL109" s="69"/>
      <c r="AM109" s="69"/>
      <c r="AN109" s="69"/>
      <c r="BA109" s="69"/>
      <c r="BB109" s="69"/>
    </row>
    <row r="110" spans="3:59" s="69" customFormat="1" x14ac:dyDescent="0.25">
      <c r="C110"/>
      <c r="D110"/>
      <c r="E110"/>
      <c r="F110"/>
      <c r="G110"/>
      <c r="H110"/>
      <c r="I110"/>
      <c r="J110"/>
      <c r="K110"/>
      <c r="L110"/>
      <c r="M110"/>
      <c r="N110"/>
      <c r="O110"/>
      <c r="P110"/>
      <c r="Q110"/>
      <c r="R110"/>
      <c r="S110"/>
      <c r="T110"/>
      <c r="U110"/>
      <c r="V110" s="291">
        <v>9317</v>
      </c>
      <c r="W110" s="293">
        <v>171</v>
      </c>
      <c r="X110" s="270">
        <v>43908</v>
      </c>
      <c r="Y110" s="69" t="s">
        <v>239</v>
      </c>
      <c r="Z110" s="165"/>
      <c r="AA110"/>
      <c r="AB110"/>
      <c r="AC110"/>
      <c r="AD110"/>
      <c r="AE110"/>
      <c r="AF110"/>
      <c r="AG110"/>
      <c r="AH110"/>
      <c r="AI110"/>
      <c r="AJ110"/>
      <c r="AK110"/>
      <c r="AL110"/>
      <c r="AM110"/>
      <c r="AN110"/>
      <c r="BC110"/>
      <c r="BD110"/>
      <c r="BE110"/>
      <c r="BF110"/>
      <c r="BG110"/>
    </row>
    <row r="111" spans="3:59" x14ac:dyDescent="0.25">
      <c r="V111" s="291">
        <v>9317</v>
      </c>
      <c r="W111" s="293">
        <v>171</v>
      </c>
      <c r="X111" s="270">
        <v>43908</v>
      </c>
      <c r="Y111" s="69" t="s">
        <v>399</v>
      </c>
      <c r="Z111" s="165"/>
      <c r="AO111" s="69"/>
      <c r="AP111" s="69"/>
      <c r="AQ111" s="69"/>
      <c r="AR111" s="69"/>
      <c r="AS111" s="69"/>
      <c r="AT111" s="69"/>
      <c r="AU111" s="69"/>
      <c r="AV111" s="69"/>
      <c r="AW111" s="69"/>
      <c r="AX111" s="69"/>
      <c r="AY111" s="69"/>
      <c r="AZ111" s="69"/>
      <c r="BA111" s="69"/>
      <c r="BB111" s="69"/>
    </row>
    <row r="112" spans="3:59" x14ac:dyDescent="0.25">
      <c r="V112" s="291">
        <v>13898</v>
      </c>
      <c r="W112" s="292">
        <v>239</v>
      </c>
      <c r="X112" s="270">
        <v>43909</v>
      </c>
      <c r="Y112" s="69" t="s">
        <v>287</v>
      </c>
      <c r="Z112" s="165"/>
      <c r="AA112" s="69"/>
      <c r="AD112" s="69"/>
      <c r="AE112" s="69"/>
      <c r="AF112" s="69"/>
      <c r="AI112" s="69"/>
      <c r="AO112" s="69"/>
      <c r="AP112" s="69"/>
    </row>
    <row r="113" spans="3:55" x14ac:dyDescent="0.25">
      <c r="W113" s="290">
        <v>19551</v>
      </c>
      <c r="X113" s="293">
        <v>309</v>
      </c>
      <c r="Y113" s="158">
        <v>43910</v>
      </c>
      <c r="Z113" s="159" t="s">
        <v>173</v>
      </c>
      <c r="AA113" s="159"/>
      <c r="AB113" s="159"/>
      <c r="AC113" s="158">
        <v>43924</v>
      </c>
    </row>
    <row r="114" spans="3:55" x14ac:dyDescent="0.25">
      <c r="W114" s="69"/>
      <c r="X114" s="291">
        <v>33840</v>
      </c>
      <c r="Y114" s="292">
        <v>509</v>
      </c>
      <c r="Z114" s="270">
        <v>43912</v>
      </c>
      <c r="AA114" s="69" t="s">
        <v>398</v>
      </c>
      <c r="AB114" s="69"/>
      <c r="AC114" s="165"/>
    </row>
    <row r="115" spans="3:55" x14ac:dyDescent="0.25">
      <c r="X115" s="291">
        <v>44189</v>
      </c>
      <c r="Y115" s="293">
        <v>689</v>
      </c>
      <c r="Z115" s="270">
        <v>43913</v>
      </c>
      <c r="AA115" s="69" t="s">
        <v>323</v>
      </c>
      <c r="AB115" s="69"/>
      <c r="AC115" s="165"/>
    </row>
    <row r="116" spans="3:55" x14ac:dyDescent="0.25">
      <c r="X116" s="290">
        <v>55398</v>
      </c>
      <c r="Y116" s="292">
        <v>957</v>
      </c>
      <c r="Z116" s="158">
        <v>43914</v>
      </c>
      <c r="AA116" s="159" t="s">
        <v>174</v>
      </c>
      <c r="AB116" s="159"/>
      <c r="AC116" s="158">
        <v>43928</v>
      </c>
      <c r="AE116" s="69"/>
      <c r="AF116" s="69"/>
    </row>
    <row r="117" spans="3:55" x14ac:dyDescent="0.25">
      <c r="X117" s="291">
        <v>55398</v>
      </c>
      <c r="Y117" s="293">
        <v>957</v>
      </c>
      <c r="Z117" s="270">
        <v>43914</v>
      </c>
      <c r="AA117" t="s">
        <v>236</v>
      </c>
      <c r="AE117" s="69"/>
      <c r="AF117" s="69"/>
    </row>
    <row r="118" spans="3:55" x14ac:dyDescent="0.25">
      <c r="C118" s="69"/>
      <c r="D118" s="69"/>
      <c r="E118" s="69"/>
      <c r="F118" s="69"/>
      <c r="G118" s="69"/>
      <c r="H118" s="69"/>
      <c r="I118" s="69"/>
      <c r="J118" s="69"/>
      <c r="K118" s="69"/>
      <c r="L118" s="69"/>
      <c r="M118" s="69"/>
      <c r="N118" s="69"/>
      <c r="O118" s="69"/>
      <c r="P118" s="69"/>
      <c r="Q118" s="69"/>
      <c r="R118" s="69"/>
      <c r="S118" s="69"/>
      <c r="T118" s="69"/>
      <c r="U118" s="69"/>
      <c r="V118" s="69"/>
      <c r="W118" s="69"/>
      <c r="X118" s="291">
        <v>55398</v>
      </c>
      <c r="Y118" s="293">
        <v>957</v>
      </c>
      <c r="Z118" s="165">
        <v>43914</v>
      </c>
      <c r="AA118" s="69" t="s">
        <v>295</v>
      </c>
      <c r="AB118" s="69"/>
      <c r="AC118" s="69"/>
      <c r="AD118" s="69"/>
      <c r="AE118" s="69"/>
      <c r="AF118" s="69"/>
      <c r="AG118" s="69"/>
      <c r="AH118" s="69"/>
    </row>
    <row r="119" spans="3:55" x14ac:dyDescent="0.25">
      <c r="C119" s="69"/>
      <c r="D119" s="69"/>
      <c r="E119" s="69"/>
      <c r="F119" s="69"/>
      <c r="G119" s="69"/>
      <c r="H119" s="69"/>
      <c r="I119" s="69"/>
      <c r="J119" s="69"/>
      <c r="K119" s="69"/>
      <c r="L119" s="69"/>
      <c r="M119" s="69"/>
      <c r="N119" s="69"/>
      <c r="O119" s="69"/>
      <c r="P119" s="69"/>
      <c r="Q119" s="69"/>
      <c r="R119" s="69"/>
      <c r="S119" s="69"/>
      <c r="T119" s="69"/>
      <c r="U119" s="69"/>
      <c r="V119" s="69"/>
      <c r="W119" s="69"/>
      <c r="Y119" s="291">
        <v>68905</v>
      </c>
      <c r="Z119" s="293">
        <v>1260</v>
      </c>
      <c r="AA119" s="165">
        <v>43915</v>
      </c>
      <c r="AB119" s="69" t="s">
        <v>397</v>
      </c>
      <c r="AC119" s="69"/>
      <c r="AD119" s="69"/>
      <c r="AE119" s="69"/>
      <c r="AF119" s="69"/>
      <c r="AG119" s="69"/>
      <c r="AH119" s="69"/>
    </row>
    <row r="120" spans="3:55" x14ac:dyDescent="0.25">
      <c r="C120" s="69"/>
      <c r="D120" s="69"/>
      <c r="E120" s="69"/>
      <c r="F120" s="69"/>
      <c r="G120" s="69"/>
      <c r="H120" s="69"/>
      <c r="I120" s="69"/>
      <c r="J120" s="69"/>
      <c r="K120" s="69"/>
      <c r="L120" s="69"/>
      <c r="M120" s="69"/>
      <c r="N120" s="69"/>
      <c r="O120" s="69"/>
      <c r="P120" s="69"/>
      <c r="Q120" s="69"/>
      <c r="R120" s="69"/>
      <c r="S120" s="69"/>
      <c r="T120" s="69"/>
      <c r="U120" s="69"/>
      <c r="V120" s="69"/>
      <c r="W120" s="69"/>
      <c r="X120" s="69"/>
      <c r="Y120" s="291">
        <v>105217</v>
      </c>
      <c r="Z120" s="293">
        <v>2110</v>
      </c>
      <c r="AA120" s="217">
        <v>43917</v>
      </c>
      <c r="AB120" s="217" t="s">
        <v>220</v>
      </c>
      <c r="AC120" s="69"/>
      <c r="AD120" s="69"/>
      <c r="AE120" s="69"/>
      <c r="AF120" s="69"/>
      <c r="AG120" s="69"/>
      <c r="AH120" s="69"/>
      <c r="AO120" s="69"/>
      <c r="AP120" s="69"/>
      <c r="AQ120" s="69"/>
      <c r="AR120" s="69"/>
      <c r="AS120" s="69"/>
      <c r="AT120" s="69"/>
      <c r="AU120" s="69"/>
      <c r="AV120" s="69"/>
      <c r="AW120" s="69"/>
      <c r="AX120" s="69"/>
      <c r="AY120" s="69"/>
      <c r="AZ120" s="69"/>
    </row>
    <row r="121" spans="3:55" x14ac:dyDescent="0.25">
      <c r="C121" s="69"/>
      <c r="D121" s="69"/>
      <c r="E121" s="69"/>
      <c r="F121" s="69"/>
      <c r="G121" s="69"/>
      <c r="H121" s="69"/>
      <c r="I121" s="69"/>
      <c r="J121" s="69"/>
      <c r="K121" s="69"/>
      <c r="L121" s="69"/>
      <c r="M121" s="69"/>
      <c r="N121" s="69"/>
      <c r="O121" s="69"/>
      <c r="P121" s="69"/>
      <c r="Q121" s="69"/>
      <c r="R121" s="69"/>
      <c r="S121" s="69"/>
      <c r="T121" s="69"/>
      <c r="U121" s="69"/>
      <c r="V121" s="69"/>
      <c r="W121" s="69"/>
      <c r="X121" s="69"/>
      <c r="Y121" s="291">
        <v>105217</v>
      </c>
      <c r="Z121" s="293">
        <v>2110</v>
      </c>
      <c r="AA121" s="270">
        <v>43917</v>
      </c>
      <c r="AB121" t="s">
        <v>247</v>
      </c>
      <c r="AC121" s="69"/>
      <c r="AD121" s="69"/>
      <c r="AE121" s="69"/>
      <c r="AF121" s="69"/>
      <c r="AG121" s="69"/>
      <c r="AH121" s="69"/>
      <c r="AO121" s="69"/>
      <c r="AP121" s="69"/>
      <c r="AQ121" s="69"/>
      <c r="AR121" s="69"/>
      <c r="AS121" s="69"/>
      <c r="AT121" s="69"/>
      <c r="AU121" s="69"/>
      <c r="AV121" s="69"/>
      <c r="AW121" s="69"/>
      <c r="AX121" s="69"/>
      <c r="AY121" s="69"/>
      <c r="AZ121" s="69"/>
    </row>
    <row r="122" spans="3:55" x14ac:dyDescent="0.25">
      <c r="C122" s="69"/>
      <c r="D122" s="69"/>
      <c r="E122" s="69"/>
      <c r="F122" s="69"/>
      <c r="G122" s="69"/>
      <c r="H122" s="69"/>
      <c r="I122" s="69"/>
      <c r="J122" s="69"/>
      <c r="K122" s="69"/>
      <c r="L122" s="69"/>
      <c r="M122" s="69"/>
      <c r="N122" s="69"/>
      <c r="O122" s="69"/>
      <c r="P122" s="69"/>
      <c r="Q122" s="69"/>
      <c r="R122" s="69"/>
      <c r="S122" s="69"/>
      <c r="T122" s="69"/>
      <c r="U122" s="69"/>
      <c r="V122" s="69"/>
      <c r="W122" s="69"/>
      <c r="X122" s="69"/>
      <c r="Y122" s="291">
        <v>105217</v>
      </c>
      <c r="Z122" s="293">
        <v>2110</v>
      </c>
      <c r="AA122" s="270">
        <v>43917</v>
      </c>
      <c r="AB122" t="s">
        <v>275</v>
      </c>
      <c r="AC122" s="69"/>
      <c r="AD122" s="69"/>
      <c r="AE122" s="69"/>
      <c r="AF122" s="69"/>
      <c r="AG122" s="69"/>
      <c r="AH122" s="69"/>
      <c r="AJ122" s="69"/>
      <c r="AK122" s="69"/>
      <c r="AL122" s="69"/>
      <c r="AM122" s="69"/>
      <c r="AN122" s="69"/>
      <c r="AO122" s="69"/>
      <c r="AP122" s="69"/>
      <c r="AQ122" s="69"/>
      <c r="AR122" s="69"/>
      <c r="AS122" s="69"/>
      <c r="AT122" s="69"/>
      <c r="AU122" s="69"/>
      <c r="AV122" s="69"/>
      <c r="AW122" s="69"/>
      <c r="AX122" s="69"/>
      <c r="AY122" s="69"/>
      <c r="AZ122" s="69"/>
      <c r="BC122" s="69"/>
    </row>
    <row r="123" spans="3:55" x14ac:dyDescent="0.25">
      <c r="C123" s="69"/>
      <c r="D123" s="69"/>
      <c r="E123" s="69"/>
      <c r="F123" s="69"/>
      <c r="G123" s="69"/>
      <c r="H123" s="69"/>
      <c r="I123" s="69"/>
      <c r="J123" s="69"/>
      <c r="K123" s="69"/>
      <c r="L123" s="69"/>
      <c r="M123" s="69"/>
      <c r="N123" s="69"/>
      <c r="O123" s="69"/>
      <c r="P123" s="69"/>
      <c r="Q123" s="69"/>
      <c r="R123" s="69"/>
      <c r="S123" s="69"/>
      <c r="T123" s="69"/>
      <c r="U123" s="69"/>
      <c r="V123" s="69"/>
      <c r="W123" s="69"/>
      <c r="X123" s="69"/>
      <c r="Y123" s="291">
        <v>105217</v>
      </c>
      <c r="Z123" s="293">
        <v>2110</v>
      </c>
      <c r="AA123" s="270">
        <v>43917</v>
      </c>
      <c r="AB123" t="s">
        <v>309</v>
      </c>
      <c r="AC123" s="69"/>
      <c r="AD123" s="69"/>
      <c r="AE123" s="69"/>
      <c r="AF123" s="69"/>
      <c r="AG123" s="69"/>
      <c r="AH123" s="69"/>
      <c r="AO123" s="69"/>
      <c r="AP123" s="69"/>
      <c r="AQ123" s="69"/>
      <c r="AR123" s="69"/>
      <c r="AS123" s="69"/>
      <c r="AT123" s="69"/>
      <c r="AU123" s="69"/>
      <c r="AV123" s="69"/>
      <c r="AW123" s="69"/>
      <c r="AX123" s="69"/>
      <c r="AY123" s="69"/>
      <c r="AZ123" s="69"/>
      <c r="BC123" s="69"/>
    </row>
    <row r="124" spans="3:55" x14ac:dyDescent="0.25">
      <c r="C124" s="69"/>
      <c r="D124" s="69"/>
      <c r="E124" s="69"/>
      <c r="F124" s="69"/>
      <c r="G124" s="69"/>
      <c r="H124" s="69"/>
      <c r="I124" s="69"/>
      <c r="J124" s="69"/>
      <c r="K124" s="69"/>
      <c r="L124" s="69"/>
      <c r="M124" s="69"/>
      <c r="N124" s="69"/>
      <c r="O124" s="69"/>
      <c r="P124" s="69"/>
      <c r="Q124" s="69"/>
      <c r="R124" s="69"/>
      <c r="S124" s="69"/>
      <c r="T124" s="69"/>
      <c r="U124" s="69"/>
      <c r="V124" s="69"/>
      <c r="W124" s="69"/>
      <c r="X124" s="69"/>
      <c r="Y124" s="35"/>
      <c r="Z124" s="290">
        <v>124788</v>
      </c>
      <c r="AA124" s="297">
        <v>2754</v>
      </c>
      <c r="AB124" s="296">
        <v>43918</v>
      </c>
      <c r="AC124" s="69" t="s">
        <v>524</v>
      </c>
      <c r="AD124" s="69"/>
      <c r="AE124" s="69"/>
      <c r="AF124" s="69"/>
      <c r="AG124" s="69"/>
      <c r="AH124" s="69"/>
      <c r="AO124" s="69"/>
      <c r="AP124" s="69"/>
      <c r="AQ124" s="69"/>
      <c r="AR124" s="69"/>
      <c r="AS124" s="69"/>
      <c r="AT124" s="69"/>
      <c r="AU124" s="69"/>
      <c r="AV124" s="69"/>
      <c r="AW124" s="69"/>
      <c r="AX124" s="69"/>
      <c r="AY124" s="69"/>
      <c r="AZ124" s="69"/>
      <c r="BC124" s="69"/>
    </row>
    <row r="125" spans="3:55" x14ac:dyDescent="0.25">
      <c r="X125" s="236"/>
      <c r="Y125" s="165"/>
      <c r="Z125" s="291">
        <v>124788</v>
      </c>
      <c r="AA125" s="293">
        <v>2754</v>
      </c>
      <c r="AB125" s="271">
        <v>43918</v>
      </c>
      <c r="AC125" t="s">
        <v>244</v>
      </c>
      <c r="AD125" s="69"/>
      <c r="AE125" s="69"/>
      <c r="AO125" s="69"/>
      <c r="AP125" s="69"/>
      <c r="AQ125" s="69"/>
      <c r="AR125" s="69"/>
      <c r="AS125" s="69"/>
      <c r="AT125" s="69"/>
      <c r="AU125" s="69"/>
      <c r="AV125" s="69"/>
      <c r="AW125" s="69"/>
      <c r="AX125" s="69"/>
      <c r="AY125" s="69"/>
      <c r="AZ125" s="69"/>
      <c r="BC125" s="69"/>
    </row>
    <row r="126" spans="3:55" x14ac:dyDescent="0.25">
      <c r="X126" s="236"/>
      <c r="Y126" s="165"/>
      <c r="Z126" s="291">
        <v>144980</v>
      </c>
      <c r="AA126" s="293">
        <v>3251</v>
      </c>
      <c r="AB126" s="296">
        <v>43919</v>
      </c>
      <c r="AC126" t="s">
        <v>523</v>
      </c>
      <c r="AD126" s="69"/>
      <c r="AE126" s="69"/>
      <c r="AO126" s="69"/>
      <c r="AP126" s="69"/>
      <c r="AQ126" s="69"/>
      <c r="AR126" s="69"/>
      <c r="AS126" s="69"/>
      <c r="AT126" s="69"/>
      <c r="AU126" s="69"/>
      <c r="AV126" s="69"/>
      <c r="AW126" s="69"/>
      <c r="AX126" s="69"/>
      <c r="AY126" s="69"/>
      <c r="AZ126" s="69"/>
      <c r="BC126" s="69"/>
    </row>
    <row r="127" spans="3:55" x14ac:dyDescent="0.25">
      <c r="Z127" s="291">
        <v>168177</v>
      </c>
      <c r="AA127" s="293">
        <v>4066</v>
      </c>
      <c r="AB127" s="296">
        <v>43920</v>
      </c>
      <c r="AC127" t="s">
        <v>522</v>
      </c>
      <c r="AD127" s="69"/>
      <c r="AE127" s="69"/>
      <c r="BC127" s="69"/>
    </row>
    <row r="128" spans="3:55" x14ac:dyDescent="0.25">
      <c r="Z128" s="291">
        <v>168177</v>
      </c>
      <c r="AA128" s="293">
        <v>4066</v>
      </c>
      <c r="AB128" s="270">
        <v>43920</v>
      </c>
      <c r="AC128" t="s">
        <v>250</v>
      </c>
      <c r="AD128" s="69"/>
      <c r="AE128" s="69"/>
      <c r="BA128" s="69"/>
      <c r="BB128" s="69"/>
      <c r="BC128" s="69"/>
    </row>
    <row r="129" spans="3:59" x14ac:dyDescent="0.25">
      <c r="Z129" s="291">
        <v>168177</v>
      </c>
      <c r="AA129" s="293">
        <v>4066</v>
      </c>
      <c r="AB129" s="270">
        <v>43920</v>
      </c>
      <c r="AC129" t="s">
        <v>322</v>
      </c>
      <c r="AD129" s="69"/>
      <c r="AE129" s="69"/>
      <c r="BC129" s="69"/>
    </row>
    <row r="130" spans="3:59" x14ac:dyDescent="0.25">
      <c r="Z130" s="291">
        <v>193353</v>
      </c>
      <c r="AA130" s="297">
        <v>5151</v>
      </c>
      <c r="AB130" s="296">
        <v>43921</v>
      </c>
      <c r="AC130" t="s">
        <v>525</v>
      </c>
      <c r="AD130" s="69"/>
      <c r="AE130" s="69"/>
      <c r="BC130" s="69"/>
    </row>
    <row r="131" spans="3:59" x14ac:dyDescent="0.25">
      <c r="Z131" s="291">
        <v>220295</v>
      </c>
      <c r="AA131" s="293">
        <v>6394</v>
      </c>
      <c r="AB131" s="150">
        <v>43922</v>
      </c>
      <c r="AC131" t="s">
        <v>520</v>
      </c>
      <c r="AD131" s="69"/>
      <c r="AE131" s="69"/>
      <c r="BC131" s="69"/>
    </row>
    <row r="132" spans="3:59" x14ac:dyDescent="0.25">
      <c r="Z132" s="291">
        <v>220295</v>
      </c>
      <c r="AA132" s="293">
        <v>6394</v>
      </c>
      <c r="AB132" s="328">
        <v>43922</v>
      </c>
      <c r="AC132" t="s">
        <v>521</v>
      </c>
      <c r="AD132" s="69"/>
      <c r="AE132" s="69"/>
      <c r="BC132" s="69"/>
    </row>
    <row r="133" spans="3:59" x14ac:dyDescent="0.25">
      <c r="AA133" s="290">
        <v>250708</v>
      </c>
      <c r="AB133" s="293">
        <v>7576</v>
      </c>
      <c r="AC133" s="270">
        <v>43923</v>
      </c>
      <c r="AD133" s="69" t="s">
        <v>303</v>
      </c>
      <c r="AE133" s="69"/>
      <c r="AF133" s="69"/>
      <c r="AG133" s="69"/>
      <c r="AI133" s="69"/>
      <c r="BC133" s="69"/>
    </row>
    <row r="134" spans="3:59" x14ac:dyDescent="0.25">
      <c r="AA134" s="291">
        <v>283477</v>
      </c>
      <c r="AB134" s="293">
        <v>8839</v>
      </c>
      <c r="AC134" s="158">
        <v>43924</v>
      </c>
      <c r="AD134" s="159" t="s">
        <v>221</v>
      </c>
      <c r="AE134" s="158">
        <v>43938</v>
      </c>
      <c r="AF134" s="69"/>
      <c r="AG134" s="69"/>
      <c r="AI134" s="69"/>
      <c r="AJ134" s="69"/>
      <c r="AK134" s="69"/>
      <c r="AL134" s="69"/>
      <c r="AM134" s="69"/>
      <c r="AN134" s="69"/>
      <c r="BC134" s="69"/>
    </row>
    <row r="135" spans="3:59" x14ac:dyDescent="0.25">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c r="AA135" s="291">
        <v>317994</v>
      </c>
      <c r="AB135" s="292">
        <v>10384</v>
      </c>
      <c r="AC135" s="270">
        <v>43925</v>
      </c>
      <c r="AD135" t="s">
        <v>223</v>
      </c>
      <c r="AH135" s="69"/>
      <c r="AI135" s="69"/>
      <c r="BC135" s="69"/>
      <c r="BD135" s="69"/>
      <c r="BE135" s="69"/>
      <c r="BF135" s="69"/>
      <c r="BG135" s="69"/>
    </row>
    <row r="136" spans="3:59" s="69" customFormat="1" x14ac:dyDescent="0.25">
      <c r="AA136" s="291">
        <v>343747</v>
      </c>
      <c r="AB136" s="293">
        <v>11793</v>
      </c>
      <c r="AC136" s="296">
        <v>43926</v>
      </c>
      <c r="AD136" t="s">
        <v>526</v>
      </c>
      <c r="AE136"/>
      <c r="AF136"/>
      <c r="AG136"/>
      <c r="AJ136"/>
      <c r="AK136"/>
      <c r="AL136"/>
      <c r="AM136"/>
      <c r="AN136"/>
      <c r="AO136"/>
      <c r="AP136"/>
      <c r="AQ136"/>
      <c r="AR136"/>
      <c r="AS136"/>
      <c r="AT136"/>
      <c r="AU136"/>
      <c r="AV136"/>
      <c r="AW136"/>
      <c r="AX136"/>
      <c r="AY136"/>
      <c r="AZ136"/>
      <c r="BA136"/>
      <c r="BB136"/>
    </row>
    <row r="137" spans="3:59" x14ac:dyDescent="0.25">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c r="AA137" s="291">
        <v>343747</v>
      </c>
      <c r="AB137" s="293">
        <v>11793</v>
      </c>
      <c r="AC137" s="165">
        <v>43926</v>
      </c>
      <c r="AD137" t="s">
        <v>324</v>
      </c>
      <c r="AH137" s="69"/>
      <c r="AI137" s="69"/>
      <c r="AQ137" s="69"/>
      <c r="AR137" s="69"/>
      <c r="AS137" s="69"/>
      <c r="AT137" s="69"/>
      <c r="AU137" s="69"/>
      <c r="AV137" s="69"/>
      <c r="AW137" s="69"/>
      <c r="AX137" s="69"/>
      <c r="AY137" s="69"/>
      <c r="AZ137" s="69"/>
      <c r="BD137" s="69"/>
      <c r="BE137" s="69"/>
      <c r="BF137" s="69"/>
      <c r="BG137" s="69"/>
    </row>
    <row r="138" spans="3:59" x14ac:dyDescent="0.25">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291">
        <v>375348</v>
      </c>
      <c r="AB138" s="293">
        <v>13298</v>
      </c>
      <c r="AC138" s="296">
        <v>43927</v>
      </c>
      <c r="AD138" t="s">
        <v>527</v>
      </c>
      <c r="AH138" s="69"/>
      <c r="AI138" s="69"/>
      <c r="AQ138" s="69"/>
      <c r="AR138" s="69"/>
      <c r="AS138" s="69"/>
      <c r="AT138" s="69"/>
      <c r="AU138" s="69"/>
      <c r="AV138" s="69"/>
      <c r="AW138" s="69"/>
      <c r="AX138" s="69"/>
      <c r="AY138" s="69"/>
      <c r="AZ138" s="69"/>
      <c r="BD138" s="69"/>
      <c r="BE138" s="69"/>
      <c r="BF138" s="69"/>
      <c r="BG138" s="69"/>
    </row>
    <row r="139" spans="3:59" x14ac:dyDescent="0.25">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291">
        <v>441569</v>
      </c>
      <c r="AB139" s="293">
        <v>17691</v>
      </c>
      <c r="AC139" s="328">
        <v>43929</v>
      </c>
      <c r="AD139" t="s">
        <v>511</v>
      </c>
      <c r="AH139" s="69"/>
      <c r="AI139" s="69"/>
      <c r="AQ139" s="69"/>
      <c r="AR139" s="69"/>
      <c r="AS139" s="69"/>
      <c r="AT139" s="69"/>
      <c r="AU139" s="69"/>
      <c r="AV139" s="69"/>
      <c r="AW139" s="69"/>
      <c r="AX139" s="69"/>
      <c r="AY139" s="69"/>
      <c r="AZ139" s="69"/>
      <c r="BD139" s="69"/>
      <c r="BE139" s="69"/>
      <c r="BF139" s="69"/>
      <c r="BG139" s="69"/>
    </row>
    <row r="140" spans="3:59" x14ac:dyDescent="0.25">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291">
        <v>441569</v>
      </c>
      <c r="AB140" s="293">
        <v>17691</v>
      </c>
      <c r="AC140" s="328">
        <v>43929</v>
      </c>
      <c r="AD140" t="s">
        <v>554</v>
      </c>
      <c r="AH140" s="69"/>
      <c r="AI140" s="69"/>
      <c r="AQ140" s="69"/>
      <c r="AR140" s="69"/>
      <c r="AS140" s="69"/>
      <c r="AT140" s="69"/>
      <c r="AU140" s="69"/>
      <c r="AV140" s="69"/>
      <c r="AW140" s="69"/>
      <c r="AX140" s="69"/>
      <c r="AY140" s="69"/>
      <c r="AZ140" s="69"/>
      <c r="BD140" s="69"/>
      <c r="BE140" s="69"/>
      <c r="BF140" s="69"/>
      <c r="BG140" s="69"/>
    </row>
    <row r="141" spans="3:59" x14ac:dyDescent="0.25">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290">
        <v>509604</v>
      </c>
      <c r="AB141" s="293">
        <v>22038</v>
      </c>
      <c r="AC141" s="328">
        <v>43931</v>
      </c>
      <c r="AD141" t="s">
        <v>519</v>
      </c>
      <c r="AH141" s="69"/>
      <c r="AI141" s="69"/>
      <c r="AQ141" s="69"/>
      <c r="AR141" s="69"/>
      <c r="AS141" s="69"/>
      <c r="AT141" s="69"/>
      <c r="AU141" s="69"/>
      <c r="AV141" s="69"/>
      <c r="AW141" s="69"/>
      <c r="AX141" s="69"/>
      <c r="AY141" s="69"/>
      <c r="AZ141" s="69"/>
      <c r="BD141" s="69"/>
      <c r="BE141" s="69"/>
      <c r="BF141" s="69"/>
      <c r="BG141" s="69"/>
    </row>
    <row r="142" spans="3:59" x14ac:dyDescent="0.25">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291">
        <v>539942</v>
      </c>
      <c r="AC142" s="293">
        <v>24062</v>
      </c>
      <c r="AD142" s="270">
        <v>43932</v>
      </c>
      <c r="AE142" t="s">
        <v>232</v>
      </c>
      <c r="AH142" s="69"/>
      <c r="AI142" s="69"/>
      <c r="BD142" s="69"/>
      <c r="BE142" s="69"/>
      <c r="BF142" s="69"/>
      <c r="BG142" s="69"/>
    </row>
    <row r="143" spans="3:59" x14ac:dyDescent="0.25">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291">
        <v>567708</v>
      </c>
      <c r="AC143" s="297">
        <v>25789</v>
      </c>
      <c r="AD143" s="296">
        <v>43933</v>
      </c>
      <c r="AE143" t="s">
        <v>528</v>
      </c>
      <c r="AH143" s="69"/>
      <c r="AI143" s="69"/>
      <c r="BD143" s="69"/>
      <c r="BE143" s="69"/>
      <c r="BF143" s="69"/>
      <c r="BG143" s="69"/>
    </row>
    <row r="144" spans="3:59" x14ac:dyDescent="0.25">
      <c r="AB144" s="291">
        <v>594693</v>
      </c>
      <c r="AC144" s="293">
        <v>27515</v>
      </c>
      <c r="AD144" s="270">
        <v>43934</v>
      </c>
      <c r="AE144" t="s">
        <v>224</v>
      </c>
      <c r="BD144" s="69"/>
      <c r="BE144" s="69"/>
      <c r="BF144" s="69"/>
      <c r="BG144" s="69"/>
    </row>
    <row r="145" spans="3:59" x14ac:dyDescent="0.25">
      <c r="AB145" s="291">
        <v>621953</v>
      </c>
      <c r="AC145" s="293">
        <v>30081</v>
      </c>
      <c r="AD145" s="217">
        <v>43935</v>
      </c>
      <c r="AE145" t="s">
        <v>248</v>
      </c>
      <c r="BD145" s="69"/>
      <c r="BE145" s="69"/>
      <c r="BF145" s="69"/>
      <c r="BG145" s="69"/>
    </row>
    <row r="146" spans="3:59" x14ac:dyDescent="0.25">
      <c r="AC146" s="291">
        <v>652474</v>
      </c>
      <c r="AD146" s="293">
        <v>32712</v>
      </c>
      <c r="AE146" s="270">
        <v>43936</v>
      </c>
      <c r="AF146" s="69" t="s">
        <v>249</v>
      </c>
      <c r="AO146" s="69"/>
      <c r="AP146" s="69"/>
      <c r="AQ146" s="69"/>
      <c r="AR146" s="69"/>
      <c r="AS146" s="69"/>
      <c r="AT146" s="69"/>
      <c r="AU146" s="69"/>
      <c r="AV146" s="69"/>
      <c r="AW146" s="69"/>
      <c r="AX146" s="69"/>
      <c r="AY146" s="69"/>
      <c r="AZ146" s="69"/>
      <c r="BD146" s="69"/>
      <c r="BE146" s="69"/>
      <c r="BF146" s="69"/>
      <c r="BG146" s="69"/>
    </row>
    <row r="147" spans="3:59" x14ac:dyDescent="0.25">
      <c r="AC147" s="291">
        <v>652474</v>
      </c>
      <c r="AD147" s="293">
        <v>32712</v>
      </c>
      <c r="AE147" s="270">
        <v>43936</v>
      </c>
      <c r="AF147" t="s">
        <v>254</v>
      </c>
      <c r="BD147" s="69"/>
      <c r="BE147" s="69"/>
      <c r="BF147" s="69"/>
      <c r="BG147" s="69"/>
    </row>
    <row r="148" spans="3:59" x14ac:dyDescent="0.25">
      <c r="AC148" s="291">
        <v>652474</v>
      </c>
      <c r="AD148" s="293">
        <v>32712</v>
      </c>
      <c r="AE148" s="270">
        <v>43936</v>
      </c>
      <c r="AF148" t="s">
        <v>252</v>
      </c>
      <c r="AI148" s="69"/>
      <c r="BD148" s="69"/>
      <c r="BE148" s="69"/>
      <c r="BF148" s="69"/>
      <c r="BG148" s="69"/>
    </row>
    <row r="149" spans="3:59" x14ac:dyDescent="0.25">
      <c r="AC149" s="291">
        <v>652474</v>
      </c>
      <c r="AD149" s="293">
        <v>32712</v>
      </c>
      <c r="AE149" s="217">
        <v>43936</v>
      </c>
      <c r="AF149" t="s">
        <v>320</v>
      </c>
      <c r="AH149" s="217">
        <f>AE149+14</f>
        <v>43950</v>
      </c>
      <c r="AI149" s="69"/>
      <c r="BA149" s="69"/>
      <c r="BB149" s="69"/>
      <c r="BC149" s="69"/>
      <c r="BD149" s="69"/>
      <c r="BE149" s="69"/>
      <c r="BF149" s="69"/>
      <c r="BG149" s="69"/>
    </row>
    <row r="150" spans="3:59" x14ac:dyDescent="0.25">
      <c r="AC150" s="291">
        <v>682454</v>
      </c>
      <c r="AD150" s="293">
        <v>34905</v>
      </c>
      <c r="AE150" s="270">
        <v>43937</v>
      </c>
      <c r="AF150" t="s">
        <v>294</v>
      </c>
      <c r="BD150" s="69"/>
      <c r="BE150" s="69"/>
      <c r="BF150" s="69"/>
      <c r="BG150" s="69"/>
    </row>
    <row r="151" spans="3:59" x14ac:dyDescent="0.25">
      <c r="AC151" s="291">
        <v>714822</v>
      </c>
      <c r="AD151" s="293">
        <v>37448</v>
      </c>
      <c r="AE151" s="296">
        <v>43938</v>
      </c>
      <c r="AF151" t="s">
        <v>529</v>
      </c>
      <c r="BD151" s="69"/>
      <c r="BE151" s="69"/>
      <c r="BF151" s="69"/>
      <c r="BG151" s="69"/>
    </row>
    <row r="152" spans="3:59" x14ac:dyDescent="0.25">
      <c r="AC152" s="291">
        <v>714822</v>
      </c>
      <c r="AD152" s="293">
        <v>37448</v>
      </c>
      <c r="AE152" s="270">
        <v>43938</v>
      </c>
      <c r="AF152" t="s">
        <v>251</v>
      </c>
      <c r="BD152" s="69"/>
      <c r="BE152" s="69"/>
      <c r="BF152" s="69"/>
      <c r="BG152" s="69"/>
    </row>
    <row r="153" spans="3:59" x14ac:dyDescent="0.25">
      <c r="AC153" s="291">
        <v>714822</v>
      </c>
      <c r="AD153" s="293">
        <v>37448</v>
      </c>
      <c r="AE153" s="270">
        <v>43938</v>
      </c>
      <c r="AF153" t="s">
        <v>352</v>
      </c>
      <c r="AJ153" s="69"/>
      <c r="AK153" s="69"/>
      <c r="AL153" s="69"/>
      <c r="AM153" s="69"/>
      <c r="AN153" s="69"/>
      <c r="AO153" s="69"/>
      <c r="AP153" s="69"/>
      <c r="AQ153" s="69"/>
      <c r="AR153" s="69"/>
      <c r="AS153" s="69"/>
      <c r="AT153" s="69"/>
      <c r="AU153" s="69"/>
      <c r="AV153" s="69"/>
      <c r="AW153" s="69"/>
      <c r="AX153" s="69"/>
      <c r="AY153" s="69"/>
      <c r="AZ153" s="69"/>
      <c r="BD153" s="69"/>
      <c r="BE153" s="69"/>
      <c r="BF153" s="69"/>
      <c r="BG153" s="69"/>
    </row>
    <row r="154" spans="3:59" x14ac:dyDescent="0.25">
      <c r="AC154" s="291">
        <v>743901</v>
      </c>
      <c r="AD154" s="293">
        <v>39331</v>
      </c>
      <c r="AE154" s="296">
        <v>43939</v>
      </c>
      <c r="AF154" t="s">
        <v>530</v>
      </c>
      <c r="AJ154" s="69"/>
      <c r="AK154" s="69"/>
      <c r="AL154" s="69"/>
      <c r="AM154" s="69"/>
      <c r="AN154" s="69"/>
      <c r="AO154" s="69"/>
      <c r="AP154" s="69"/>
      <c r="AQ154" s="69"/>
      <c r="AR154" s="69"/>
      <c r="AS154" s="69"/>
      <c r="AT154" s="69"/>
      <c r="AU154" s="69"/>
      <c r="AV154" s="69"/>
      <c r="AW154" s="69"/>
      <c r="AX154" s="69"/>
      <c r="AY154" s="69"/>
      <c r="AZ154" s="69"/>
      <c r="BD154" s="69"/>
      <c r="BE154" s="69"/>
      <c r="BF154" s="69"/>
      <c r="BG154" s="69"/>
    </row>
    <row r="155" spans="3:59" x14ac:dyDescent="0.25">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c r="AA155" s="69"/>
      <c r="AB155" s="69"/>
      <c r="AC155" s="291">
        <v>743901</v>
      </c>
      <c r="AD155" s="293">
        <v>39331</v>
      </c>
      <c r="AE155" s="270">
        <v>43939</v>
      </c>
      <c r="AF155" s="69" t="s">
        <v>256</v>
      </c>
      <c r="AJ155" s="69"/>
      <c r="AK155" s="69"/>
      <c r="AL155" s="69"/>
      <c r="AM155" s="69"/>
      <c r="AN155" s="69"/>
      <c r="BC155" s="69"/>
    </row>
    <row r="156" spans="3:59" x14ac:dyDescent="0.25">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c r="AA156" s="69"/>
      <c r="AB156" s="69"/>
      <c r="AC156" s="291">
        <v>743901</v>
      </c>
      <c r="AD156" s="293">
        <v>39331</v>
      </c>
      <c r="AE156" s="270">
        <v>43939</v>
      </c>
      <c r="AF156" s="69" t="s">
        <v>361</v>
      </c>
      <c r="AJ156" s="69"/>
      <c r="AK156" s="69"/>
      <c r="AL156" s="69"/>
      <c r="AM156" s="69"/>
      <c r="AN156" s="69"/>
      <c r="BC156" s="69"/>
    </row>
    <row r="157" spans="3:59" x14ac:dyDescent="0.25">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c r="AA157" s="69"/>
      <c r="AB157" s="69"/>
      <c r="AD157" s="291">
        <v>770014</v>
      </c>
      <c r="AE157" s="293">
        <v>40901</v>
      </c>
      <c r="AF157" s="270">
        <v>43940</v>
      </c>
      <c r="AG157" s="47" t="s">
        <v>504</v>
      </c>
      <c r="AJ157" s="69"/>
      <c r="AK157" s="69"/>
      <c r="AL157" s="69"/>
      <c r="AM157" s="69"/>
      <c r="AN157" s="69"/>
      <c r="BC157" s="69"/>
    </row>
    <row r="158" spans="3:59" x14ac:dyDescent="0.25">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c r="AD158" s="291">
        <v>798145</v>
      </c>
      <c r="AE158" s="293">
        <v>42853</v>
      </c>
      <c r="AF158" s="270">
        <v>43941</v>
      </c>
      <c r="AG158" s="69" t="s">
        <v>304</v>
      </c>
      <c r="AJ158" s="69"/>
      <c r="AK158" s="69"/>
      <c r="AL158" s="69"/>
      <c r="AM158" s="69"/>
      <c r="AN158" s="69"/>
    </row>
    <row r="159" spans="3:59" x14ac:dyDescent="0.25">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291">
        <v>798145</v>
      </c>
      <c r="AE159" s="293">
        <v>42853</v>
      </c>
      <c r="AF159" s="270">
        <v>43941</v>
      </c>
      <c r="AG159" s="69" t="s">
        <v>518</v>
      </c>
      <c r="AJ159" s="69"/>
      <c r="AK159" s="69"/>
      <c r="AL159" s="69"/>
      <c r="AM159" s="69"/>
      <c r="AN159" s="69"/>
    </row>
    <row r="160" spans="3:59" x14ac:dyDescent="0.25">
      <c r="AD160" s="291">
        <v>824229</v>
      </c>
      <c r="AE160" s="293">
        <v>45536</v>
      </c>
      <c r="AF160" s="217">
        <v>43942</v>
      </c>
      <c r="AG160" t="s">
        <v>293</v>
      </c>
      <c r="AH160" s="69"/>
      <c r="AI160" s="69"/>
      <c r="AJ160" s="69"/>
      <c r="AK160" s="69"/>
      <c r="AL160" s="69"/>
      <c r="AM160" s="69"/>
      <c r="AN160" s="69"/>
      <c r="BA160" s="69"/>
      <c r="BB160" s="69"/>
    </row>
    <row r="161" spans="3:59" x14ac:dyDescent="0.25">
      <c r="AD161" s="291">
        <v>854385</v>
      </c>
      <c r="AE161" s="293">
        <v>47894</v>
      </c>
      <c r="AF161" s="217">
        <v>43943</v>
      </c>
      <c r="AG161" t="s">
        <v>290</v>
      </c>
      <c r="BA161" s="69"/>
      <c r="BB161" s="69"/>
    </row>
    <row r="162" spans="3:59" x14ac:dyDescent="0.25">
      <c r="AD162" s="291">
        <v>854385</v>
      </c>
      <c r="AE162" s="293">
        <v>47894</v>
      </c>
      <c r="AF162" s="270">
        <v>43943</v>
      </c>
      <c r="AG162" s="69" t="s">
        <v>302</v>
      </c>
      <c r="BA162" s="69"/>
      <c r="BB162" s="69"/>
    </row>
    <row r="163" spans="3:59" x14ac:dyDescent="0.25">
      <c r="AD163" s="291">
        <v>854385</v>
      </c>
      <c r="AE163" s="293">
        <v>47894</v>
      </c>
      <c r="AF163" s="270">
        <v>43943</v>
      </c>
      <c r="AG163" t="s">
        <v>288</v>
      </c>
      <c r="BA163" s="69"/>
      <c r="BB163" s="69"/>
    </row>
    <row r="164" spans="3:59" x14ac:dyDescent="0.25">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c r="AD164" s="69"/>
      <c r="AE164" s="291">
        <v>886274</v>
      </c>
      <c r="AF164" s="292">
        <v>50234</v>
      </c>
      <c r="AG164" s="270">
        <v>43944</v>
      </c>
      <c r="AH164" t="s">
        <v>291</v>
      </c>
      <c r="BA164" s="69"/>
      <c r="BB164" s="69"/>
    </row>
    <row r="165" spans="3:59" x14ac:dyDescent="0.25">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c r="AD165" s="69"/>
      <c r="AE165" s="291">
        <v>886274</v>
      </c>
      <c r="AF165" s="293">
        <v>50234</v>
      </c>
      <c r="AG165" s="270">
        <v>43944</v>
      </c>
      <c r="AH165" t="s">
        <v>292</v>
      </c>
      <c r="AK165" s="69"/>
      <c r="AL165" s="69"/>
      <c r="AM165" s="69"/>
      <c r="AN165" s="69"/>
    </row>
    <row r="166" spans="3:59" x14ac:dyDescent="0.25">
      <c r="AE166" s="291">
        <v>886274</v>
      </c>
      <c r="AF166" s="293">
        <v>50234</v>
      </c>
      <c r="AG166" s="217">
        <v>43944</v>
      </c>
      <c r="AH166" t="s">
        <v>319</v>
      </c>
      <c r="AK166" s="69"/>
      <c r="AL166" s="69"/>
      <c r="AM166" s="69"/>
      <c r="AN166" s="69"/>
    </row>
    <row r="167" spans="3:59" x14ac:dyDescent="0.25">
      <c r="AE167" s="291">
        <v>925232</v>
      </c>
      <c r="AF167" s="293">
        <v>52191</v>
      </c>
      <c r="AG167" s="270">
        <v>43945</v>
      </c>
      <c r="AH167" t="s">
        <v>305</v>
      </c>
    </row>
    <row r="168" spans="3:59" x14ac:dyDescent="0.25">
      <c r="AE168" s="291">
        <v>925232</v>
      </c>
      <c r="AF168" s="293">
        <v>52191</v>
      </c>
      <c r="AG168" s="270">
        <v>43945</v>
      </c>
      <c r="AH168" t="s">
        <v>505</v>
      </c>
    </row>
    <row r="169" spans="3:59" x14ac:dyDescent="0.25">
      <c r="AE169" s="291">
        <v>925232</v>
      </c>
      <c r="AF169" s="293">
        <v>52191</v>
      </c>
      <c r="AG169" s="217">
        <v>43945</v>
      </c>
      <c r="AH169" s="69" t="s">
        <v>310</v>
      </c>
    </row>
    <row r="170" spans="3:59" x14ac:dyDescent="0.25">
      <c r="AE170" s="291">
        <v>925232</v>
      </c>
      <c r="AF170" s="293">
        <v>52191</v>
      </c>
      <c r="AG170" s="217">
        <v>43945</v>
      </c>
      <c r="AH170" s="69" t="s">
        <v>395</v>
      </c>
    </row>
    <row r="171" spans="3:59" x14ac:dyDescent="0.25">
      <c r="AE171" s="291">
        <v>925232</v>
      </c>
      <c r="AF171" s="293">
        <v>52191</v>
      </c>
      <c r="AG171" s="217">
        <v>43945</v>
      </c>
      <c r="AH171" s="69" t="s">
        <v>414</v>
      </c>
    </row>
    <row r="172" spans="3:59" x14ac:dyDescent="0.25">
      <c r="AE172" s="291">
        <v>960651</v>
      </c>
      <c r="AF172" s="293">
        <v>54191</v>
      </c>
      <c r="AG172" s="165">
        <v>43946</v>
      </c>
      <c r="AH172" s="69" t="s">
        <v>307</v>
      </c>
      <c r="AO172" s="69"/>
      <c r="AP172" s="69"/>
      <c r="AQ172" s="69"/>
      <c r="AR172" s="69"/>
      <c r="AS172" s="69"/>
      <c r="AT172" s="69"/>
      <c r="AU172" s="69"/>
      <c r="AV172" s="69"/>
      <c r="AW172" s="69"/>
      <c r="AX172" s="69"/>
      <c r="AY172" s="69"/>
      <c r="AZ172" s="69"/>
    </row>
    <row r="173" spans="3:59" x14ac:dyDescent="0.25">
      <c r="AE173" s="291">
        <v>960651</v>
      </c>
      <c r="AF173" s="293">
        <v>54191</v>
      </c>
      <c r="AG173" s="271">
        <v>43946</v>
      </c>
      <c r="AH173" s="69" t="s">
        <v>313</v>
      </c>
      <c r="AO173" s="69"/>
      <c r="AP173" s="69"/>
      <c r="AQ173" s="69"/>
      <c r="AR173" s="69"/>
      <c r="AS173" s="69"/>
      <c r="AT173" s="69"/>
      <c r="AU173" s="69"/>
      <c r="AV173" s="69"/>
      <c r="AW173" s="69"/>
      <c r="AX173" s="69"/>
      <c r="AY173" s="69"/>
      <c r="AZ173" s="69"/>
      <c r="BA173" s="69"/>
      <c r="BB173" s="69"/>
    </row>
    <row r="174" spans="3:59" s="69" customFormat="1" x14ac:dyDescent="0.25">
      <c r="C174"/>
      <c r="D174"/>
      <c r="E174"/>
      <c r="F174"/>
      <c r="G174"/>
      <c r="H174"/>
      <c r="I174"/>
      <c r="J174"/>
      <c r="K174"/>
      <c r="L174"/>
      <c r="M174"/>
      <c r="N174"/>
      <c r="O174"/>
      <c r="P174"/>
      <c r="Q174"/>
      <c r="R174"/>
      <c r="S174"/>
      <c r="T174"/>
      <c r="U174"/>
      <c r="V174"/>
      <c r="W174"/>
      <c r="X174"/>
      <c r="Y174"/>
      <c r="Z174"/>
      <c r="AA174"/>
      <c r="AB174"/>
      <c r="AC174"/>
      <c r="AD174"/>
      <c r="AE174" s="291">
        <v>960651</v>
      </c>
      <c r="AF174" s="293">
        <v>54191</v>
      </c>
      <c r="AG174" s="271">
        <v>43946</v>
      </c>
      <c r="AH174" s="69" t="s">
        <v>312</v>
      </c>
      <c r="AI174"/>
      <c r="AJ174"/>
      <c r="AK174"/>
      <c r="AL174"/>
      <c r="AM174"/>
      <c r="AN174"/>
      <c r="BA174"/>
      <c r="BB174"/>
      <c r="BC174"/>
    </row>
    <row r="175" spans="3:59" s="69" customFormat="1" x14ac:dyDescent="0.25">
      <c r="C175"/>
      <c r="D175"/>
      <c r="E175"/>
      <c r="F175"/>
      <c r="G175"/>
      <c r="H175"/>
      <c r="I175"/>
      <c r="J175"/>
      <c r="K175"/>
      <c r="L175"/>
      <c r="M175"/>
      <c r="N175"/>
      <c r="O175"/>
      <c r="P175"/>
      <c r="Q175"/>
      <c r="R175"/>
      <c r="S175"/>
      <c r="T175"/>
      <c r="U175"/>
      <c r="V175"/>
      <c r="W175"/>
      <c r="X175"/>
      <c r="Y175"/>
      <c r="Z175"/>
      <c r="AA175"/>
      <c r="AB175"/>
      <c r="AC175"/>
      <c r="AD175"/>
      <c r="AE175"/>
      <c r="AF175" s="290">
        <v>1010356</v>
      </c>
      <c r="AG175" s="293">
        <v>56795</v>
      </c>
      <c r="AH175" s="271">
        <v>43948</v>
      </c>
      <c r="AI175" t="s">
        <v>311</v>
      </c>
      <c r="AJ175"/>
      <c r="AK175"/>
      <c r="AL175"/>
      <c r="AM175"/>
      <c r="AN175"/>
      <c r="BA175"/>
      <c r="BB175"/>
      <c r="BC175"/>
      <c r="BD175"/>
      <c r="BE175"/>
      <c r="BF175"/>
      <c r="BG175"/>
    </row>
    <row r="176" spans="3:59" s="69" customFormat="1" x14ac:dyDescent="0.25">
      <c r="C176"/>
      <c r="D176"/>
      <c r="E176"/>
      <c r="F176"/>
      <c r="G176"/>
      <c r="H176"/>
      <c r="I176"/>
      <c r="J176"/>
      <c r="K176"/>
      <c r="L176"/>
      <c r="M176"/>
      <c r="N176"/>
      <c r="O176"/>
      <c r="P176"/>
      <c r="Q176"/>
      <c r="R176"/>
      <c r="S176"/>
      <c r="T176"/>
      <c r="U176"/>
      <c r="V176"/>
      <c r="W176"/>
      <c r="X176"/>
      <c r="Y176"/>
      <c r="Z176"/>
      <c r="AA176"/>
      <c r="AB176"/>
      <c r="AC176"/>
      <c r="AD176"/>
      <c r="AE176"/>
      <c r="AF176" s="291">
        <v>1010356</v>
      </c>
      <c r="AG176" s="293">
        <v>56795</v>
      </c>
      <c r="AH176" s="270">
        <v>43948</v>
      </c>
      <c r="AI176" s="69" t="s">
        <v>301</v>
      </c>
      <c r="AJ176"/>
      <c r="AK176"/>
      <c r="AL176"/>
      <c r="AM176"/>
      <c r="AN176"/>
      <c r="AO176"/>
      <c r="AP176"/>
      <c r="AQ176" s="217"/>
      <c r="AR176" s="217"/>
      <c r="AS176" s="217"/>
      <c r="AT176" s="217"/>
      <c r="AU176" s="217"/>
      <c r="AV176"/>
      <c r="AW176"/>
      <c r="AX176"/>
      <c r="AY176"/>
      <c r="AZ176"/>
      <c r="BA176"/>
      <c r="BB176"/>
      <c r="BC176"/>
      <c r="BD176"/>
      <c r="BE176"/>
      <c r="BF176"/>
      <c r="BG176"/>
    </row>
    <row r="177" spans="3:59" s="69" customFormat="1" x14ac:dyDescent="0.25">
      <c r="C177"/>
      <c r="D177"/>
      <c r="E177"/>
      <c r="F177"/>
      <c r="G177"/>
      <c r="H177"/>
      <c r="I177"/>
      <c r="J177"/>
      <c r="K177"/>
      <c r="L177"/>
      <c r="M177"/>
      <c r="N177"/>
      <c r="O177"/>
      <c r="P177"/>
      <c r="Q177"/>
      <c r="R177"/>
      <c r="S177"/>
      <c r="T177"/>
      <c r="U177"/>
      <c r="V177"/>
      <c r="W177"/>
      <c r="X177"/>
      <c r="Y177"/>
      <c r="Z177"/>
      <c r="AA177"/>
      <c r="AB177"/>
      <c r="AC177"/>
      <c r="AD177"/>
      <c r="AF177" s="291">
        <v>1035765</v>
      </c>
      <c r="AG177" s="293">
        <v>59265</v>
      </c>
      <c r="AH177" s="192">
        <v>43949</v>
      </c>
      <c r="AI177" t="s">
        <v>531</v>
      </c>
      <c r="AJ177"/>
      <c r="AO177"/>
      <c r="AP177"/>
      <c r="AQ177"/>
      <c r="AR177"/>
      <c r="AS177"/>
      <c r="AT177"/>
      <c r="AU177"/>
      <c r="AV177"/>
      <c r="AW177"/>
      <c r="AX177"/>
      <c r="AY177"/>
      <c r="AZ177"/>
      <c r="BA177"/>
      <c r="BB177"/>
      <c r="BC177"/>
      <c r="BD177"/>
      <c r="BE177"/>
      <c r="BF177"/>
      <c r="BG177"/>
    </row>
    <row r="178" spans="3:59" s="69" customFormat="1" x14ac:dyDescent="0.25">
      <c r="C178"/>
      <c r="D178"/>
      <c r="E178"/>
      <c r="F178"/>
      <c r="G178"/>
      <c r="H178"/>
      <c r="I178"/>
      <c r="J178"/>
      <c r="K178"/>
      <c r="L178"/>
      <c r="M178"/>
      <c r="N178"/>
      <c r="O178"/>
      <c r="P178"/>
      <c r="Q178"/>
      <c r="R178"/>
      <c r="S178"/>
      <c r="T178"/>
      <c r="U178"/>
      <c r="V178"/>
      <c r="W178"/>
      <c r="X178"/>
      <c r="Y178"/>
      <c r="Z178"/>
      <c r="AA178"/>
      <c r="AB178"/>
      <c r="AC178"/>
      <c r="AD178"/>
      <c r="AE178"/>
      <c r="AF178" s="291">
        <v>1035765</v>
      </c>
      <c r="AG178" s="293">
        <v>59265</v>
      </c>
      <c r="AH178" s="270">
        <v>43949</v>
      </c>
      <c r="AI178" t="s">
        <v>308</v>
      </c>
      <c r="AL178"/>
      <c r="AM178"/>
      <c r="AN178"/>
      <c r="AO178"/>
      <c r="AP178"/>
      <c r="AQ178"/>
      <c r="AR178"/>
      <c r="AS178"/>
      <c r="AT178"/>
      <c r="AU178"/>
      <c r="AV178"/>
      <c r="AW178"/>
      <c r="AX178"/>
      <c r="AY178"/>
      <c r="AZ178"/>
      <c r="BC178"/>
      <c r="BD178"/>
      <c r="BE178"/>
      <c r="BF178"/>
      <c r="BG178"/>
    </row>
    <row r="179" spans="3:59" s="69" customFormat="1" x14ac:dyDescent="0.25">
      <c r="C179"/>
      <c r="D179"/>
      <c r="E179"/>
      <c r="F179"/>
      <c r="G179"/>
      <c r="H179"/>
      <c r="I179"/>
      <c r="J179"/>
      <c r="K179"/>
      <c r="L179"/>
      <c r="M179"/>
      <c r="N179"/>
      <c r="O179"/>
      <c r="P179"/>
      <c r="Q179"/>
      <c r="R179"/>
      <c r="S179"/>
      <c r="T179"/>
      <c r="U179"/>
      <c r="V179"/>
      <c r="W179"/>
      <c r="X179"/>
      <c r="Y179"/>
      <c r="Z179"/>
      <c r="AA179"/>
      <c r="AB179"/>
      <c r="AC179"/>
      <c r="AD179"/>
      <c r="AE179"/>
      <c r="AF179" s="291">
        <v>1035765</v>
      </c>
      <c r="AG179" s="293">
        <v>59265</v>
      </c>
      <c r="AH179" s="217">
        <v>43949</v>
      </c>
      <c r="AI179" t="s">
        <v>318</v>
      </c>
      <c r="AJ179"/>
      <c r="AK179"/>
      <c r="AL179"/>
      <c r="AM179"/>
      <c r="AN179"/>
      <c r="AO179"/>
      <c r="AP179"/>
      <c r="AQ179"/>
      <c r="AR179"/>
      <c r="AS179"/>
      <c r="AT179"/>
      <c r="AU179"/>
      <c r="AV179"/>
      <c r="AW179"/>
      <c r="AX179"/>
      <c r="AY179"/>
      <c r="AZ179"/>
      <c r="BA179"/>
      <c r="BB179"/>
      <c r="BC179"/>
      <c r="BD179"/>
      <c r="BE179"/>
      <c r="BF179"/>
      <c r="BG179"/>
    </row>
    <row r="180" spans="3:59" s="69" customFormat="1" x14ac:dyDescent="0.25">
      <c r="C180"/>
      <c r="D180"/>
      <c r="E180"/>
      <c r="F180"/>
      <c r="G180"/>
      <c r="H180"/>
      <c r="I180"/>
      <c r="J180"/>
      <c r="K180"/>
      <c r="L180"/>
      <c r="M180"/>
      <c r="N180"/>
      <c r="O180"/>
      <c r="P180"/>
      <c r="Q180"/>
      <c r="R180"/>
      <c r="S180"/>
      <c r="T180"/>
      <c r="U180"/>
      <c r="V180"/>
      <c r="W180"/>
      <c r="X180"/>
      <c r="Y180"/>
      <c r="Z180"/>
      <c r="AA180"/>
      <c r="AB180"/>
      <c r="AC180"/>
      <c r="AD180"/>
      <c r="AE180"/>
      <c r="AF180" s="291">
        <v>1064194</v>
      </c>
      <c r="AG180" s="293">
        <v>61655</v>
      </c>
      <c r="AH180" s="192">
        <v>43950</v>
      </c>
      <c r="AI180" t="s">
        <v>532</v>
      </c>
      <c r="AJ180"/>
      <c r="AK180"/>
      <c r="AL180"/>
      <c r="AM180"/>
      <c r="AN180"/>
      <c r="AO180"/>
      <c r="AP180"/>
      <c r="AQ180"/>
      <c r="AR180"/>
      <c r="AS180"/>
      <c r="AT180"/>
      <c r="AU180"/>
      <c r="AV180"/>
      <c r="AW180"/>
      <c r="AX180"/>
      <c r="AY180"/>
      <c r="AZ180"/>
      <c r="BA180"/>
      <c r="BB180"/>
      <c r="BC180"/>
      <c r="BD180"/>
      <c r="BE180"/>
      <c r="BF180"/>
      <c r="BG180"/>
    </row>
    <row r="181" spans="3:59" s="69" customFormat="1" x14ac:dyDescent="0.25">
      <c r="C181"/>
      <c r="D181"/>
      <c r="E181"/>
      <c r="F181"/>
      <c r="G181"/>
      <c r="H181"/>
      <c r="I181"/>
      <c r="J181"/>
      <c r="K181"/>
      <c r="L181"/>
      <c r="M181"/>
      <c r="N181"/>
      <c r="O181"/>
      <c r="P181"/>
      <c r="Q181"/>
      <c r="R181"/>
      <c r="S181"/>
      <c r="T181"/>
      <c r="U181"/>
      <c r="V181"/>
      <c r="W181"/>
      <c r="X181"/>
      <c r="Y181"/>
      <c r="Z181"/>
      <c r="AA181"/>
      <c r="AB181"/>
      <c r="AC181"/>
      <c r="AD181"/>
      <c r="AE181"/>
      <c r="AF181" s="291">
        <v>1064194</v>
      </c>
      <c r="AG181" s="293">
        <v>61655</v>
      </c>
      <c r="AH181" s="270">
        <v>43950</v>
      </c>
      <c r="AI181" t="s">
        <v>517</v>
      </c>
      <c r="AJ181"/>
      <c r="AK181"/>
      <c r="AL181"/>
      <c r="AM181"/>
      <c r="AN181"/>
      <c r="AO181"/>
      <c r="AP181"/>
      <c r="AQ181"/>
      <c r="AR181"/>
      <c r="AS181"/>
      <c r="AT181"/>
      <c r="AU181"/>
      <c r="AV181"/>
      <c r="AW181"/>
      <c r="AX181"/>
      <c r="AY181"/>
      <c r="AZ181"/>
      <c r="BA181"/>
      <c r="BB181"/>
      <c r="BC181"/>
      <c r="BD181"/>
      <c r="BE181"/>
      <c r="BF181"/>
      <c r="BG181"/>
    </row>
    <row r="182" spans="3:59" s="69" customFormat="1" x14ac:dyDescent="0.25">
      <c r="AF182" s="291">
        <v>1095023</v>
      </c>
      <c r="AG182" s="293">
        <v>63856</v>
      </c>
      <c r="AH182" s="270">
        <v>43951</v>
      </c>
      <c r="AI182" t="s">
        <v>314</v>
      </c>
      <c r="AJ182"/>
      <c r="AK182"/>
      <c r="AO182"/>
      <c r="AP182"/>
      <c r="AQ182"/>
      <c r="AR182"/>
      <c r="AS182"/>
      <c r="AT182"/>
      <c r="AU182"/>
      <c r="AV182"/>
      <c r="AW182"/>
      <c r="AX182"/>
      <c r="AY182"/>
      <c r="AZ182"/>
      <c r="BA182"/>
      <c r="BB182"/>
      <c r="BC182"/>
      <c r="BD182"/>
      <c r="BE182"/>
      <c r="BF182"/>
      <c r="BG182"/>
    </row>
    <row r="183" spans="3:59" s="69" customFormat="1" x14ac:dyDescent="0.25">
      <c r="AF183" s="291">
        <v>1095023</v>
      </c>
      <c r="AG183" s="293">
        <v>63856</v>
      </c>
      <c r="AH183" s="270">
        <v>43951</v>
      </c>
      <c r="AI183" t="s">
        <v>315</v>
      </c>
      <c r="BA183"/>
      <c r="BB183"/>
      <c r="BD183"/>
      <c r="BE183"/>
      <c r="BF183"/>
      <c r="BG183"/>
    </row>
    <row r="184" spans="3:59" s="69" customFormat="1" x14ac:dyDescent="0.25">
      <c r="C184"/>
      <c r="D184"/>
      <c r="E184"/>
      <c r="F184"/>
      <c r="G184"/>
      <c r="H184"/>
      <c r="I184"/>
      <c r="J184"/>
      <c r="K184"/>
      <c r="L184"/>
      <c r="M184"/>
      <c r="N184"/>
      <c r="O184"/>
      <c r="P184"/>
      <c r="Q184"/>
      <c r="R184"/>
      <c r="S184"/>
      <c r="T184"/>
      <c r="U184"/>
      <c r="V184"/>
      <c r="W184"/>
      <c r="X184"/>
      <c r="Y184"/>
      <c r="Z184"/>
      <c r="AA184"/>
      <c r="AB184"/>
      <c r="AC184"/>
      <c r="AD184"/>
      <c r="AE184"/>
      <c r="AF184" s="291">
        <v>1095023</v>
      </c>
      <c r="AG184" s="293">
        <v>63856</v>
      </c>
      <c r="AH184" s="217">
        <v>43951</v>
      </c>
      <c r="AI184" t="s">
        <v>317</v>
      </c>
      <c r="AL184"/>
      <c r="AM184"/>
      <c r="AN184"/>
      <c r="BA184"/>
      <c r="BB184"/>
      <c r="BD184"/>
      <c r="BE184"/>
      <c r="BF184"/>
      <c r="BG184"/>
    </row>
    <row r="185" spans="3:59" s="69" customFormat="1" x14ac:dyDescent="0.25">
      <c r="C185"/>
      <c r="D185"/>
      <c r="E185"/>
      <c r="F185"/>
      <c r="G185"/>
      <c r="H185"/>
      <c r="I185"/>
      <c r="J185"/>
      <c r="K185"/>
      <c r="L185"/>
      <c r="M185"/>
      <c r="N185"/>
      <c r="O185"/>
      <c r="P185"/>
      <c r="Q185"/>
      <c r="R185"/>
      <c r="S185"/>
      <c r="T185"/>
      <c r="U185"/>
      <c r="V185"/>
      <c r="W185"/>
      <c r="X185"/>
      <c r="Y185"/>
      <c r="Z185"/>
      <c r="AA185"/>
      <c r="AB185"/>
      <c r="AC185"/>
      <c r="AD185"/>
      <c r="AE185"/>
      <c r="AF185" s="291">
        <v>1095023</v>
      </c>
      <c r="AG185" s="293">
        <v>63856</v>
      </c>
      <c r="AH185" s="165">
        <v>43951</v>
      </c>
      <c r="AI185" s="69" t="s">
        <v>316</v>
      </c>
      <c r="AJ185"/>
      <c r="AK185"/>
      <c r="AL185"/>
      <c r="AM185"/>
      <c r="AN185"/>
      <c r="AO185"/>
      <c r="AP185"/>
      <c r="AQ185"/>
      <c r="AR185"/>
      <c r="AS185"/>
      <c r="AT185"/>
      <c r="AU185"/>
      <c r="AV185"/>
      <c r="AW185"/>
      <c r="AX185"/>
      <c r="AY185"/>
      <c r="AZ185"/>
      <c r="BA185"/>
      <c r="BB185"/>
      <c r="BC185"/>
      <c r="BD185"/>
      <c r="BE185"/>
      <c r="BF185"/>
      <c r="BG185"/>
    </row>
    <row r="186" spans="3:59" s="69" customFormat="1" x14ac:dyDescent="0.25">
      <c r="C186"/>
      <c r="D186"/>
      <c r="E186"/>
      <c r="F186"/>
      <c r="G186"/>
      <c r="H186"/>
      <c r="I186"/>
      <c r="J186"/>
      <c r="K186"/>
      <c r="L186"/>
      <c r="M186"/>
      <c r="N186"/>
      <c r="O186"/>
      <c r="P186"/>
      <c r="Q186"/>
      <c r="R186"/>
      <c r="S186"/>
      <c r="T186"/>
      <c r="U186"/>
      <c r="V186"/>
      <c r="W186"/>
      <c r="X186"/>
      <c r="Y186"/>
      <c r="Z186"/>
      <c r="AA186"/>
      <c r="AB186"/>
      <c r="AC186"/>
      <c r="AD186"/>
      <c r="AE186"/>
      <c r="AF186" s="291">
        <v>1095023</v>
      </c>
      <c r="AG186" s="293">
        <v>63856</v>
      </c>
      <c r="AH186" s="270">
        <v>43951</v>
      </c>
      <c r="AI186" s="69" t="s">
        <v>345</v>
      </c>
      <c r="AJ186"/>
      <c r="AK186"/>
      <c r="AL186"/>
      <c r="AM186"/>
      <c r="AN186"/>
      <c r="AO186"/>
      <c r="AP186"/>
      <c r="AQ186"/>
      <c r="AR186"/>
      <c r="AS186"/>
      <c r="AT186"/>
      <c r="AU186"/>
      <c r="AV186"/>
      <c r="AW186"/>
      <c r="AX186"/>
      <c r="AY186"/>
      <c r="AZ186"/>
      <c r="BC186"/>
      <c r="BD186"/>
      <c r="BE186"/>
      <c r="BF186"/>
      <c r="BG186"/>
    </row>
    <row r="187" spans="3:59" s="69" customFormat="1" x14ac:dyDescent="0.25">
      <c r="C187"/>
      <c r="D187"/>
      <c r="E187"/>
      <c r="F187"/>
      <c r="G187"/>
      <c r="H187"/>
      <c r="I187"/>
      <c r="J187"/>
      <c r="K187"/>
      <c r="L187"/>
      <c r="M187"/>
      <c r="N187"/>
      <c r="O187"/>
      <c r="P187"/>
      <c r="Q187"/>
      <c r="R187"/>
      <c r="S187"/>
      <c r="T187"/>
      <c r="U187"/>
      <c r="V187"/>
      <c r="W187"/>
      <c r="X187"/>
      <c r="Y187"/>
      <c r="Z187"/>
      <c r="AA187"/>
      <c r="AB187"/>
      <c r="AC187"/>
      <c r="AD187"/>
      <c r="AE187"/>
      <c r="AF187" s="291">
        <v>1095023</v>
      </c>
      <c r="AG187" s="293">
        <v>63856</v>
      </c>
      <c r="AH187" s="217">
        <v>43951</v>
      </c>
      <c r="AI187" s="69" t="s">
        <v>337</v>
      </c>
      <c r="AL187"/>
      <c r="AM187"/>
      <c r="AN187"/>
      <c r="AO187"/>
      <c r="AP187"/>
      <c r="AQ187"/>
      <c r="AR187"/>
      <c r="AS187"/>
      <c r="AT187"/>
      <c r="AU187"/>
      <c r="AV187"/>
      <c r="AW187"/>
      <c r="AX187"/>
      <c r="AY187"/>
      <c r="AZ187"/>
      <c r="BA187"/>
      <c r="BB187"/>
      <c r="BD187"/>
      <c r="BE187"/>
      <c r="BF187"/>
      <c r="BG187"/>
    </row>
    <row r="188" spans="3:59" s="69" customFormat="1" x14ac:dyDescent="0.25">
      <c r="C188"/>
      <c r="D188"/>
      <c r="E188"/>
      <c r="F188"/>
      <c r="G188"/>
      <c r="H188"/>
      <c r="I188"/>
      <c r="J188"/>
      <c r="K188"/>
      <c r="L188"/>
      <c r="M188"/>
      <c r="N188"/>
      <c r="O188"/>
      <c r="P188"/>
      <c r="Q188"/>
      <c r="R188"/>
      <c r="S188"/>
      <c r="T188"/>
      <c r="U188"/>
      <c r="V188"/>
      <c r="W188"/>
      <c r="X188"/>
      <c r="Y188"/>
      <c r="Z188"/>
      <c r="AA188"/>
      <c r="AB188"/>
      <c r="AC188"/>
      <c r="AD188"/>
      <c r="AE188"/>
      <c r="AF188" s="291">
        <v>1131030</v>
      </c>
      <c r="AG188" s="293">
        <v>65753</v>
      </c>
      <c r="AH188" s="217">
        <v>43952</v>
      </c>
      <c r="AI188" t="s">
        <v>321</v>
      </c>
      <c r="AJ188"/>
      <c r="AK188"/>
      <c r="AL188"/>
      <c r="AM188"/>
      <c r="AN188"/>
      <c r="AO188"/>
      <c r="AP188"/>
      <c r="AQ188"/>
      <c r="AR188"/>
      <c r="AS188"/>
      <c r="AT188"/>
      <c r="AU188"/>
      <c r="AV188"/>
      <c r="AW188"/>
      <c r="AX188"/>
      <c r="AY188"/>
      <c r="AZ188"/>
      <c r="BA188"/>
      <c r="BB188"/>
      <c r="BD188"/>
      <c r="BE188"/>
      <c r="BF188"/>
      <c r="BG188"/>
    </row>
    <row r="189" spans="3:59" s="69" customFormat="1" x14ac:dyDescent="0.25">
      <c r="C189"/>
      <c r="D189"/>
      <c r="E189"/>
      <c r="F189"/>
      <c r="G189"/>
      <c r="H189"/>
      <c r="I189"/>
      <c r="J189"/>
      <c r="K189"/>
      <c r="L189"/>
      <c r="M189"/>
      <c r="N189"/>
      <c r="O189"/>
      <c r="P189"/>
      <c r="Q189"/>
      <c r="R189"/>
      <c r="S189"/>
      <c r="T189"/>
      <c r="U189"/>
      <c r="V189"/>
      <c r="W189"/>
      <c r="X189"/>
      <c r="Y189"/>
      <c r="Z189"/>
      <c r="AA189"/>
      <c r="AB189"/>
      <c r="AC189"/>
      <c r="AD189"/>
      <c r="AE189"/>
      <c r="AF189" s="291">
        <v>1131030</v>
      </c>
      <c r="AG189" s="293">
        <v>65753</v>
      </c>
      <c r="AH189" s="270">
        <v>43952</v>
      </c>
      <c r="AI189" t="s">
        <v>515</v>
      </c>
      <c r="AJ189"/>
      <c r="AK189"/>
      <c r="AL189"/>
      <c r="AM189"/>
      <c r="AN189"/>
      <c r="AO189"/>
      <c r="AP189"/>
      <c r="AQ189"/>
      <c r="AR189"/>
      <c r="AS189"/>
      <c r="AT189"/>
      <c r="AU189"/>
      <c r="AV189"/>
      <c r="AW189"/>
      <c r="AX189"/>
      <c r="AY189"/>
      <c r="AZ189"/>
      <c r="BA189"/>
      <c r="BB189"/>
      <c r="BD189"/>
      <c r="BE189"/>
      <c r="BF189"/>
      <c r="BG189"/>
    </row>
    <row r="190" spans="3:59" x14ac:dyDescent="0.25">
      <c r="AF190" s="291">
        <v>1188122</v>
      </c>
      <c r="AG190" s="293">
        <v>68597</v>
      </c>
      <c r="AH190" s="217">
        <v>43954</v>
      </c>
      <c r="AI190" t="s">
        <v>516</v>
      </c>
      <c r="AJ190" s="69"/>
      <c r="AK190" s="69"/>
      <c r="BC190" s="69"/>
    </row>
    <row r="191" spans="3:59" x14ac:dyDescent="0.25">
      <c r="AF191" s="291">
        <v>1212835</v>
      </c>
      <c r="AG191" s="293">
        <v>69921</v>
      </c>
      <c r="AH191" s="270">
        <v>43955</v>
      </c>
      <c r="AI191" t="s">
        <v>514</v>
      </c>
      <c r="AJ191" s="69"/>
      <c r="AK191" s="69"/>
      <c r="BC191" s="69"/>
    </row>
    <row r="192" spans="3:59" x14ac:dyDescent="0.25">
      <c r="AF192" s="291">
        <v>1237633</v>
      </c>
      <c r="AG192" s="293">
        <v>72271</v>
      </c>
      <c r="AH192" s="217">
        <v>43956</v>
      </c>
      <c r="AI192" t="s">
        <v>331</v>
      </c>
      <c r="AJ192" s="69"/>
      <c r="AK192" s="69"/>
    </row>
    <row r="193" spans="3:59" x14ac:dyDescent="0.25">
      <c r="AF193" s="291">
        <v>1237633</v>
      </c>
      <c r="AG193" s="293">
        <v>72271</v>
      </c>
      <c r="AH193" s="217">
        <v>43956</v>
      </c>
      <c r="AI193" t="s">
        <v>368</v>
      </c>
      <c r="AJ193" s="69"/>
      <c r="AK193" s="69"/>
    </row>
    <row r="194" spans="3:59" x14ac:dyDescent="0.25">
      <c r="AF194" s="291">
        <v>1237633</v>
      </c>
      <c r="AG194" s="293">
        <v>72271</v>
      </c>
      <c r="AH194" s="217">
        <v>43956</v>
      </c>
      <c r="AI194" t="s">
        <v>330</v>
      </c>
    </row>
    <row r="195" spans="3:59" s="69" customFormat="1" x14ac:dyDescent="0.25">
      <c r="C195"/>
      <c r="D195"/>
      <c r="E195"/>
      <c r="F195"/>
      <c r="G195"/>
      <c r="H195"/>
      <c r="I195"/>
      <c r="J195"/>
      <c r="K195"/>
      <c r="L195"/>
      <c r="M195"/>
      <c r="N195"/>
      <c r="O195"/>
      <c r="P195"/>
      <c r="Q195"/>
      <c r="R195"/>
      <c r="S195"/>
      <c r="T195"/>
      <c r="U195"/>
      <c r="V195"/>
      <c r="W195"/>
      <c r="X195"/>
      <c r="Y195"/>
      <c r="Z195"/>
      <c r="AA195"/>
      <c r="AB195"/>
      <c r="AC195"/>
      <c r="AD195"/>
      <c r="AE195"/>
      <c r="AF195" s="291">
        <v>1237633</v>
      </c>
      <c r="AG195" s="293">
        <v>72271</v>
      </c>
      <c r="AH195" s="270">
        <v>43956</v>
      </c>
      <c r="AI195" t="s">
        <v>329</v>
      </c>
      <c r="AJ195"/>
      <c r="AK195"/>
      <c r="AL195"/>
      <c r="AM195"/>
      <c r="AN195"/>
      <c r="AO195"/>
      <c r="AP195"/>
      <c r="AQ195"/>
      <c r="AR195"/>
      <c r="AS195"/>
      <c r="AT195"/>
      <c r="AU195"/>
      <c r="AV195"/>
      <c r="AW195"/>
      <c r="AX195"/>
      <c r="AY195"/>
      <c r="AZ195"/>
      <c r="BA195"/>
      <c r="BB195"/>
      <c r="BC195"/>
    </row>
    <row r="196" spans="3:59" x14ac:dyDescent="0.25">
      <c r="AG196" s="291">
        <v>1292623</v>
      </c>
      <c r="AH196" s="293">
        <v>76928</v>
      </c>
      <c r="AI196" s="270">
        <v>43958</v>
      </c>
      <c r="AJ196" t="s">
        <v>338</v>
      </c>
      <c r="BC196" s="69"/>
    </row>
    <row r="197" spans="3:59" x14ac:dyDescent="0.25">
      <c r="AG197" s="291">
        <v>1321785</v>
      </c>
      <c r="AH197" s="293">
        <v>78615</v>
      </c>
      <c r="AI197" s="217">
        <v>43959</v>
      </c>
      <c r="AJ197" t="s">
        <v>359</v>
      </c>
    </row>
    <row r="198" spans="3:59" x14ac:dyDescent="0.25">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c r="AD198" s="69"/>
      <c r="AE198" s="69"/>
      <c r="AF198" s="69"/>
      <c r="AG198" s="291">
        <v>1321785</v>
      </c>
      <c r="AH198" s="293">
        <v>78615</v>
      </c>
      <c r="AI198" s="270">
        <v>43959</v>
      </c>
      <c r="AJ198" s="69" t="s">
        <v>335</v>
      </c>
      <c r="AK198" s="69"/>
      <c r="AL198" s="69"/>
      <c r="AM198" s="69"/>
      <c r="AN198" s="69"/>
      <c r="AO198" s="69"/>
      <c r="AP198" s="69"/>
      <c r="AQ198" s="69"/>
      <c r="AR198" s="69"/>
      <c r="AS198" s="69"/>
      <c r="AT198" s="69"/>
      <c r="AU198" s="69"/>
      <c r="AV198" s="69"/>
      <c r="AW198" s="69"/>
      <c r="AX198" s="69"/>
      <c r="AY198" s="69"/>
      <c r="AZ198" s="69"/>
      <c r="BD198" s="69"/>
      <c r="BE198" s="69"/>
      <c r="BF198" s="69"/>
      <c r="BG198" s="69"/>
    </row>
    <row r="199" spans="3:59" x14ac:dyDescent="0.25">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c r="AD199" s="69"/>
      <c r="AE199" s="69"/>
      <c r="AF199" s="69"/>
      <c r="AG199" s="291">
        <v>1321785</v>
      </c>
      <c r="AH199" s="293">
        <v>78615</v>
      </c>
      <c r="AI199" s="165">
        <v>43959</v>
      </c>
      <c r="AJ199" s="69" t="s">
        <v>332</v>
      </c>
      <c r="AM199" s="69"/>
      <c r="AN199" s="69"/>
      <c r="AO199" s="69"/>
      <c r="AP199" s="69"/>
      <c r="AQ199" s="69"/>
      <c r="AR199" s="69"/>
      <c r="AS199" s="69"/>
      <c r="AT199" s="69"/>
      <c r="AU199" s="69"/>
      <c r="AV199" s="69"/>
      <c r="AW199" s="69"/>
      <c r="AX199" s="69"/>
      <c r="AY199" s="69"/>
      <c r="AZ199" s="69"/>
      <c r="BD199" s="69"/>
      <c r="BE199" s="69"/>
      <c r="BF199" s="69"/>
      <c r="BG199" s="69"/>
    </row>
    <row r="200" spans="3:59" x14ac:dyDescent="0.25">
      <c r="AG200" s="291">
        <v>1321785</v>
      </c>
      <c r="AH200" s="293">
        <v>78615</v>
      </c>
      <c r="AI200" s="217">
        <v>43959</v>
      </c>
      <c r="AJ200" s="69" t="s">
        <v>336</v>
      </c>
    </row>
    <row r="201" spans="3:59" x14ac:dyDescent="0.25">
      <c r="D201" s="69"/>
      <c r="E201" s="69"/>
      <c r="F201" s="69"/>
      <c r="G201" s="69"/>
      <c r="H201" s="69"/>
      <c r="I201" s="69"/>
      <c r="J201" s="69"/>
      <c r="K201" s="69"/>
      <c r="L201" s="69"/>
      <c r="M201" s="69"/>
      <c r="N201" s="69"/>
      <c r="O201" s="69"/>
      <c r="P201" s="69"/>
      <c r="Q201" s="69"/>
      <c r="R201" s="165"/>
      <c r="S201" s="69"/>
      <c r="T201" s="69"/>
      <c r="U201" s="69"/>
      <c r="AG201" s="291">
        <v>1321785</v>
      </c>
      <c r="AH201" s="293">
        <v>78615</v>
      </c>
      <c r="AI201" s="217">
        <v>43959</v>
      </c>
      <c r="AJ201" s="69" t="s">
        <v>342</v>
      </c>
    </row>
    <row r="202" spans="3:59" x14ac:dyDescent="0.25">
      <c r="D202" s="69"/>
      <c r="E202" s="69"/>
      <c r="F202" s="69"/>
      <c r="G202" s="69"/>
      <c r="H202" s="69"/>
      <c r="I202" s="69"/>
      <c r="J202" s="69"/>
      <c r="K202" s="69"/>
      <c r="L202" s="69"/>
      <c r="M202" s="69"/>
      <c r="N202" s="69"/>
      <c r="O202" s="69"/>
      <c r="P202" s="69"/>
      <c r="Q202" s="69"/>
      <c r="R202" s="165"/>
      <c r="S202" s="69"/>
      <c r="T202" s="69"/>
      <c r="U202" s="69"/>
      <c r="AG202" s="291">
        <v>1347309</v>
      </c>
      <c r="AH202" s="293">
        <v>80037</v>
      </c>
      <c r="AI202" s="217">
        <v>43960</v>
      </c>
      <c r="AJ202" s="69" t="s">
        <v>358</v>
      </c>
      <c r="BA202" s="69"/>
      <c r="BB202" s="69"/>
      <c r="BC202" s="69"/>
      <c r="BD202" s="69"/>
      <c r="BE202" s="69"/>
      <c r="BF202" s="69"/>
      <c r="BG202" s="69"/>
    </row>
    <row r="203" spans="3:59" x14ac:dyDescent="0.25">
      <c r="D203" s="69"/>
      <c r="E203" s="69"/>
      <c r="F203" s="69"/>
      <c r="G203" s="69"/>
      <c r="H203" s="69"/>
      <c r="I203" s="69"/>
      <c r="J203" s="69"/>
      <c r="K203" s="69"/>
      <c r="L203" s="69"/>
      <c r="M203" s="69"/>
      <c r="N203" s="69"/>
      <c r="O203" s="69"/>
      <c r="P203" s="69"/>
      <c r="Q203" s="69"/>
      <c r="R203" s="165"/>
      <c r="S203" s="69"/>
      <c r="T203" s="69"/>
      <c r="U203" s="69"/>
      <c r="AG203" s="291">
        <v>1347309</v>
      </c>
      <c r="AH203" s="293">
        <v>80037</v>
      </c>
      <c r="AI203" s="217">
        <v>43960</v>
      </c>
      <c r="AJ203" s="69" t="s">
        <v>333</v>
      </c>
      <c r="BA203" s="69"/>
      <c r="BB203" s="69"/>
      <c r="BC203" s="69"/>
    </row>
    <row r="204" spans="3:59" x14ac:dyDescent="0.25">
      <c r="C204" s="69"/>
      <c r="D204" s="69"/>
      <c r="E204" s="69"/>
      <c r="F204" s="69"/>
      <c r="G204" s="69"/>
      <c r="H204" s="69"/>
      <c r="I204" s="69"/>
      <c r="J204" s="69"/>
      <c r="K204" s="69"/>
      <c r="L204" s="69"/>
      <c r="M204" s="69"/>
      <c r="N204" s="69"/>
      <c r="O204" s="69"/>
      <c r="P204" s="69"/>
      <c r="Q204" s="69"/>
      <c r="R204" s="165"/>
      <c r="S204" s="69"/>
      <c r="T204" s="69"/>
      <c r="U204" s="69"/>
      <c r="V204" s="69"/>
      <c r="W204" s="69"/>
      <c r="AB204" s="69"/>
      <c r="AC204" s="69"/>
      <c r="AD204" s="69"/>
      <c r="AE204" s="69"/>
      <c r="AF204" s="69"/>
      <c r="AG204" s="291">
        <v>1347309</v>
      </c>
      <c r="AH204" s="293">
        <v>80037</v>
      </c>
      <c r="AI204" s="270">
        <v>43960</v>
      </c>
      <c r="AJ204" s="69" t="s">
        <v>341</v>
      </c>
      <c r="AM204" s="69"/>
      <c r="AN204" s="69"/>
      <c r="AO204" s="69"/>
      <c r="AP204" s="69"/>
      <c r="AQ204" s="69"/>
      <c r="AR204" s="69"/>
      <c r="AS204" s="69"/>
      <c r="AT204" s="69"/>
      <c r="AU204" s="69"/>
      <c r="AV204" s="69"/>
      <c r="AW204" s="69"/>
      <c r="AX204" s="69"/>
      <c r="AY204" s="69"/>
      <c r="AZ204" s="69"/>
      <c r="BA204" s="69"/>
      <c r="BB204" s="69"/>
      <c r="BD204" s="69"/>
      <c r="BE204" s="69"/>
      <c r="BF204" s="69"/>
      <c r="BG204" s="69"/>
    </row>
    <row r="205" spans="3:59" x14ac:dyDescent="0.25">
      <c r="AG205" s="291">
        <v>1347309</v>
      </c>
      <c r="AH205" s="293">
        <v>80037</v>
      </c>
      <c r="AI205" s="217">
        <v>43960</v>
      </c>
      <c r="AJ205" s="69" t="s">
        <v>334</v>
      </c>
      <c r="BA205" s="69"/>
      <c r="BB205" s="69"/>
      <c r="BD205" s="69"/>
      <c r="BE205" s="69"/>
      <c r="BF205" s="69"/>
      <c r="BG205" s="69"/>
    </row>
    <row r="206" spans="3:59" x14ac:dyDescent="0.25">
      <c r="AG206" s="291">
        <v>1367638</v>
      </c>
      <c r="AH206" s="293">
        <v>80787</v>
      </c>
      <c r="AI206" s="217">
        <v>43961</v>
      </c>
      <c r="AJ206" s="69" t="s">
        <v>339</v>
      </c>
    </row>
    <row r="207" spans="3:59" x14ac:dyDescent="0.25">
      <c r="AG207" s="291">
        <v>1367638</v>
      </c>
      <c r="AH207" s="293">
        <v>80787</v>
      </c>
      <c r="AI207" s="270">
        <v>43961</v>
      </c>
      <c r="AJ207" s="69" t="s">
        <v>340</v>
      </c>
    </row>
    <row r="208" spans="3:59" s="69" customFormat="1" x14ac:dyDescent="0.25">
      <c r="C208"/>
      <c r="D208"/>
      <c r="E208"/>
      <c r="F208"/>
      <c r="G208"/>
      <c r="H208"/>
      <c r="I208"/>
      <c r="J208"/>
      <c r="K208"/>
      <c r="L208"/>
      <c r="M208"/>
      <c r="N208"/>
      <c r="O208"/>
      <c r="P208"/>
      <c r="Q208"/>
      <c r="R208"/>
      <c r="S208"/>
      <c r="T208"/>
      <c r="U208"/>
      <c r="V208"/>
      <c r="W208"/>
      <c r="X208"/>
      <c r="Y208"/>
      <c r="Z208"/>
      <c r="AA208"/>
      <c r="AB208"/>
      <c r="AC208"/>
      <c r="AD208"/>
      <c r="AE208"/>
      <c r="AF208"/>
      <c r="AG208" s="291">
        <v>1385834</v>
      </c>
      <c r="AH208" s="293">
        <v>81795</v>
      </c>
      <c r="AI208" s="217">
        <v>43962</v>
      </c>
      <c r="AJ208" s="69" t="s">
        <v>343</v>
      </c>
      <c r="AK208"/>
      <c r="AL208"/>
      <c r="AM208"/>
      <c r="AN208"/>
      <c r="AO208"/>
      <c r="AP208"/>
      <c r="AQ208"/>
      <c r="AR208"/>
      <c r="AS208"/>
      <c r="AT208"/>
      <c r="AU208"/>
      <c r="AV208"/>
      <c r="AW208"/>
      <c r="AX208"/>
      <c r="AY208"/>
      <c r="AZ208"/>
      <c r="BA208"/>
      <c r="BB208"/>
      <c r="BC208"/>
      <c r="BD208"/>
      <c r="BE208"/>
      <c r="BF208"/>
      <c r="BG208"/>
    </row>
    <row r="209" spans="3:59" s="69" customFormat="1" x14ac:dyDescent="0.25">
      <c r="C209"/>
      <c r="D209"/>
      <c r="E209"/>
      <c r="F209"/>
      <c r="G209"/>
      <c r="H209"/>
      <c r="I209"/>
      <c r="J209"/>
      <c r="K209"/>
      <c r="L209"/>
      <c r="M209"/>
      <c r="N209"/>
      <c r="O209"/>
      <c r="P209"/>
      <c r="Q209"/>
      <c r="R209"/>
      <c r="S209"/>
      <c r="T209"/>
      <c r="U209"/>
      <c r="V209"/>
      <c r="W209"/>
      <c r="X209"/>
      <c r="Y209"/>
      <c r="Z209"/>
      <c r="AA209"/>
      <c r="AB209"/>
      <c r="AC209"/>
      <c r="AD209"/>
      <c r="AE209"/>
      <c r="AF209"/>
      <c r="AG209" s="291">
        <v>1385834</v>
      </c>
      <c r="AH209" s="293">
        <v>81795</v>
      </c>
      <c r="AI209" s="270">
        <v>43962</v>
      </c>
      <c r="AJ209" s="69" t="s">
        <v>344</v>
      </c>
      <c r="AK209"/>
      <c r="AL209"/>
      <c r="AM209"/>
      <c r="AN209"/>
      <c r="AO209"/>
      <c r="AP209"/>
      <c r="AQ209"/>
      <c r="AR209"/>
      <c r="AS209"/>
      <c r="AT209"/>
      <c r="AU209"/>
      <c r="AV209"/>
      <c r="AW209"/>
      <c r="AX209"/>
      <c r="AY209"/>
      <c r="AZ209"/>
      <c r="BA209"/>
      <c r="BB209"/>
      <c r="BC209"/>
      <c r="BD209"/>
      <c r="BE209"/>
      <c r="BF209"/>
      <c r="BG209"/>
    </row>
    <row r="210" spans="3:59" s="69" customFormat="1" x14ac:dyDescent="0.25">
      <c r="C210"/>
      <c r="D210"/>
      <c r="E210"/>
      <c r="F210"/>
      <c r="G210"/>
      <c r="H210"/>
      <c r="I210"/>
      <c r="J210"/>
      <c r="K210"/>
      <c r="L210"/>
      <c r="M210"/>
      <c r="N210"/>
      <c r="O210"/>
      <c r="P210"/>
      <c r="Q210"/>
      <c r="R210"/>
      <c r="S210"/>
      <c r="T210"/>
      <c r="U210"/>
      <c r="V210"/>
      <c r="W210"/>
      <c r="X210"/>
      <c r="Y210"/>
      <c r="Z210"/>
      <c r="AA210"/>
      <c r="AB210"/>
      <c r="AC210"/>
      <c r="AD210"/>
      <c r="AE210"/>
      <c r="AF210"/>
      <c r="AG210" s="291">
        <v>1385834</v>
      </c>
      <c r="AH210" s="293">
        <v>81795</v>
      </c>
      <c r="AI210" s="270">
        <v>43962</v>
      </c>
      <c r="AJ210" s="69" t="s">
        <v>550</v>
      </c>
      <c r="AK210"/>
      <c r="AL210"/>
      <c r="AM210"/>
      <c r="AN210"/>
      <c r="AO210"/>
      <c r="AP210"/>
      <c r="AQ210"/>
      <c r="AR210"/>
      <c r="AS210"/>
      <c r="AT210"/>
      <c r="AU210"/>
      <c r="AV210"/>
      <c r="AW210"/>
      <c r="AX210"/>
      <c r="AY210"/>
      <c r="AZ210"/>
      <c r="BA210"/>
      <c r="BB210"/>
      <c r="BC210"/>
      <c r="BD210"/>
      <c r="BE210"/>
      <c r="BF210"/>
      <c r="BG210"/>
    </row>
    <row r="211" spans="3:59" x14ac:dyDescent="0.25">
      <c r="AG211" s="291">
        <v>1385834</v>
      </c>
      <c r="AH211" s="293">
        <v>81795</v>
      </c>
      <c r="AI211" s="165">
        <v>43962</v>
      </c>
      <c r="AJ211" s="69" t="s">
        <v>349</v>
      </c>
      <c r="BA211" s="69"/>
      <c r="BB211" s="69"/>
      <c r="BD211" s="69"/>
      <c r="BE211" s="69"/>
      <c r="BF211" s="69"/>
      <c r="BG211" s="69"/>
    </row>
    <row r="212" spans="3:59" x14ac:dyDescent="0.25">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c r="AD212" s="69"/>
      <c r="AE212" s="69"/>
      <c r="AF212" s="69"/>
      <c r="AG212" s="291">
        <v>1385834</v>
      </c>
      <c r="AH212" s="293">
        <v>81795</v>
      </c>
      <c r="AI212" s="165">
        <v>43962</v>
      </c>
      <c r="AJ212" s="69" t="s">
        <v>347</v>
      </c>
      <c r="AK212" s="69"/>
      <c r="AL212" s="69"/>
      <c r="AM212" s="69"/>
      <c r="AN212" s="69"/>
      <c r="AO212" s="69"/>
      <c r="AP212" s="69"/>
      <c r="AQ212" s="69"/>
      <c r="AR212" s="69"/>
      <c r="AS212" s="69"/>
      <c r="AT212" s="69"/>
      <c r="AU212" s="69"/>
      <c r="AV212" s="69"/>
      <c r="AW212" s="69"/>
      <c r="AX212" s="69"/>
      <c r="AY212" s="69"/>
      <c r="AZ212" s="69"/>
      <c r="BA212" s="69"/>
      <c r="BB212" s="69"/>
    </row>
    <row r="213" spans="3:59" x14ac:dyDescent="0.25">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c r="AD213" s="69"/>
      <c r="AE213" s="69"/>
      <c r="AF213" s="69"/>
      <c r="AG213" s="291">
        <v>1385834</v>
      </c>
      <c r="AH213" s="293">
        <v>81795</v>
      </c>
      <c r="AI213" s="270">
        <v>43962</v>
      </c>
      <c r="AJ213" s="69" t="s">
        <v>348</v>
      </c>
      <c r="AK213" s="69"/>
      <c r="AL213" s="69"/>
      <c r="AM213" s="69"/>
      <c r="AN213" s="69"/>
      <c r="AO213" s="69"/>
      <c r="AP213" s="69"/>
      <c r="AQ213" s="69"/>
      <c r="AR213" s="69"/>
      <c r="AS213" s="69"/>
      <c r="AT213" s="69"/>
      <c r="AU213" s="69"/>
      <c r="AV213" s="69"/>
      <c r="AW213" s="69"/>
      <c r="AX213" s="69"/>
      <c r="AY213" s="69"/>
      <c r="AZ213" s="69"/>
    </row>
    <row r="214" spans="3:59" x14ac:dyDescent="0.25">
      <c r="AG214" s="291">
        <v>1408636</v>
      </c>
      <c r="AH214" s="293">
        <v>83425</v>
      </c>
      <c r="AI214" s="270">
        <v>43963</v>
      </c>
      <c r="AJ214" t="s">
        <v>346</v>
      </c>
    </row>
    <row r="215" spans="3:59" x14ac:dyDescent="0.25">
      <c r="AG215" s="291">
        <v>1430347</v>
      </c>
      <c r="AH215" s="293">
        <v>85197</v>
      </c>
      <c r="AI215" s="270">
        <v>43964</v>
      </c>
      <c r="AJ215" t="s">
        <v>350</v>
      </c>
      <c r="BC215" s="69"/>
    </row>
    <row r="216" spans="3:59" x14ac:dyDescent="0.25">
      <c r="AG216" s="291">
        <v>1430347</v>
      </c>
      <c r="AH216" s="293">
        <v>85197</v>
      </c>
      <c r="AI216" s="217">
        <v>43964</v>
      </c>
      <c r="AJ216" t="s">
        <v>362</v>
      </c>
      <c r="AK216" s="217">
        <f>AI216+14</f>
        <v>43978</v>
      </c>
      <c r="BC216" s="69"/>
    </row>
    <row r="217" spans="3:59" x14ac:dyDescent="0.25">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c r="AD217" s="69"/>
      <c r="AE217" s="69"/>
      <c r="AF217" s="69"/>
      <c r="AG217" s="291">
        <v>1484285</v>
      </c>
      <c r="AH217" s="293">
        <v>88507</v>
      </c>
      <c r="AI217" s="217">
        <v>43966</v>
      </c>
      <c r="AJ217" t="s">
        <v>363</v>
      </c>
      <c r="AK217" s="69"/>
      <c r="AL217" s="69"/>
      <c r="AM217" s="69"/>
      <c r="AN217" s="69"/>
      <c r="AO217" s="69"/>
      <c r="AP217" s="69"/>
      <c r="AQ217" s="69"/>
      <c r="AR217" s="69"/>
      <c r="AS217" s="69"/>
      <c r="AT217" s="69"/>
      <c r="AU217" s="69"/>
      <c r="AV217" s="69"/>
      <c r="AW217" s="69"/>
      <c r="AX217" s="69"/>
      <c r="AY217" s="69"/>
      <c r="AZ217" s="69"/>
      <c r="BC217" s="69"/>
    </row>
    <row r="218" spans="3:59" x14ac:dyDescent="0.25">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c r="AD218" s="69"/>
      <c r="AE218" s="69"/>
      <c r="AF218" s="69"/>
      <c r="AG218" s="291">
        <v>1484285</v>
      </c>
      <c r="AH218" s="293">
        <v>88507</v>
      </c>
      <c r="AI218" s="165">
        <v>43966</v>
      </c>
      <c r="AJ218" s="69" t="s">
        <v>364</v>
      </c>
      <c r="AL218" s="69"/>
      <c r="AM218" s="69"/>
      <c r="AN218" s="69"/>
      <c r="AO218" s="69"/>
      <c r="AP218" s="69"/>
      <c r="AQ218" s="69"/>
      <c r="AR218" s="69"/>
      <c r="AS218" s="69"/>
      <c r="AT218" s="69"/>
      <c r="AU218" s="69"/>
      <c r="AV218" s="69"/>
      <c r="AW218" s="69"/>
      <c r="AX218" s="69"/>
      <c r="AY218" s="69"/>
      <c r="AZ218" s="69"/>
    </row>
    <row r="219" spans="3:59" x14ac:dyDescent="0.25">
      <c r="AG219" s="291">
        <v>1484285</v>
      </c>
      <c r="AH219" s="293">
        <v>88507</v>
      </c>
      <c r="AI219" s="270">
        <v>43966</v>
      </c>
      <c r="AJ219" s="69" t="s">
        <v>365</v>
      </c>
    </row>
    <row r="220" spans="3:59" x14ac:dyDescent="0.25">
      <c r="AG220" s="291">
        <v>1507773</v>
      </c>
      <c r="AH220" s="293">
        <v>90113</v>
      </c>
      <c r="AI220" s="270">
        <v>43967</v>
      </c>
      <c r="AJ220" s="69" t="s">
        <v>366</v>
      </c>
    </row>
    <row r="221" spans="3:59" x14ac:dyDescent="0.25">
      <c r="AG221" s="291">
        <v>1507773</v>
      </c>
      <c r="AH221" s="293">
        <v>90113</v>
      </c>
      <c r="AI221" s="165">
        <v>43967</v>
      </c>
      <c r="AJ221" s="69" t="s">
        <v>383</v>
      </c>
    </row>
    <row r="222" spans="3:59" x14ac:dyDescent="0.25">
      <c r="AG222" s="291">
        <v>1527664</v>
      </c>
      <c r="AH222" s="293">
        <v>90978</v>
      </c>
      <c r="AI222" s="217">
        <v>43968</v>
      </c>
      <c r="AJ222" t="s">
        <v>373</v>
      </c>
    </row>
    <row r="223" spans="3:59" x14ac:dyDescent="0.25">
      <c r="AG223" s="291">
        <v>1527664</v>
      </c>
      <c r="AH223" s="293">
        <v>90978</v>
      </c>
      <c r="AI223" s="270">
        <v>43968</v>
      </c>
      <c r="AJ223" t="s">
        <v>367</v>
      </c>
    </row>
    <row r="224" spans="3:59" s="69" customFormat="1" x14ac:dyDescent="0.25">
      <c r="AH224" s="291">
        <v>1570583</v>
      </c>
      <c r="AI224" s="293">
        <v>93533</v>
      </c>
      <c r="AJ224" s="270">
        <v>43970</v>
      </c>
      <c r="AK224" t="s">
        <v>371</v>
      </c>
    </row>
    <row r="225" spans="3:59" x14ac:dyDescent="0.25">
      <c r="AH225" s="291">
        <v>1570583</v>
      </c>
      <c r="AI225" s="293">
        <v>93533</v>
      </c>
      <c r="AJ225" s="217">
        <v>43970</v>
      </c>
      <c r="AK225" t="s">
        <v>374</v>
      </c>
      <c r="BA225" s="69"/>
      <c r="BB225" s="69"/>
      <c r="BC225" s="69"/>
      <c r="BD225" s="69"/>
      <c r="BE225" s="69"/>
      <c r="BF225" s="69"/>
      <c r="BG225" s="69"/>
    </row>
    <row r="226" spans="3:59" x14ac:dyDescent="0.25">
      <c r="AH226" s="291">
        <v>1570583</v>
      </c>
      <c r="AI226" s="293">
        <v>93533</v>
      </c>
      <c r="AJ226" s="270">
        <v>43970</v>
      </c>
      <c r="AK226" t="s">
        <v>369</v>
      </c>
    </row>
    <row r="227" spans="3:59" s="69" customFormat="1" x14ac:dyDescent="0.25">
      <c r="C227"/>
      <c r="D227"/>
      <c r="E227"/>
      <c r="F227"/>
      <c r="G227"/>
      <c r="H227"/>
      <c r="I227"/>
      <c r="J227"/>
      <c r="K227"/>
      <c r="L227"/>
      <c r="M227"/>
      <c r="N227"/>
      <c r="O227"/>
      <c r="P227"/>
      <c r="Q227"/>
      <c r="R227"/>
      <c r="S227"/>
      <c r="T227"/>
      <c r="U227"/>
      <c r="V227"/>
      <c r="W227"/>
      <c r="X227"/>
      <c r="Y227"/>
      <c r="Z227"/>
      <c r="AA227"/>
      <c r="AB227"/>
      <c r="AC227"/>
      <c r="AD227"/>
      <c r="AE227"/>
      <c r="AF227"/>
      <c r="AG227"/>
      <c r="AH227" s="291">
        <v>1570583</v>
      </c>
      <c r="AI227" s="293">
        <v>93533</v>
      </c>
      <c r="AJ227" s="270">
        <v>43970</v>
      </c>
      <c r="AK227" t="s">
        <v>372</v>
      </c>
      <c r="AL227"/>
      <c r="AM227"/>
      <c r="AN227"/>
      <c r="AO227"/>
      <c r="AP227"/>
      <c r="AQ227"/>
      <c r="AR227"/>
      <c r="AS227"/>
      <c r="AT227"/>
      <c r="AU227"/>
      <c r="AV227"/>
      <c r="AW227"/>
      <c r="AX227"/>
      <c r="AY227"/>
      <c r="AZ227"/>
      <c r="BA227"/>
      <c r="BB227"/>
      <c r="BC227"/>
      <c r="BD227"/>
      <c r="BE227"/>
      <c r="BF227"/>
      <c r="BG227"/>
    </row>
    <row r="228" spans="3:59" s="69" customFormat="1" x14ac:dyDescent="0.25">
      <c r="C228"/>
      <c r="D228"/>
      <c r="E228"/>
      <c r="F228"/>
      <c r="G228"/>
      <c r="H228"/>
      <c r="I228"/>
      <c r="J228"/>
      <c r="K228"/>
      <c r="L228"/>
      <c r="M228"/>
      <c r="N228"/>
      <c r="O228"/>
      <c r="P228"/>
      <c r="Q228"/>
      <c r="R228"/>
      <c r="S228"/>
      <c r="T228"/>
      <c r="U228"/>
      <c r="V228"/>
      <c r="W228"/>
      <c r="X228"/>
      <c r="Y228"/>
      <c r="Z228"/>
      <c r="AA228"/>
      <c r="AB228"/>
      <c r="AC228"/>
      <c r="AD228"/>
      <c r="AE228"/>
      <c r="AF228"/>
      <c r="AG228"/>
      <c r="AH228" s="291">
        <v>1570583</v>
      </c>
      <c r="AI228" s="293">
        <v>93533</v>
      </c>
      <c r="AJ228" s="217">
        <v>43970</v>
      </c>
      <c r="AK228" t="s">
        <v>375</v>
      </c>
      <c r="AL228"/>
      <c r="AM228"/>
      <c r="AN228"/>
      <c r="AO228"/>
      <c r="AP228"/>
      <c r="AQ228"/>
      <c r="AR228"/>
      <c r="AS228"/>
      <c r="AT228"/>
      <c r="AU228"/>
      <c r="AV228"/>
      <c r="AW228"/>
      <c r="AX228"/>
      <c r="AY228"/>
      <c r="AZ228"/>
      <c r="BA228"/>
      <c r="BB228"/>
      <c r="BC228"/>
      <c r="BD228"/>
      <c r="BE228"/>
      <c r="BF228"/>
      <c r="BG228"/>
    </row>
    <row r="229" spans="3:59" x14ac:dyDescent="0.25">
      <c r="AH229" s="291">
        <v>1570583</v>
      </c>
      <c r="AI229" s="293">
        <v>93533</v>
      </c>
      <c r="AJ229" s="217">
        <v>43970</v>
      </c>
      <c r="AK229" t="s">
        <v>370</v>
      </c>
    </row>
    <row r="230" spans="3:59" x14ac:dyDescent="0.25">
      <c r="AH230" s="291">
        <v>1570583</v>
      </c>
      <c r="AI230" s="293">
        <v>93533</v>
      </c>
      <c r="AJ230" s="217">
        <v>43970</v>
      </c>
      <c r="AK230" t="s">
        <v>387</v>
      </c>
    </row>
    <row r="231" spans="3:59" s="69" customFormat="1" x14ac:dyDescent="0.25">
      <c r="C231"/>
      <c r="D231"/>
      <c r="E231"/>
      <c r="F231"/>
      <c r="G231"/>
      <c r="H231"/>
      <c r="I231"/>
      <c r="J231"/>
      <c r="K231"/>
      <c r="L231"/>
      <c r="M231"/>
      <c r="N231"/>
      <c r="O231"/>
      <c r="P231"/>
      <c r="Q231"/>
      <c r="R231"/>
      <c r="S231"/>
      <c r="T231"/>
      <c r="U231"/>
      <c r="V231"/>
      <c r="W231"/>
      <c r="X231"/>
      <c r="Y231"/>
      <c r="Z231"/>
      <c r="AA231"/>
      <c r="AB231"/>
      <c r="AC231"/>
      <c r="AD231"/>
      <c r="AE231"/>
      <c r="AF231"/>
      <c r="AG231"/>
      <c r="AH231" s="291">
        <v>1570583</v>
      </c>
      <c r="AI231" s="293">
        <v>93533</v>
      </c>
      <c r="AJ231" s="217">
        <v>43970</v>
      </c>
      <c r="AK231" t="s">
        <v>391</v>
      </c>
      <c r="AL231"/>
      <c r="AM231"/>
      <c r="AN231"/>
      <c r="AO231"/>
      <c r="AP231"/>
      <c r="AQ231"/>
      <c r="AR231"/>
      <c r="AS231"/>
      <c r="AT231"/>
      <c r="AU231"/>
      <c r="AV231"/>
      <c r="AW231"/>
      <c r="AX231"/>
      <c r="AY231"/>
      <c r="AZ231"/>
    </row>
    <row r="232" spans="3:59" x14ac:dyDescent="0.25">
      <c r="AH232" s="291">
        <v>1591991</v>
      </c>
      <c r="AI232" s="293">
        <v>94994</v>
      </c>
      <c r="AJ232" s="217">
        <v>43971</v>
      </c>
      <c r="AK232" t="s">
        <v>376</v>
      </c>
    </row>
    <row r="233" spans="3:59" s="69" customFormat="1" x14ac:dyDescent="0.25">
      <c r="C233"/>
      <c r="D233"/>
      <c r="E233"/>
      <c r="F233"/>
      <c r="G233"/>
      <c r="H233"/>
      <c r="I233"/>
      <c r="J233"/>
      <c r="K233"/>
      <c r="L233"/>
      <c r="M233"/>
      <c r="N233"/>
      <c r="O233"/>
      <c r="P233"/>
      <c r="Q233"/>
      <c r="R233"/>
      <c r="S233"/>
      <c r="T233"/>
      <c r="U233"/>
      <c r="V233"/>
      <c r="W233"/>
      <c r="X233"/>
      <c r="Y233"/>
      <c r="Z233"/>
      <c r="AA233"/>
      <c r="AB233"/>
      <c r="AC233"/>
      <c r="AD233"/>
      <c r="AE233"/>
      <c r="AF233"/>
      <c r="AG233"/>
      <c r="AH233" s="291">
        <v>1591991</v>
      </c>
      <c r="AI233" s="293">
        <v>94994</v>
      </c>
      <c r="AJ233" s="217">
        <v>43971</v>
      </c>
      <c r="AK233" t="s">
        <v>396</v>
      </c>
      <c r="AL233"/>
      <c r="AM233"/>
      <c r="AN233"/>
      <c r="AO233"/>
      <c r="AP233"/>
      <c r="AQ233"/>
      <c r="AR233"/>
      <c r="AS233"/>
      <c r="AT233"/>
      <c r="AU233"/>
      <c r="AV233"/>
      <c r="AW233"/>
      <c r="AX233"/>
      <c r="AY233"/>
      <c r="AZ233"/>
      <c r="BA233"/>
      <c r="BB233"/>
      <c r="BC233"/>
      <c r="BD233"/>
      <c r="BE233"/>
      <c r="BF233"/>
      <c r="BG233"/>
    </row>
    <row r="234" spans="3:59" s="69" customFormat="1" x14ac:dyDescent="0.25">
      <c r="C234"/>
      <c r="D234"/>
      <c r="E234"/>
      <c r="F234"/>
      <c r="G234"/>
      <c r="H234"/>
      <c r="I234"/>
      <c r="J234"/>
      <c r="K234"/>
      <c r="L234"/>
      <c r="M234"/>
      <c r="N234"/>
      <c r="O234"/>
      <c r="P234"/>
      <c r="Q234"/>
      <c r="R234"/>
      <c r="S234"/>
      <c r="T234"/>
      <c r="U234"/>
      <c r="V234"/>
      <c r="W234"/>
      <c r="X234"/>
      <c r="Y234"/>
      <c r="Z234"/>
      <c r="AA234"/>
      <c r="AB234"/>
      <c r="AC234"/>
      <c r="AD234"/>
      <c r="AE234"/>
      <c r="AF234"/>
      <c r="AG234"/>
      <c r="AH234" s="291">
        <v>1591991</v>
      </c>
      <c r="AI234" s="293">
        <v>94994</v>
      </c>
      <c r="AJ234" s="217">
        <v>43971</v>
      </c>
      <c r="AK234" t="s">
        <v>422</v>
      </c>
      <c r="AL234"/>
      <c r="AM234"/>
      <c r="AN234"/>
      <c r="AO234"/>
      <c r="AP234"/>
      <c r="AQ234"/>
      <c r="AR234"/>
      <c r="AS234"/>
      <c r="AT234"/>
      <c r="AU234"/>
      <c r="AV234"/>
      <c r="AW234"/>
      <c r="AX234"/>
      <c r="AY234"/>
      <c r="AZ234"/>
      <c r="BA234"/>
      <c r="BB234"/>
      <c r="BC234"/>
      <c r="BD234"/>
      <c r="BE234"/>
      <c r="BF234"/>
      <c r="BG234"/>
    </row>
    <row r="235" spans="3:59" s="69" customFormat="1" x14ac:dyDescent="0.25">
      <c r="C235"/>
      <c r="D235"/>
      <c r="E235"/>
      <c r="F235"/>
      <c r="G235"/>
      <c r="H235"/>
      <c r="I235"/>
      <c r="J235"/>
      <c r="K235"/>
      <c r="L235"/>
      <c r="M235"/>
      <c r="N235"/>
      <c r="O235"/>
      <c r="P235"/>
      <c r="Q235"/>
      <c r="R235"/>
      <c r="S235"/>
      <c r="T235"/>
      <c r="U235"/>
      <c r="V235"/>
      <c r="W235"/>
      <c r="X235"/>
      <c r="Y235"/>
      <c r="Z235"/>
      <c r="AA235"/>
      <c r="AB235"/>
      <c r="AC235"/>
      <c r="AD235"/>
      <c r="AE235"/>
      <c r="AF235"/>
      <c r="AG235"/>
      <c r="AH235" s="291">
        <v>1620902</v>
      </c>
      <c r="AI235" s="293">
        <v>96354</v>
      </c>
      <c r="AJ235" s="217">
        <v>43972</v>
      </c>
      <c r="AK235" t="s">
        <v>377</v>
      </c>
      <c r="AL235"/>
      <c r="AM235"/>
      <c r="AN235"/>
      <c r="AO235"/>
      <c r="AP235"/>
      <c r="AQ235"/>
      <c r="AR235"/>
      <c r="AS235"/>
      <c r="AT235"/>
      <c r="AU235"/>
      <c r="AV235"/>
      <c r="AW235"/>
      <c r="AX235"/>
      <c r="AY235"/>
      <c r="AZ235"/>
      <c r="BA235"/>
      <c r="BB235"/>
      <c r="BC235"/>
      <c r="BD235"/>
      <c r="BE235"/>
      <c r="BF235"/>
      <c r="BG235"/>
    </row>
    <row r="236" spans="3:59" x14ac:dyDescent="0.25">
      <c r="AH236" s="291">
        <v>1620902</v>
      </c>
      <c r="AI236" s="293">
        <v>96354</v>
      </c>
      <c r="AJ236" s="270">
        <v>43972</v>
      </c>
      <c r="AK236" t="s">
        <v>390</v>
      </c>
    </row>
    <row r="237" spans="3:59" x14ac:dyDescent="0.25">
      <c r="AH237" s="291">
        <v>1620902</v>
      </c>
      <c r="AI237" s="293">
        <v>96354</v>
      </c>
      <c r="AJ237" s="270">
        <v>43972</v>
      </c>
      <c r="AK237" t="s">
        <v>380</v>
      </c>
    </row>
    <row r="238" spans="3:59" x14ac:dyDescent="0.25">
      <c r="AH238" s="291">
        <v>1620902</v>
      </c>
      <c r="AI238" s="293">
        <v>96354</v>
      </c>
      <c r="AJ238" s="217">
        <v>43972</v>
      </c>
      <c r="AK238" t="s">
        <v>379</v>
      </c>
    </row>
    <row r="239" spans="3:59" x14ac:dyDescent="0.25">
      <c r="AH239" s="291">
        <v>1620902</v>
      </c>
      <c r="AI239" s="293">
        <v>96354</v>
      </c>
      <c r="AJ239" s="270">
        <v>43972</v>
      </c>
      <c r="AK239" t="s">
        <v>378</v>
      </c>
    </row>
    <row r="240" spans="3:59" x14ac:dyDescent="0.25">
      <c r="AH240" s="291">
        <v>1620902</v>
      </c>
      <c r="AI240" s="293">
        <v>96354</v>
      </c>
      <c r="AJ240" s="270">
        <v>43972</v>
      </c>
      <c r="AK240" t="s">
        <v>421</v>
      </c>
    </row>
    <row r="241" spans="3:59" x14ac:dyDescent="0.25">
      <c r="AH241" s="291">
        <v>1620902</v>
      </c>
      <c r="AI241" s="293">
        <v>96354</v>
      </c>
      <c r="AJ241" s="270">
        <v>43972</v>
      </c>
      <c r="AK241" t="s">
        <v>423</v>
      </c>
    </row>
    <row r="242" spans="3:59" x14ac:dyDescent="0.25">
      <c r="AH242" s="291">
        <v>1645094</v>
      </c>
      <c r="AI242" s="293">
        <v>97647</v>
      </c>
      <c r="AJ242" s="165">
        <v>43973</v>
      </c>
      <c r="AK242" t="s">
        <v>388</v>
      </c>
    </row>
    <row r="243" spans="3:59" s="69" customFormat="1" x14ac:dyDescent="0.25">
      <c r="C243"/>
      <c r="D243"/>
      <c r="E243"/>
      <c r="F243"/>
      <c r="G243"/>
      <c r="H243"/>
      <c r="I243"/>
      <c r="J243"/>
      <c r="K243"/>
      <c r="L243"/>
      <c r="M243"/>
      <c r="N243"/>
      <c r="O243"/>
      <c r="P243"/>
      <c r="Q243"/>
      <c r="R243"/>
      <c r="S243"/>
      <c r="T243"/>
      <c r="U243"/>
      <c r="V243"/>
      <c r="W243"/>
      <c r="X243"/>
      <c r="Y243"/>
      <c r="Z243"/>
      <c r="AA243"/>
      <c r="AB243"/>
      <c r="AC243"/>
      <c r="AD243"/>
      <c r="AE243"/>
      <c r="AF243"/>
      <c r="AG243"/>
      <c r="AH243" s="291">
        <v>1645094</v>
      </c>
      <c r="AI243" s="293">
        <v>97647</v>
      </c>
      <c r="AJ243" s="165">
        <v>43973</v>
      </c>
      <c r="AK243" t="s">
        <v>394</v>
      </c>
      <c r="AL243"/>
      <c r="AM243"/>
      <c r="AN243"/>
      <c r="AO243"/>
      <c r="AP243"/>
      <c r="AQ243"/>
      <c r="AR243"/>
      <c r="AS243"/>
      <c r="AT243"/>
      <c r="AU243"/>
      <c r="AV243"/>
      <c r="AW243"/>
      <c r="AX243"/>
      <c r="AY243"/>
      <c r="AZ243"/>
      <c r="BA243"/>
      <c r="BB243"/>
      <c r="BC243"/>
      <c r="BD243"/>
      <c r="BE243"/>
      <c r="BF243"/>
      <c r="BG243"/>
    </row>
    <row r="244" spans="3:59" s="69" customFormat="1" x14ac:dyDescent="0.25">
      <c r="C244"/>
      <c r="D244"/>
      <c r="E244"/>
      <c r="F244"/>
      <c r="G244"/>
      <c r="H244"/>
      <c r="I244"/>
      <c r="J244"/>
      <c r="K244"/>
      <c r="L244"/>
      <c r="M244"/>
      <c r="N244"/>
      <c r="O244"/>
      <c r="P244"/>
      <c r="Q244"/>
      <c r="R244"/>
      <c r="S244"/>
      <c r="T244"/>
      <c r="U244"/>
      <c r="V244"/>
      <c r="W244"/>
      <c r="X244"/>
      <c r="Y244"/>
      <c r="Z244"/>
      <c r="AA244"/>
      <c r="AB244"/>
      <c r="AC244"/>
      <c r="AD244"/>
      <c r="AE244"/>
      <c r="AF244"/>
      <c r="AG244"/>
      <c r="AH244" s="291">
        <v>1645094</v>
      </c>
      <c r="AI244" s="293">
        <v>97647</v>
      </c>
      <c r="AJ244" s="165">
        <v>43973</v>
      </c>
      <c r="AK244" t="s">
        <v>508</v>
      </c>
      <c r="AL244"/>
      <c r="AM244"/>
      <c r="AN244"/>
      <c r="AO244"/>
      <c r="AP244"/>
      <c r="AQ244"/>
      <c r="AR244"/>
      <c r="AS244"/>
      <c r="AT244"/>
      <c r="AU244"/>
      <c r="AV244"/>
      <c r="AW244"/>
      <c r="AX244"/>
      <c r="AY244"/>
      <c r="AZ244"/>
      <c r="BA244"/>
      <c r="BB244"/>
      <c r="BC244"/>
      <c r="BD244"/>
      <c r="BE244"/>
      <c r="BF244"/>
      <c r="BG244"/>
    </row>
    <row r="245" spans="3:59" x14ac:dyDescent="0.25">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c r="AA245" s="69"/>
      <c r="AB245" s="69"/>
      <c r="AC245" s="69"/>
      <c r="AD245" s="69"/>
      <c r="AE245" s="69"/>
      <c r="AF245" s="69"/>
      <c r="AG245" s="69"/>
      <c r="AH245" s="291">
        <v>1645094</v>
      </c>
      <c r="AI245" s="293">
        <v>97647</v>
      </c>
      <c r="AJ245" s="270">
        <v>43973</v>
      </c>
      <c r="AK245" t="s">
        <v>386</v>
      </c>
      <c r="AL245" s="69"/>
      <c r="AM245" s="69"/>
      <c r="AN245" s="69"/>
      <c r="AO245" s="69"/>
      <c r="AP245" s="69"/>
      <c r="AQ245" s="69"/>
      <c r="AR245" s="69"/>
      <c r="AS245" s="69"/>
      <c r="AT245" s="69"/>
      <c r="AU245" s="69"/>
      <c r="AV245" s="69"/>
      <c r="AW245" s="69"/>
      <c r="AX245" s="69"/>
      <c r="AY245" s="69"/>
      <c r="AZ245" s="69"/>
      <c r="BA245" s="69"/>
      <c r="BB245" s="69"/>
      <c r="BC245" s="69"/>
      <c r="BD245" s="69"/>
      <c r="BE245" s="69"/>
      <c r="BF245" s="69"/>
      <c r="BG245" s="69"/>
    </row>
    <row r="246" spans="3:59" x14ac:dyDescent="0.25">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c r="AA246" s="69"/>
      <c r="AB246" s="69"/>
      <c r="AC246" s="69"/>
      <c r="AD246" s="69"/>
      <c r="AE246" s="69"/>
      <c r="AF246" s="69"/>
      <c r="AG246" s="69"/>
      <c r="AH246" s="291">
        <v>1644899</v>
      </c>
      <c r="AI246" s="293">
        <v>98678</v>
      </c>
      <c r="AJ246" s="165">
        <v>43974</v>
      </c>
      <c r="AK246" s="69" t="s">
        <v>392</v>
      </c>
      <c r="AL246" s="69"/>
      <c r="AM246" s="69"/>
      <c r="AN246" s="69"/>
      <c r="AO246" s="69"/>
      <c r="AP246" s="69"/>
      <c r="AQ246" s="69"/>
      <c r="AR246" s="69"/>
      <c r="AS246" s="69"/>
      <c r="AT246" s="69"/>
      <c r="AU246" s="69"/>
      <c r="AV246" s="69"/>
      <c r="AW246" s="69"/>
      <c r="AX246" s="69"/>
      <c r="AY246" s="69"/>
      <c r="AZ246" s="69"/>
      <c r="BA246" s="69"/>
      <c r="BB246" s="69"/>
      <c r="BC246" s="69"/>
      <c r="BD246" s="69"/>
      <c r="BE246" s="69"/>
      <c r="BF246" s="69"/>
      <c r="BG246" s="69"/>
    </row>
    <row r="247" spans="3:59" x14ac:dyDescent="0.25">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c r="AA247" s="69"/>
      <c r="AB247" s="69"/>
      <c r="AC247" s="69"/>
      <c r="AD247" s="69"/>
      <c r="AE247" s="69"/>
      <c r="AF247" s="69"/>
      <c r="AG247" s="69"/>
      <c r="AH247" s="291">
        <v>1644899</v>
      </c>
      <c r="AI247" s="293">
        <v>98678</v>
      </c>
      <c r="AJ247" s="165">
        <v>43974</v>
      </c>
      <c r="AK247" s="69" t="s">
        <v>415</v>
      </c>
      <c r="AL247" s="69"/>
      <c r="AM247" s="69"/>
      <c r="AN247" s="69"/>
      <c r="AO247" s="69"/>
      <c r="AP247" s="69"/>
      <c r="AQ247" s="69"/>
      <c r="AR247" s="69"/>
      <c r="AS247" s="69"/>
      <c r="AT247" s="69"/>
      <c r="AU247" s="69"/>
      <c r="AV247" s="69"/>
      <c r="AW247" s="69"/>
      <c r="AX247" s="69"/>
      <c r="AY247" s="69"/>
      <c r="AZ247" s="69"/>
      <c r="BA247" s="69"/>
      <c r="BB247" s="69"/>
      <c r="BC247" s="69"/>
      <c r="BD247" s="69"/>
      <c r="BE247" s="69"/>
      <c r="BF247" s="69"/>
      <c r="BG247" s="69"/>
    </row>
    <row r="248" spans="3:59" x14ac:dyDescent="0.25">
      <c r="AH248" s="291">
        <v>1686436</v>
      </c>
      <c r="AI248" s="293">
        <v>99293</v>
      </c>
      <c r="AJ248" s="165">
        <v>43975</v>
      </c>
      <c r="AK248" s="69" t="s">
        <v>419</v>
      </c>
    </row>
    <row r="249" spans="3:59" x14ac:dyDescent="0.25">
      <c r="AH249" s="291">
        <v>1686436</v>
      </c>
      <c r="AI249" s="293">
        <v>99293</v>
      </c>
      <c r="AJ249" s="165">
        <v>43975</v>
      </c>
      <c r="AK249" s="69" t="s">
        <v>393</v>
      </c>
    </row>
    <row r="250" spans="3:59" x14ac:dyDescent="0.25">
      <c r="AH250" s="291">
        <v>1706226</v>
      </c>
      <c r="AI250" s="293">
        <v>99798</v>
      </c>
      <c r="AJ250" s="217">
        <v>43976</v>
      </c>
      <c r="AK250" s="69" t="s">
        <v>411</v>
      </c>
    </row>
    <row r="251" spans="3:59" x14ac:dyDescent="0.25">
      <c r="AH251" s="291">
        <v>1706226</v>
      </c>
      <c r="AI251" s="293">
        <v>99798</v>
      </c>
      <c r="AJ251" s="270">
        <v>43976</v>
      </c>
      <c r="AK251" s="69" t="s">
        <v>413</v>
      </c>
    </row>
    <row r="252" spans="3:59" x14ac:dyDescent="0.25">
      <c r="AH252" s="291">
        <v>1706226</v>
      </c>
      <c r="AI252" s="293">
        <v>99798</v>
      </c>
      <c r="AJ252" s="270">
        <v>43976</v>
      </c>
      <c r="AK252" s="69" t="s">
        <v>410</v>
      </c>
      <c r="AL252" s="69"/>
    </row>
    <row r="253" spans="3:59" x14ac:dyDescent="0.25">
      <c r="AH253" s="291">
        <v>1706226</v>
      </c>
      <c r="AI253" s="293">
        <v>99798</v>
      </c>
      <c r="AJ253" s="270">
        <v>43976</v>
      </c>
      <c r="AK253" s="69" t="s">
        <v>412</v>
      </c>
    </row>
    <row r="254" spans="3:59" x14ac:dyDescent="0.25">
      <c r="AH254" s="291">
        <v>1706226</v>
      </c>
      <c r="AI254" s="293">
        <v>99798</v>
      </c>
      <c r="AJ254" s="270">
        <v>43976</v>
      </c>
      <c r="AK254" s="69" t="s">
        <v>417</v>
      </c>
    </row>
    <row r="255" spans="3:59" x14ac:dyDescent="0.25">
      <c r="AH255" s="291">
        <v>1706226</v>
      </c>
      <c r="AI255" s="293">
        <v>99798</v>
      </c>
      <c r="AJ255" s="217">
        <v>43976</v>
      </c>
      <c r="AK255" s="69" t="s">
        <v>418</v>
      </c>
    </row>
    <row r="256" spans="3:59" x14ac:dyDescent="0.25">
      <c r="AH256" s="291">
        <v>1706226</v>
      </c>
      <c r="AI256" s="293">
        <v>99798</v>
      </c>
      <c r="AJ256" s="271">
        <v>43976</v>
      </c>
      <c r="AK256" s="69" t="s">
        <v>420</v>
      </c>
      <c r="AL256" s="255"/>
    </row>
    <row r="257" spans="1:38" x14ac:dyDescent="0.25">
      <c r="AH257" s="291">
        <v>1725275</v>
      </c>
      <c r="AI257" s="292">
        <v>100572</v>
      </c>
      <c r="AJ257" s="192">
        <v>43977</v>
      </c>
      <c r="AK257" s="69" t="s">
        <v>533</v>
      </c>
    </row>
    <row r="258" spans="1:38" x14ac:dyDescent="0.25">
      <c r="AH258" s="291">
        <v>1725275</v>
      </c>
      <c r="AI258" s="293">
        <v>100572</v>
      </c>
      <c r="AJ258" s="270">
        <v>43977</v>
      </c>
      <c r="AK258" s="47" t="s">
        <v>506</v>
      </c>
    </row>
    <row r="259" spans="1:38" x14ac:dyDescent="0.25">
      <c r="AH259" s="291">
        <v>1725275</v>
      </c>
      <c r="AI259" s="293">
        <v>100572</v>
      </c>
      <c r="AJ259" s="270">
        <v>43977</v>
      </c>
      <c r="AK259" s="47" t="s">
        <v>424</v>
      </c>
    </row>
    <row r="260" spans="1:38" x14ac:dyDescent="0.25">
      <c r="AH260" s="291">
        <v>1745803</v>
      </c>
      <c r="AI260" s="300">
        <v>102107</v>
      </c>
      <c r="AJ260" s="270">
        <v>43978</v>
      </c>
      <c r="AK260" s="47" t="s">
        <v>416</v>
      </c>
    </row>
    <row r="261" spans="1:38" x14ac:dyDescent="0.25">
      <c r="AH261" s="291">
        <v>1745803</v>
      </c>
      <c r="AI261" s="300">
        <v>102107</v>
      </c>
      <c r="AJ261" s="270">
        <v>43978</v>
      </c>
      <c r="AK261" s="47" t="s">
        <v>507</v>
      </c>
    </row>
    <row r="262" spans="1:38" x14ac:dyDescent="0.25">
      <c r="AH262" s="301">
        <v>1768461</v>
      </c>
      <c r="AI262" s="300">
        <v>103330</v>
      </c>
      <c r="AJ262" s="270">
        <v>43979</v>
      </c>
      <c r="AK262" s="47" t="s">
        <v>425</v>
      </c>
    </row>
    <row r="263" spans="1:38" s="69" customFormat="1" x14ac:dyDescent="0.25">
      <c r="AI263" s="301">
        <v>1793530</v>
      </c>
      <c r="AJ263" s="300">
        <v>104542</v>
      </c>
      <c r="AK263" s="270">
        <v>43980</v>
      </c>
      <c r="AL263" s="47" t="s">
        <v>535</v>
      </c>
    </row>
    <row r="264" spans="1:38" s="69" customFormat="1" x14ac:dyDescent="0.25">
      <c r="AI264" s="301">
        <v>1793530</v>
      </c>
      <c r="AJ264" s="300">
        <v>104542</v>
      </c>
      <c r="AK264" s="165">
        <v>43980</v>
      </c>
      <c r="AL264" s="69" t="s">
        <v>513</v>
      </c>
    </row>
    <row r="265" spans="1:38" s="69" customFormat="1" x14ac:dyDescent="0.25">
      <c r="AI265" s="301">
        <v>1793530</v>
      </c>
      <c r="AJ265" s="300">
        <v>104542</v>
      </c>
      <c r="AK265" s="270">
        <v>43980</v>
      </c>
      <c r="AL265" s="69" t="s">
        <v>534</v>
      </c>
    </row>
    <row r="266" spans="1:38" x14ac:dyDescent="0.25">
      <c r="AI266" s="301">
        <v>1837170</v>
      </c>
      <c r="AJ266" s="300">
        <v>106195</v>
      </c>
      <c r="AK266" s="270">
        <v>43982</v>
      </c>
      <c r="AL266" s="69" t="s">
        <v>540</v>
      </c>
    </row>
    <row r="267" spans="1:38" x14ac:dyDescent="0.25">
      <c r="A267" s="4" t="s">
        <v>188</v>
      </c>
      <c r="B267" s="221">
        <v>330565500</v>
      </c>
      <c r="AI267" s="301">
        <v>1859323</v>
      </c>
      <c r="AJ267" s="300">
        <v>106925</v>
      </c>
      <c r="AK267" s="217">
        <v>43983</v>
      </c>
      <c r="AL267" s="69" t="s">
        <v>539</v>
      </c>
    </row>
    <row r="268" spans="1:38" x14ac:dyDescent="0.25">
      <c r="A268" s="4"/>
      <c r="B268" s="299"/>
      <c r="AI268" s="301">
        <v>1859323</v>
      </c>
      <c r="AJ268" s="300">
        <v>106925</v>
      </c>
      <c r="AK268" s="217">
        <v>43983</v>
      </c>
      <c r="AL268" s="69" t="s">
        <v>542</v>
      </c>
    </row>
    <row r="269" spans="1:38" x14ac:dyDescent="0.25">
      <c r="A269" s="57" t="s">
        <v>381</v>
      </c>
      <c r="B269" s="294">
        <v>1.4E-2</v>
      </c>
      <c r="AI269" s="301">
        <v>1881205</v>
      </c>
      <c r="AJ269" s="300">
        <v>108059</v>
      </c>
      <c r="AK269" s="271">
        <v>43984</v>
      </c>
      <c r="AL269" s="69" t="s">
        <v>543</v>
      </c>
    </row>
    <row r="270" spans="1:38" s="69" customFormat="1" x14ac:dyDescent="0.25">
      <c r="A270" s="62"/>
      <c r="B270" s="169"/>
      <c r="C270" s="69" t="s">
        <v>299</v>
      </c>
    </row>
    <row r="271" spans="1:38" x14ac:dyDescent="0.25">
      <c r="A271" s="4" t="s">
        <v>112</v>
      </c>
      <c r="B271" s="155">
        <f>B269/B279</f>
        <v>0.23728813559322035</v>
      </c>
      <c r="C271" t="s">
        <v>382</v>
      </c>
      <c r="D271" s="69"/>
      <c r="E271" s="69"/>
      <c r="G271" s="69"/>
      <c r="H271" s="69"/>
      <c r="I271" s="69"/>
      <c r="J271" s="69"/>
      <c r="K271" s="69"/>
      <c r="L271" s="69"/>
      <c r="M271" s="69"/>
      <c r="N271" s="69"/>
      <c r="O271" s="69"/>
      <c r="P271" s="69"/>
      <c r="Q271" s="69"/>
      <c r="R271" s="69"/>
      <c r="S271" s="165"/>
      <c r="T271" s="69"/>
      <c r="U271" s="165"/>
      <c r="X271" s="198"/>
      <c r="Y271" s="16"/>
    </row>
    <row r="272" spans="1:38" x14ac:dyDescent="0.25">
      <c r="A272" s="37" t="s">
        <v>114</v>
      </c>
      <c r="B272" s="114">
        <v>7.0000000000000007E-2</v>
      </c>
      <c r="C272" s="248"/>
      <c r="D272" s="69"/>
      <c r="E272" s="69"/>
      <c r="F272" s="69"/>
      <c r="G272" s="69"/>
      <c r="H272" s="69"/>
      <c r="I272" s="69"/>
      <c r="J272" s="69"/>
      <c r="K272" s="69"/>
      <c r="L272" s="69"/>
      <c r="M272" s="69"/>
      <c r="N272" s="69"/>
      <c r="O272" s="69"/>
      <c r="P272" s="69"/>
      <c r="Q272" s="69"/>
      <c r="R272" s="69"/>
      <c r="S272" s="69"/>
      <c r="T272" s="165"/>
      <c r="U272" s="165"/>
      <c r="V272" s="69"/>
      <c r="W272" s="69"/>
      <c r="X272" s="16"/>
      <c r="Y272" s="16"/>
    </row>
    <row r="273" spans="1:63" x14ac:dyDescent="0.25">
      <c r="A273" s="4" t="s">
        <v>177</v>
      </c>
      <c r="B273" s="249">
        <v>2.4</v>
      </c>
      <c r="C273" s="64">
        <f>(B267/1000)*B273</f>
        <v>793357.2</v>
      </c>
      <c r="D273" s="69"/>
      <c r="E273" s="69"/>
      <c r="F273" s="69"/>
      <c r="G273" s="69"/>
      <c r="H273" s="69"/>
      <c r="I273" s="69"/>
      <c r="J273" s="69"/>
      <c r="K273" s="69"/>
      <c r="L273" s="69"/>
      <c r="M273" s="69"/>
      <c r="N273" s="69"/>
      <c r="O273" s="69"/>
      <c r="P273" s="69"/>
      <c r="Q273" s="69"/>
      <c r="R273" s="69"/>
      <c r="S273" s="69"/>
      <c r="T273" s="69"/>
      <c r="U273" s="69"/>
      <c r="V273" s="69"/>
      <c r="W273" s="69"/>
      <c r="X273" s="16"/>
      <c r="Y273" s="16"/>
      <c r="AA273" s="120"/>
    </row>
    <row r="274" spans="1:63" x14ac:dyDescent="0.25">
      <c r="A274" s="37" t="s">
        <v>178</v>
      </c>
      <c r="B274" s="250">
        <v>34.700000000000003</v>
      </c>
      <c r="C274" s="61">
        <f>(B267/100000)*B274</f>
        <v>114706.22850000001</v>
      </c>
      <c r="D274" s="69"/>
      <c r="E274" s="69"/>
      <c r="F274" s="69"/>
      <c r="G274" s="69"/>
      <c r="H274" s="69"/>
      <c r="I274" s="69"/>
      <c r="J274" s="69"/>
      <c r="K274" s="69"/>
      <c r="L274" s="69"/>
      <c r="M274" s="69"/>
      <c r="N274" s="69"/>
      <c r="O274" s="69"/>
      <c r="P274" s="69"/>
      <c r="Q274" s="69"/>
      <c r="R274" s="69"/>
      <c r="S274" s="69"/>
      <c r="T274" s="69"/>
      <c r="U274" s="69"/>
      <c r="V274" s="150"/>
      <c r="W274" s="69"/>
    </row>
    <row r="275" spans="1:63" x14ac:dyDescent="0.25">
      <c r="A275" s="41"/>
      <c r="B275" s="288"/>
      <c r="C275" s="10"/>
      <c r="D275" s="69"/>
      <c r="E275" s="69"/>
      <c r="F275" s="69"/>
      <c r="G275" s="69"/>
      <c r="H275" s="69"/>
      <c r="I275" s="69"/>
      <c r="J275" s="69"/>
      <c r="K275" s="69"/>
      <c r="L275" s="69"/>
      <c r="M275" s="69"/>
      <c r="N275" s="69"/>
      <c r="O275" s="69"/>
      <c r="P275" s="69"/>
      <c r="Q275" s="69"/>
      <c r="R275" s="69"/>
      <c r="S275" s="69"/>
      <c r="T275" s="69"/>
      <c r="U275" s="69"/>
      <c r="V275" s="150"/>
      <c r="W275" s="69"/>
    </row>
    <row r="276" spans="1:63" x14ac:dyDescent="0.25">
      <c r="A276" s="4" t="s">
        <v>73</v>
      </c>
      <c r="B276" s="112">
        <v>0.81</v>
      </c>
      <c r="C276" s="2"/>
      <c r="D276" s="69"/>
      <c r="E276" s="69"/>
      <c r="F276" s="69"/>
      <c r="G276" s="69"/>
      <c r="H276" s="69"/>
      <c r="I276" s="69"/>
      <c r="J276" s="69"/>
      <c r="K276" s="69"/>
      <c r="L276" s="69"/>
      <c r="M276" s="69"/>
      <c r="N276" s="69"/>
      <c r="O276" s="69"/>
      <c r="P276" s="69"/>
      <c r="Q276" s="69"/>
      <c r="R276" s="69"/>
      <c r="S276" s="69"/>
      <c r="T276" s="69"/>
      <c r="U276" s="69"/>
      <c r="Z276" s="217"/>
      <c r="AC276" s="255"/>
    </row>
    <row r="277" spans="1:63" x14ac:dyDescent="0.25">
      <c r="A277" s="41" t="s">
        <v>74</v>
      </c>
      <c r="B277" s="113">
        <v>0.14000000000000001</v>
      </c>
      <c r="C277" s="2"/>
      <c r="D277" s="69"/>
      <c r="E277" s="69"/>
      <c r="F277" s="69"/>
      <c r="G277" s="69"/>
      <c r="H277" s="69"/>
      <c r="I277" s="69"/>
      <c r="J277" s="69"/>
      <c r="K277" s="69"/>
      <c r="L277" s="69"/>
      <c r="M277" s="69"/>
      <c r="N277" s="69"/>
      <c r="O277" s="69"/>
      <c r="P277" s="69"/>
      <c r="Q277" s="69"/>
      <c r="R277" s="69"/>
      <c r="S277" s="69"/>
      <c r="T277" s="69"/>
      <c r="U277" s="47"/>
      <c r="V277" s="69"/>
      <c r="W277" s="165"/>
      <c r="AC277" s="217"/>
      <c r="AV277" s="255"/>
      <c r="AW277" s="255"/>
      <c r="AX277" s="255"/>
      <c r="AY277" s="255"/>
      <c r="AZ277" s="255"/>
    </row>
    <row r="278" spans="1:63" x14ac:dyDescent="0.25">
      <c r="A278" s="37" t="s">
        <v>108</v>
      </c>
      <c r="B278" s="114">
        <v>0.05</v>
      </c>
      <c r="C278" s="2"/>
      <c r="D278" s="212" t="s">
        <v>167</v>
      </c>
      <c r="T278" s="16"/>
      <c r="U278" s="16"/>
      <c r="V278" s="259"/>
      <c r="W278" s="16"/>
      <c r="AE278" s="2"/>
      <c r="AJ278" s="217"/>
      <c r="AK278" s="217"/>
      <c r="BA278" s="175"/>
      <c r="BB278" s="175"/>
      <c r="BC278" s="175"/>
      <c r="BD278" s="175"/>
      <c r="BE278" s="175"/>
      <c r="BF278" s="175"/>
    </row>
    <row r="279" spans="1:63" x14ac:dyDescent="0.25">
      <c r="A279" s="37" t="s">
        <v>113</v>
      </c>
      <c r="B279" s="65">
        <v>5.8999999999999997E-2</v>
      </c>
      <c r="C279" s="2"/>
      <c r="D279" s="179" t="s">
        <v>159</v>
      </c>
      <c r="U279" s="16"/>
      <c r="V279" s="16"/>
      <c r="W279" s="16"/>
      <c r="AI279" s="217"/>
      <c r="AJ279" s="217"/>
      <c r="AV279" s="176"/>
      <c r="AW279" s="176"/>
      <c r="AX279" s="176"/>
      <c r="AY279" s="176"/>
      <c r="AZ279" s="176"/>
    </row>
    <row r="280" spans="1:63" x14ac:dyDescent="0.25">
      <c r="A280" s="153" t="s">
        <v>297</v>
      </c>
      <c r="B280" s="154">
        <v>43851</v>
      </c>
      <c r="C280" s="2"/>
      <c r="D280" s="256">
        <f>(BA283-P283)/(LOG(BA284/P284)/LOG(2))</f>
        <v>36.631578947368418</v>
      </c>
      <c r="E280" s="175"/>
      <c r="L280" s="217"/>
      <c r="M280" s="217"/>
      <c r="N280" s="217"/>
      <c r="S280" s="16"/>
      <c r="T280" s="16"/>
      <c r="U280" s="16"/>
      <c r="V280" s="16"/>
      <c r="W280" s="16"/>
      <c r="AC280" t="s">
        <v>328</v>
      </c>
      <c r="AK280" s="217"/>
      <c r="AL280" s="217"/>
    </row>
    <row r="281" spans="1:63" x14ac:dyDescent="0.25">
      <c r="A281" s="16"/>
      <c r="B281" s="50" t="s">
        <v>54</v>
      </c>
      <c r="C281" s="10"/>
      <c r="D281" s="16"/>
      <c r="E281" s="16"/>
      <c r="F281" s="16"/>
      <c r="G281" s="16"/>
      <c r="H281" s="16"/>
      <c r="I281" s="16"/>
      <c r="J281" s="16"/>
      <c r="K281" s="16"/>
      <c r="L281" s="16"/>
      <c r="M281" s="16"/>
      <c r="N281" s="16"/>
      <c r="O281" s="16"/>
      <c r="Q281" s="16"/>
      <c r="R281" s="16"/>
      <c r="S281" s="16"/>
      <c r="T281" s="16"/>
      <c r="U281" s="16"/>
      <c r="V281" s="16"/>
      <c r="W281" s="16"/>
      <c r="X281" s="16"/>
      <c r="Y281" s="16"/>
      <c r="Z281" s="16"/>
      <c r="AA281" s="16"/>
      <c r="AB281" s="16"/>
      <c r="AC281" s="16"/>
      <c r="AD281" s="16"/>
      <c r="AE281" s="16"/>
      <c r="AF281" s="16" t="s">
        <v>289</v>
      </c>
      <c r="AG281" s="16"/>
      <c r="AH281" s="16"/>
      <c r="AI281" s="16"/>
      <c r="AJ281" s="16"/>
      <c r="AK281" s="16"/>
      <c r="AL281" s="16"/>
      <c r="AM281" s="16"/>
      <c r="AN281" s="16"/>
      <c r="AO281" s="16"/>
      <c r="AP281" s="16"/>
      <c r="AQ281" s="16"/>
      <c r="AR281" s="16"/>
      <c r="AS281" s="16"/>
      <c r="AT281" s="16"/>
      <c r="AU281" s="16"/>
      <c r="BH281" s="152"/>
    </row>
    <row r="282" spans="1:63" x14ac:dyDescent="0.25">
      <c r="A282" s="53" t="s">
        <v>41</v>
      </c>
      <c r="B282" s="192">
        <v>43882</v>
      </c>
      <c r="C282" s="192">
        <v>43890</v>
      </c>
      <c r="D282" s="192">
        <v>43893</v>
      </c>
      <c r="E282" s="192">
        <v>43895</v>
      </c>
      <c r="F282" s="192">
        <v>43904</v>
      </c>
      <c r="G282" s="192">
        <v>43912</v>
      </c>
      <c r="H282" s="192">
        <v>43918</v>
      </c>
      <c r="I282" s="192">
        <v>43923</v>
      </c>
      <c r="J282" s="192">
        <v>43932</v>
      </c>
      <c r="K282" s="192">
        <v>43948</v>
      </c>
      <c r="L282" s="192">
        <v>43990</v>
      </c>
      <c r="M282" s="192">
        <v>44074</v>
      </c>
      <c r="N282" s="192">
        <v>44242</v>
      </c>
      <c r="O282" s="192"/>
      <c r="Q282" s="133" t="s">
        <v>298</v>
      </c>
      <c r="R282" s="16"/>
      <c r="S282" s="16"/>
      <c r="T282" s="16"/>
      <c r="U282" s="16"/>
      <c r="V282" s="16"/>
      <c r="W282" s="16"/>
      <c r="X282" s="16"/>
      <c r="Y282" s="182"/>
      <c r="Z282" s="16"/>
      <c r="AA282" s="16"/>
      <c r="AB282" s="16"/>
      <c r="AC282" s="16" t="s">
        <v>264</v>
      </c>
      <c r="AG282" t="s">
        <v>300</v>
      </c>
      <c r="AL282" s="16"/>
      <c r="AM282" s="16"/>
      <c r="AN282" s="16"/>
      <c r="AO282" s="16"/>
      <c r="AP282" s="16"/>
      <c r="AQ282" s="16"/>
      <c r="AR282" s="16"/>
      <c r="AS282" s="16"/>
      <c r="AT282" s="16"/>
      <c r="AU282" s="16"/>
      <c r="BB282" s="212" t="s">
        <v>168</v>
      </c>
      <c r="BH282" s="252" t="s">
        <v>187</v>
      </c>
    </row>
    <row r="283" spans="1:63" x14ac:dyDescent="0.25">
      <c r="A283" s="4" t="s">
        <v>11</v>
      </c>
      <c r="B283" s="84">
        <v>8</v>
      </c>
      <c r="C283" s="157">
        <v>3</v>
      </c>
      <c r="D283" s="258">
        <v>2</v>
      </c>
      <c r="E283" s="157">
        <v>3</v>
      </c>
      <c r="F283" s="258">
        <v>2</v>
      </c>
      <c r="G283" s="157">
        <v>3</v>
      </c>
      <c r="H283" s="156">
        <v>5</v>
      </c>
      <c r="I283" s="257">
        <v>9</v>
      </c>
      <c r="J283">
        <v>16</v>
      </c>
      <c r="K283">
        <v>42</v>
      </c>
      <c r="L283">
        <v>84</v>
      </c>
      <c r="M283">
        <v>168</v>
      </c>
      <c r="N283">
        <v>336</v>
      </c>
      <c r="O283" s="220"/>
      <c r="P283" s="277">
        <v>43882</v>
      </c>
      <c r="Q283" s="278">
        <f t="shared" ref="Q283:AD283" si="0">P283+HLOOKUP(P283+1, $B$282:$O$283,2,TRUE)</f>
        <v>43890</v>
      </c>
      <c r="R283" s="279">
        <f t="shared" si="0"/>
        <v>43893</v>
      </c>
      <c r="S283" s="278">
        <f t="shared" si="0"/>
        <v>43895</v>
      </c>
      <c r="T283" s="278">
        <f t="shared" si="0"/>
        <v>43898</v>
      </c>
      <c r="U283" s="278">
        <f t="shared" si="0"/>
        <v>43901</v>
      </c>
      <c r="V283" s="279">
        <f t="shared" si="0"/>
        <v>43904</v>
      </c>
      <c r="W283" s="279">
        <f t="shared" si="0"/>
        <v>43906</v>
      </c>
      <c r="X283" s="279">
        <f t="shared" si="0"/>
        <v>43908</v>
      </c>
      <c r="Y283" s="279">
        <f t="shared" si="0"/>
        <v>43910</v>
      </c>
      <c r="Z283" s="278">
        <f t="shared" si="0"/>
        <v>43912</v>
      </c>
      <c r="AA283" s="280">
        <f t="shared" si="0"/>
        <v>43915</v>
      </c>
      <c r="AB283" s="280">
        <f t="shared" si="0"/>
        <v>43918</v>
      </c>
      <c r="AC283" s="281">
        <f t="shared" si="0"/>
        <v>43923</v>
      </c>
      <c r="AD283" s="282">
        <f t="shared" si="0"/>
        <v>43932</v>
      </c>
      <c r="AE283" s="283">
        <f>$AD$283+(($AH$283-$AD$283)*0.25)</f>
        <v>43936</v>
      </c>
      <c r="AF283" s="283">
        <f>$AD$283+(($AH$283-$AD$283)*0.5)</f>
        <v>43940</v>
      </c>
      <c r="AG283" s="283">
        <f>$AD$283+(($AH$283-$AD$283)*0.75)</f>
        <v>43944</v>
      </c>
      <c r="AH283" s="282">
        <f>AD283+HLOOKUP(AD283+1, $B$282:$O$283,2,TRUE)</f>
        <v>43948</v>
      </c>
      <c r="AI283" s="283">
        <f>$AH$283+(($AL$283-$AH$283)*0.25)</f>
        <v>43958.5</v>
      </c>
      <c r="AJ283" s="283">
        <f>$AH$283+(($AL$283-$AH$283)*0.5)</f>
        <v>43969</v>
      </c>
      <c r="AK283" s="287">
        <f>$AH$283+(($AL$283-$AH$283)*0.77)</f>
        <v>43980.34</v>
      </c>
      <c r="AL283" s="228">
        <f>AH283+HLOOKUP(AH283+1, $B$282:$O$283,2,TRUE)</f>
        <v>43990</v>
      </c>
      <c r="AM283" s="285">
        <f>$AL$283+(($AQ$283-$AL$283)*0.2)</f>
        <v>44006.8</v>
      </c>
      <c r="AN283" s="285">
        <f>$AL$283+(($AQ$283-$AL$283)*0.4)</f>
        <v>44023.6</v>
      </c>
      <c r="AO283" s="285">
        <f>$AL$283+(($AQ$283-$AL$283)*0.6)</f>
        <v>44040.4</v>
      </c>
      <c r="AP283" s="285">
        <f>$AL$283+(($AQ$283-$AL$283)*0.8)</f>
        <v>44057.2</v>
      </c>
      <c r="AQ283" s="228">
        <f>AL283+HLOOKUP(AL283+1, $B$282:$O$283,2,TRUE)</f>
        <v>44074</v>
      </c>
      <c r="AR283" s="285">
        <f>$AQ$283+(($AV$283-$AQ$283)*0.2)</f>
        <v>44107.6</v>
      </c>
      <c r="AS283" s="285">
        <f>$AQ$283+(($AV$283-$AQ$283)*0.4)</f>
        <v>44141.2</v>
      </c>
      <c r="AT283" s="285">
        <f>$AQ$283+(($AV$283-$AQ$283)*0.6)</f>
        <v>44174.8</v>
      </c>
      <c r="AU283" s="285">
        <f>$AQ$283+(($AV$283-$AQ$283)*0.8)</f>
        <v>44208.4</v>
      </c>
      <c r="AV283" s="228">
        <f>AQ283+HLOOKUP(AQ283+1, $B$282:$O$283,2,TRUE)</f>
        <v>44242</v>
      </c>
      <c r="AW283" s="285">
        <f>$AV$283+(($BA$283-$AV$283)*0.2)</f>
        <v>44309.2</v>
      </c>
      <c r="AX283" s="285">
        <f>$AV$283+(($BA$283-$AV$283)*0.4)</f>
        <v>44376.4</v>
      </c>
      <c r="AY283" s="285">
        <f>$AV$283+(($BA$283-$AV$283)*0.6)</f>
        <v>44443.6</v>
      </c>
      <c r="AZ283" s="285">
        <f>$AV$283+(($BA$283-$AV$283)*0.8)</f>
        <v>44510.8</v>
      </c>
      <c r="BA283" s="237">
        <f>AV283+HLOOKUP(AV283+1, $B$282:$O$283,2,TRUE)</f>
        <v>44578</v>
      </c>
      <c r="BB283" s="228">
        <f>BA283+HLOOKUP(BA283+1, $B$282:$O$283,2,TRUE)</f>
        <v>44914</v>
      </c>
      <c r="BC283" s="228">
        <f t="shared" ref="BC283:BG283" si="1">BB283+HLOOKUP(BB283+1, $B$282:$O$283,2,TRUE)</f>
        <v>45250</v>
      </c>
      <c r="BD283" s="228">
        <f t="shared" si="1"/>
        <v>45586</v>
      </c>
      <c r="BE283" s="228">
        <f t="shared" si="1"/>
        <v>45922</v>
      </c>
      <c r="BF283" s="237">
        <f t="shared" si="1"/>
        <v>46258</v>
      </c>
      <c r="BG283" s="237">
        <f t="shared" si="1"/>
        <v>46594</v>
      </c>
      <c r="BH283" s="251">
        <f>BG283+(7*8)</f>
        <v>46650</v>
      </c>
      <c r="BI283" s="70"/>
      <c r="BJ283" s="70"/>
      <c r="BK283" s="69"/>
    </row>
    <row r="284" spans="1:63" x14ac:dyDescent="0.25">
      <c r="A284" s="41" t="s">
        <v>106</v>
      </c>
      <c r="B284" s="16"/>
      <c r="C284" s="16"/>
      <c r="D284" s="16"/>
      <c r="E284" s="16"/>
      <c r="F284" s="16"/>
      <c r="G284" s="16"/>
      <c r="H284" s="16"/>
      <c r="I284" s="16"/>
      <c r="J284" s="16"/>
      <c r="K284" s="16"/>
      <c r="L284" s="16"/>
      <c r="M284" s="16"/>
      <c r="N284" s="16"/>
      <c r="O284" s="16"/>
      <c r="P284" s="273">
        <v>31.25</v>
      </c>
      <c r="Q284" s="274">
        <f>P284*2</f>
        <v>62.5</v>
      </c>
      <c r="R284" s="274">
        <f t="shared" ref="R284:AD284" si="2">Q284*2</f>
        <v>125</v>
      </c>
      <c r="S284" s="274">
        <f t="shared" si="2"/>
        <v>250</v>
      </c>
      <c r="T284" s="274">
        <f t="shared" si="2"/>
        <v>500</v>
      </c>
      <c r="U284" s="274">
        <f t="shared" si="2"/>
        <v>1000</v>
      </c>
      <c r="V284" s="274">
        <f t="shared" si="2"/>
        <v>2000</v>
      </c>
      <c r="W284" s="274">
        <f t="shared" si="2"/>
        <v>4000</v>
      </c>
      <c r="X284" s="274">
        <f t="shared" si="2"/>
        <v>8000</v>
      </c>
      <c r="Y284" s="274">
        <f>X284*2</f>
        <v>16000</v>
      </c>
      <c r="Z284" s="274">
        <f>Y284*2</f>
        <v>32000</v>
      </c>
      <c r="AA284" s="274">
        <f>Z284*2</f>
        <v>64000</v>
      </c>
      <c r="AB284" s="274">
        <f>AA284*2</f>
        <v>128000</v>
      </c>
      <c r="AC284" s="274">
        <f t="shared" si="2"/>
        <v>256000</v>
      </c>
      <c r="AD284" s="274">
        <f t="shared" si="2"/>
        <v>512000</v>
      </c>
      <c r="AE284" s="274">
        <f>$AD$284+(($AH$284-$AD$284)*0.25)</f>
        <v>640000</v>
      </c>
      <c r="AF284" s="274">
        <f>$AD$284+(($AH$284-$AD$284)*0.5)</f>
        <v>768000</v>
      </c>
      <c r="AG284" s="274">
        <f>$AD$284+(($AH$284-$AD$284)*0.75)</f>
        <v>896000</v>
      </c>
      <c r="AH284" s="274">
        <f>AD284*2</f>
        <v>1024000</v>
      </c>
      <c r="AI284" s="274">
        <f>$AH$284+(($AL$284-$AH$284)*0.28)</f>
        <v>1310720</v>
      </c>
      <c r="AJ284" s="274">
        <f>$AH$284+(($AL$284-$AH$284)*0.5)</f>
        <v>1536000</v>
      </c>
      <c r="AK284" s="274">
        <f>$AH$284+(($AL$284-$AH$284)*0.75)</f>
        <v>1792000</v>
      </c>
      <c r="AL284" s="274">
        <f>AH284*2</f>
        <v>2048000</v>
      </c>
      <c r="AM284" s="274">
        <f>$AL$284+(($AQ$284-$AL$284)*0.2)</f>
        <v>2457600</v>
      </c>
      <c r="AN284" s="274">
        <f>$AL$284+(($AQ$284-$AL$284)*0.4)</f>
        <v>2867200</v>
      </c>
      <c r="AO284" s="274">
        <f>$AL$284+(($AQ$284-$AL$284)*0.6)</f>
        <v>3276800</v>
      </c>
      <c r="AP284" s="274">
        <f>$AL$284+(($AQ$284-$AL$284)*0.8)</f>
        <v>3686400</v>
      </c>
      <c r="AQ284" s="274">
        <f>AL284*2</f>
        <v>4096000</v>
      </c>
      <c r="AR284" s="274">
        <f>$AQ$284+(($AV$284-$AQ$284)*0.2)</f>
        <v>4915200</v>
      </c>
      <c r="AS284" s="274">
        <f>$AQ$284+(($AV$284-$AQ$284)*0.4)</f>
        <v>5734400</v>
      </c>
      <c r="AT284" s="274">
        <f>$AQ$284+(($AV$284-$AQ$284)*0.6)</f>
        <v>6553600</v>
      </c>
      <c r="AU284" s="274">
        <f>$AQ$284+(($AV$284-$AQ$284)*0.8)</f>
        <v>7372800</v>
      </c>
      <c r="AV284" s="274">
        <f>AQ284*2</f>
        <v>8192000</v>
      </c>
      <c r="AW284" s="274">
        <f>$AV$284+(($BA$284-$AV$284)*0.2)</f>
        <v>9830400</v>
      </c>
      <c r="AX284" s="274">
        <f>$AV$284+(($BA$284-$AV$284)*0.4)</f>
        <v>11468800</v>
      </c>
      <c r="AY284" s="274">
        <f>$AV$284+(($BA$284-$AV$284)*0.6)</f>
        <v>13107200</v>
      </c>
      <c r="AZ284" s="274">
        <f>$AV$284+(($BA$284-$AV$284)*0.8)</f>
        <v>14745600</v>
      </c>
      <c r="BA284" s="275">
        <f>AV284*2</f>
        <v>16384000</v>
      </c>
      <c r="BB284" s="238">
        <f t="shared" ref="BB284:BE284" si="3">BA284*2</f>
        <v>32768000</v>
      </c>
      <c r="BC284" s="208">
        <f t="shared" si="3"/>
        <v>65536000</v>
      </c>
      <c r="BD284" s="208">
        <f t="shared" si="3"/>
        <v>131072000</v>
      </c>
      <c r="BE284" s="208">
        <f t="shared" si="3"/>
        <v>262144000</v>
      </c>
      <c r="BF284" s="209">
        <f>B267</f>
        <v>330565500</v>
      </c>
      <c r="BG284" s="199">
        <f>B267</f>
        <v>330565500</v>
      </c>
      <c r="BH284" s="242">
        <f>B267*BH285</f>
        <v>23139585.000000004</v>
      </c>
      <c r="BI284" s="45"/>
      <c r="BJ284" s="45"/>
      <c r="BK284" s="69"/>
    </row>
    <row r="285" spans="1:63" x14ac:dyDescent="0.25">
      <c r="A285" s="41" t="s">
        <v>107</v>
      </c>
      <c r="B285" s="16"/>
      <c r="C285" s="16"/>
      <c r="D285" s="16"/>
      <c r="E285" s="16"/>
      <c r="F285" s="16"/>
      <c r="G285" s="16"/>
      <c r="H285" s="16"/>
      <c r="I285" s="16"/>
      <c r="J285" s="16"/>
      <c r="K285" s="16"/>
      <c r="L285" s="16"/>
      <c r="M285" s="16"/>
      <c r="N285" s="16"/>
      <c r="O285" s="16"/>
      <c r="P285" s="218">
        <f t="shared" ref="P285:AP285" si="4">P284/$B$267</f>
        <v>9.453497113280122E-8</v>
      </c>
      <c r="Q285" s="219">
        <f t="shared" si="4"/>
        <v>1.8906994226560244E-7</v>
      </c>
      <c r="R285" s="219">
        <f t="shared" si="4"/>
        <v>3.7813988453120488E-7</v>
      </c>
      <c r="S285" s="196">
        <f t="shared" si="4"/>
        <v>7.5627976906240976E-7</v>
      </c>
      <c r="T285" s="196">
        <f t="shared" si="4"/>
        <v>1.5125595381248195E-6</v>
      </c>
      <c r="U285" s="196">
        <f t="shared" si="4"/>
        <v>3.025119076249639E-6</v>
      </c>
      <c r="V285" s="196">
        <f t="shared" si="4"/>
        <v>6.0502381524992781E-6</v>
      </c>
      <c r="W285" s="66">
        <f t="shared" si="4"/>
        <v>1.2100476304998556E-5</v>
      </c>
      <c r="X285" s="36">
        <f t="shared" si="4"/>
        <v>2.4200952609997112E-5</v>
      </c>
      <c r="Y285" s="36">
        <f>Y284/$B$267</f>
        <v>4.8401905219994225E-5</v>
      </c>
      <c r="Z285" s="36">
        <f>Z284/$B$267</f>
        <v>9.6803810439988449E-5</v>
      </c>
      <c r="AA285" s="36">
        <f>AA284/$B$267</f>
        <v>1.936076208799769E-4</v>
      </c>
      <c r="AB285" s="36">
        <f>AB284/$B$267</f>
        <v>3.872152417599538E-4</v>
      </c>
      <c r="AC285" s="14">
        <f t="shared" si="4"/>
        <v>7.7443048351990759E-4</v>
      </c>
      <c r="AD285" s="14">
        <f t="shared" si="4"/>
        <v>1.5488609670398152E-3</v>
      </c>
      <c r="AE285" s="14">
        <f t="shared" ref="AE285:AG285" si="5">AE284/$B$267</f>
        <v>1.9360762087997688E-3</v>
      </c>
      <c r="AF285" s="14">
        <f t="shared" si="5"/>
        <v>2.3232914505597227E-3</v>
      </c>
      <c r="AG285" s="14">
        <f t="shared" si="5"/>
        <v>2.7105066923196765E-3</v>
      </c>
      <c r="AH285" s="14">
        <f t="shared" si="4"/>
        <v>3.0977219340796304E-3</v>
      </c>
      <c r="AI285" s="14">
        <f t="shared" ref="AI285:AK285" si="6">AI284/$B$267</f>
        <v>3.9650840756219269E-3</v>
      </c>
      <c r="AJ285" s="14">
        <f t="shared" si="6"/>
        <v>4.6465829011194454E-3</v>
      </c>
      <c r="AK285" s="14">
        <f t="shared" si="6"/>
        <v>5.4210133846393531E-3</v>
      </c>
      <c r="AL285" s="14">
        <f t="shared" si="4"/>
        <v>6.1954438681592608E-3</v>
      </c>
      <c r="AM285" s="15">
        <f t="shared" si="4"/>
        <v>7.4345326417911122E-3</v>
      </c>
      <c r="AN285" s="15">
        <f t="shared" si="4"/>
        <v>8.6736214154229645E-3</v>
      </c>
      <c r="AO285" s="15">
        <f t="shared" si="4"/>
        <v>9.9127101890548169E-3</v>
      </c>
      <c r="AP285" s="15">
        <f t="shared" si="4"/>
        <v>1.1151798962686669E-2</v>
      </c>
      <c r="AQ285" s="15">
        <f>AQ284/$B$267</f>
        <v>1.2390887736318522E-2</v>
      </c>
      <c r="AR285" s="15">
        <f t="shared" ref="AR285:AU285" si="7">AR284/$B$267</f>
        <v>1.4869065283582224E-2</v>
      </c>
      <c r="AS285" s="15">
        <f t="shared" si="7"/>
        <v>1.7347242830845929E-2</v>
      </c>
      <c r="AT285" s="15">
        <f t="shared" si="7"/>
        <v>1.9825420378109634E-2</v>
      </c>
      <c r="AU285" s="15">
        <f t="shared" si="7"/>
        <v>2.2303597925373338E-2</v>
      </c>
      <c r="AV285" s="15">
        <f>AV284/$B$267</f>
        <v>2.4781775472637043E-2</v>
      </c>
      <c r="AW285" s="15">
        <f t="shared" ref="AW285:AZ285" si="8">AW284/$B$267</f>
        <v>2.9738130567164449E-2</v>
      </c>
      <c r="AX285" s="15">
        <f t="shared" si="8"/>
        <v>3.4694485661691858E-2</v>
      </c>
      <c r="AY285" s="15">
        <f t="shared" si="8"/>
        <v>3.9650840756219267E-2</v>
      </c>
      <c r="AZ285" s="15">
        <f t="shared" si="8"/>
        <v>4.4607195850746677E-2</v>
      </c>
      <c r="BA285" s="224">
        <f>BA284/$B$267</f>
        <v>4.9563550945274086E-2</v>
      </c>
      <c r="BB285" s="260">
        <f t="shared" ref="BB285:BF285" si="9">BB284/$B$267</f>
        <v>9.9127101890548172E-2</v>
      </c>
      <c r="BC285" s="223">
        <f t="shared" si="9"/>
        <v>0.19825420378109634</v>
      </c>
      <c r="BD285" s="223">
        <f t="shared" si="9"/>
        <v>0.39650840756219269</v>
      </c>
      <c r="BE285" s="223">
        <f t="shared" si="9"/>
        <v>0.79301681512438538</v>
      </c>
      <c r="BF285" s="178">
        <f t="shared" si="9"/>
        <v>1</v>
      </c>
      <c r="BG285" s="177">
        <f>BG284/$B$267</f>
        <v>1</v>
      </c>
      <c r="BH285" s="243">
        <f>B272</f>
        <v>7.0000000000000007E-2</v>
      </c>
      <c r="BI285" s="25"/>
      <c r="BJ285" s="25"/>
      <c r="BK285" s="69"/>
    </row>
    <row r="286" spans="1:63" x14ac:dyDescent="0.25">
      <c r="A286" s="41" t="s">
        <v>155</v>
      </c>
      <c r="B286" s="16"/>
      <c r="C286" s="16"/>
      <c r="D286" s="16"/>
      <c r="E286" s="16"/>
      <c r="F286" s="16"/>
      <c r="G286" s="16"/>
      <c r="H286" s="16"/>
      <c r="I286" s="16"/>
      <c r="J286" s="16"/>
      <c r="K286" s="16"/>
      <c r="L286" s="16"/>
      <c r="M286" s="16"/>
      <c r="N286" s="16"/>
      <c r="O286" s="16"/>
      <c r="P286" s="264">
        <f t="shared" ref="P286:Y286" si="10">MAX(P284-(P292-P293)-(P294-P295)-(P296-P297),0)</f>
        <v>25.558430925469978</v>
      </c>
      <c r="Q286" s="265">
        <f t="shared" si="10"/>
        <v>48.253729583441825</v>
      </c>
      <c r="R286" s="265">
        <f t="shared" si="10"/>
        <v>104.90319014596037</v>
      </c>
      <c r="S286" s="265">
        <f t="shared" si="10"/>
        <v>224.72190063694103</v>
      </c>
      <c r="T286" s="265">
        <f>MAX(T284-(T292-T293)-(T294-T295)-(T296-T297),0)</f>
        <v>468.16151942648673</v>
      </c>
      <c r="U286" s="265">
        <f t="shared" si="10"/>
        <v>955.08635794363818</v>
      </c>
      <c r="V286" s="265">
        <f>MAX(V284-(V292-V293)-(V294-V295)-(V296-V297),0)</f>
        <v>1950.8214285714287</v>
      </c>
      <c r="W286" s="265">
        <f t="shared" si="10"/>
        <v>3941.9387841598559</v>
      </c>
      <c r="X286" s="265">
        <f t="shared" si="10"/>
        <v>7899.3926009765419</v>
      </c>
      <c r="Y286" s="265">
        <f t="shared" si="10"/>
        <v>15815.828395301851</v>
      </c>
      <c r="Z286" s="265">
        <f>MAX(Z284-(Z292-Z293)-(Z294-Z295)-(Z296-Z297),0)</f>
        <v>31608.741071428572</v>
      </c>
      <c r="AA286" s="265">
        <f t="shared" ref="AA286:BA286" si="11">MAX(AA284-(AA292-AA293)-(AA294-AA295)-(AA296-AA297),0)</f>
        <v>63059.098214285717</v>
      </c>
      <c r="AB286" s="265">
        <f t="shared" si="11"/>
        <v>125994.22083273345</v>
      </c>
      <c r="AC286" s="265">
        <f t="shared" si="11"/>
        <v>247644.31677867728</v>
      </c>
      <c r="AD286" s="265">
        <f t="shared" si="11"/>
        <v>416172.14285714284</v>
      </c>
      <c r="AE286" s="265">
        <f t="shared" ref="AE286:AG286" si="12">MAX(AE284-(AE292-AE293)-(AE294-AE295)-(AE296-AE297),0)</f>
        <v>402226.56939406152</v>
      </c>
      <c r="AF286" s="265">
        <f t="shared" si="12"/>
        <v>399354.62073629722</v>
      </c>
      <c r="AG286" s="265">
        <f t="shared" si="12"/>
        <v>119097.53326256634</v>
      </c>
      <c r="AH286" s="265">
        <f t="shared" si="11"/>
        <v>413664.82197137375</v>
      </c>
      <c r="AI286" s="265">
        <f t="shared" ref="AI286:AK286" si="13">MAX(AI284-(AI292-AI293)-(AI294-AI295)-(AI296-AI297),0)</f>
        <v>560043.97974272678</v>
      </c>
      <c r="AJ286" s="265">
        <f t="shared" si="13"/>
        <v>83274.795974478722</v>
      </c>
      <c r="AK286" s="265">
        <f t="shared" si="13"/>
        <v>46035.867286790482</v>
      </c>
      <c r="AL286" s="265">
        <f t="shared" si="11"/>
        <v>99140.086188086163</v>
      </c>
      <c r="AM286" s="265">
        <f t="shared" ref="AM286:AP286" si="14">MAX(AM284-(AM292-AM293)-(AM294-AM295)-(AM296-AM297),0)</f>
        <v>0</v>
      </c>
      <c r="AN286" s="265">
        <f t="shared" si="14"/>
        <v>625269.44282422727</v>
      </c>
      <c r="AO286" s="265">
        <f t="shared" si="14"/>
        <v>197877.1979097451</v>
      </c>
      <c r="AP286" s="265">
        <f t="shared" si="14"/>
        <v>246170.5435894182</v>
      </c>
      <c r="AQ286" s="265">
        <f t="shared" si="11"/>
        <v>155566.69098690606</v>
      </c>
      <c r="AR286" s="265">
        <f t="shared" ref="AR286:AU286" si="15">MAX(AR284-(AR292-AR293)-(AR294-AR295)-(AR296-AR297),0)</f>
        <v>0</v>
      </c>
      <c r="AS286" s="265">
        <f t="shared" si="15"/>
        <v>0</v>
      </c>
      <c r="AT286" s="265">
        <f t="shared" si="15"/>
        <v>0</v>
      </c>
      <c r="AU286" s="265">
        <f t="shared" si="15"/>
        <v>0</v>
      </c>
      <c r="AV286" s="265">
        <f t="shared" si="11"/>
        <v>0</v>
      </c>
      <c r="AW286" s="265">
        <f t="shared" ref="AW286:AZ286" si="16">MAX(AW284-(AW292-AW293)-(AW294-AW295)-(AW296-AW297),0)</f>
        <v>0</v>
      </c>
      <c r="AX286" s="265">
        <f t="shared" si="16"/>
        <v>0</v>
      </c>
      <c r="AY286" s="265">
        <f t="shared" si="16"/>
        <v>0</v>
      </c>
      <c r="AZ286" s="265">
        <f t="shared" si="16"/>
        <v>0</v>
      </c>
      <c r="BA286" s="268">
        <f t="shared" si="11"/>
        <v>0</v>
      </c>
      <c r="BB286" s="240">
        <f t="shared" ref="BB286:BF286" si="17">MAX(BB284-(BB292-BB293)-(BB294-BB295)-(BB296-BB297),0)</f>
        <v>0</v>
      </c>
      <c r="BC286" s="199">
        <f t="shared" si="17"/>
        <v>0</v>
      </c>
      <c r="BD286" s="199">
        <f t="shared" si="17"/>
        <v>0</v>
      </c>
      <c r="BE286" s="199">
        <f t="shared" si="17"/>
        <v>0</v>
      </c>
      <c r="BF286" s="200">
        <f t="shared" si="17"/>
        <v>0</v>
      </c>
      <c r="BG286" s="199">
        <f>MAX(BG284-(BG292-BG293)-(BG294-BG295)-(BG296-BG297),0)</f>
        <v>0</v>
      </c>
      <c r="BH286" s="244"/>
      <c r="BI286" s="45"/>
      <c r="BJ286" s="45"/>
      <c r="BK286" s="69"/>
    </row>
    <row r="287" spans="1:63" x14ac:dyDescent="0.25">
      <c r="A287" s="41" t="s">
        <v>169</v>
      </c>
      <c r="B287" s="16"/>
      <c r="C287" s="16"/>
      <c r="D287" s="16"/>
      <c r="E287" s="16"/>
      <c r="F287" s="16"/>
      <c r="G287" s="16"/>
      <c r="H287" s="16"/>
      <c r="I287" s="16"/>
      <c r="J287" s="16"/>
      <c r="K287" s="16"/>
      <c r="L287" s="16"/>
      <c r="M287" s="16"/>
      <c r="N287" s="16"/>
      <c r="O287" s="16"/>
      <c r="P287" s="86">
        <f>MAX(P284-P286-P299,0)</f>
        <v>5.6915690745300225</v>
      </c>
      <c r="Q287" s="87">
        <f>MAX(Q284-Q286-Q299,0)</f>
        <v>14.246270416558175</v>
      </c>
      <c r="R287" s="87">
        <f t="shared" ref="R287:S287" si="18">MAX(R284-R286-R299,0)</f>
        <v>20.096809854039634</v>
      </c>
      <c r="S287" s="87">
        <f t="shared" si="18"/>
        <v>25.278099363058971</v>
      </c>
      <c r="T287" s="121">
        <f>MAX(T284-T286-T299,0)</f>
        <v>31.838480573513266</v>
      </c>
      <c r="U287" s="121">
        <f t="shared" ref="U287:BA287" si="19">MAX(U284-U286-U299,0)</f>
        <v>44.913642056361823</v>
      </c>
      <c r="V287" s="121">
        <f t="shared" si="19"/>
        <v>49.178571428571331</v>
      </c>
      <c r="W287" s="121">
        <f t="shared" si="19"/>
        <v>58.061215840144087</v>
      </c>
      <c r="X287" s="121">
        <f t="shared" si="19"/>
        <v>100.60739902345813</v>
      </c>
      <c r="Y287" s="121">
        <f t="shared" si="19"/>
        <v>184.17160469814917</v>
      </c>
      <c r="Z287" s="121">
        <f t="shared" si="19"/>
        <v>391.25892857142753</v>
      </c>
      <c r="AA287" s="121">
        <f t="shared" si="19"/>
        <v>940.9017857142826</v>
      </c>
      <c r="AB287" s="121">
        <f t="shared" si="19"/>
        <v>2003.7113570348822</v>
      </c>
      <c r="AC287" s="121">
        <f t="shared" si="19"/>
        <v>8352.0141689341526</v>
      </c>
      <c r="AD287" s="121">
        <f t="shared" si="19"/>
        <v>95812.399151249774</v>
      </c>
      <c r="AE287" s="121">
        <f t="shared" ref="AE287:AG287" si="20">MAX(AE284-AE286-AE299,0)</f>
        <v>237704.89578450992</v>
      </c>
      <c r="AF287" s="121">
        <f t="shared" si="20"/>
        <v>368467.31815135264</v>
      </c>
      <c r="AG287" s="121">
        <f t="shared" si="20"/>
        <v>776294.06938257115</v>
      </c>
      <c r="AH287" s="121">
        <f t="shared" si="19"/>
        <v>608093.48355927167</v>
      </c>
      <c r="AI287" s="121">
        <f t="shared" ref="AI287:AK287" si="21">MAX(AI284-AI286-AI299,0)</f>
        <v>735959.1453717968</v>
      </c>
      <c r="AJ287" s="121">
        <f t="shared" si="21"/>
        <v>1410892.8540212316</v>
      </c>
      <c r="AK287" s="121">
        <f t="shared" si="21"/>
        <v>1687837.6001756848</v>
      </c>
      <c r="AL287" s="121">
        <f t="shared" si="19"/>
        <v>1790668.896913839</v>
      </c>
      <c r="AM287" s="121">
        <f t="shared" ref="AM287:AP287" si="22">MAX(AM284-AM286-AM299,0)</f>
        <v>2342364.6757163266</v>
      </c>
      <c r="AN287" s="121">
        <f t="shared" si="22"/>
        <v>2007007.5098478668</v>
      </c>
      <c r="AO287" s="121">
        <f t="shared" si="22"/>
        <v>2562815.2948672366</v>
      </c>
      <c r="AP287" s="121">
        <f t="shared" si="22"/>
        <v>3028428.4065297623</v>
      </c>
      <c r="AQ287" s="121">
        <f t="shared" si="19"/>
        <v>3479527.242431174</v>
      </c>
      <c r="AR287" s="121">
        <f t="shared" ref="AR287:AU287" si="23">MAX(AR284-AR286-AR299,0)</f>
        <v>4394235.3113222132</v>
      </c>
      <c r="AS287" s="121">
        <f t="shared" si="23"/>
        <v>4206873.599581169</v>
      </c>
      <c r="AT287" s="121">
        <f t="shared" si="23"/>
        <v>5429676.5212934697</v>
      </c>
      <c r="AU287" s="121">
        <f t="shared" si="23"/>
        <v>6177821.6035040133</v>
      </c>
      <c r="AV287" s="121">
        <f t="shared" si="19"/>
        <v>6958073.4500246355</v>
      </c>
      <c r="AW287" s="121">
        <f t="shared" ref="AW287:AZ287" si="24">MAX(AW284-AW286-AW299,0)</f>
        <v>8526392.9273276515</v>
      </c>
      <c r="AX287" s="121">
        <f t="shared" si="24"/>
        <v>10388686.414672554</v>
      </c>
      <c r="AY287" s="121">
        <f t="shared" si="24"/>
        <v>11869868.38957292</v>
      </c>
      <c r="AZ287" s="121">
        <f t="shared" si="24"/>
        <v>13386280.593996048</v>
      </c>
      <c r="BA287" s="122">
        <f t="shared" si="19"/>
        <v>14918948.182752376</v>
      </c>
      <c r="BB287" s="261">
        <f>MAX(BB284-BB286-BB299,0)</f>
        <v>0</v>
      </c>
      <c r="BC287" s="213">
        <f>MAX(BC284-BC286-BC299,0)</f>
        <v>0</v>
      </c>
      <c r="BD287" s="213">
        <f t="shared" ref="BD287:BG287" si="25">MAX(BD284-BD286-BD299,0)</f>
        <v>48234317.874581411</v>
      </c>
      <c r="BE287" s="213">
        <f t="shared" si="25"/>
        <v>162075434.32088459</v>
      </c>
      <c r="BF287" s="214">
        <f t="shared" si="25"/>
        <v>187841996.89615569</v>
      </c>
      <c r="BG287" s="213">
        <f t="shared" si="25"/>
        <v>106579120.33337018</v>
      </c>
      <c r="BH287" s="245"/>
      <c r="BI287" s="25"/>
      <c r="BJ287" s="25"/>
      <c r="BK287" s="69"/>
    </row>
    <row r="288" spans="1:63" x14ac:dyDescent="0.25">
      <c r="A288" s="4" t="s">
        <v>162</v>
      </c>
      <c r="B288" s="9"/>
      <c r="C288" s="9"/>
      <c r="D288" s="9"/>
      <c r="E288" s="9"/>
      <c r="F288" s="9"/>
      <c r="G288" s="9"/>
      <c r="H288" s="9"/>
      <c r="I288" s="9"/>
      <c r="J288" s="9"/>
      <c r="K288" s="9"/>
      <c r="L288" s="9"/>
      <c r="M288" s="9"/>
      <c r="N288" s="9"/>
      <c r="O288" s="5"/>
      <c r="P288" s="197">
        <f>P284/$B$271</f>
        <v>131.69642857142856</v>
      </c>
      <c r="Q288" s="198">
        <f t="shared" ref="Q288:BC288" si="26">Q284/$B$271</f>
        <v>263.39285714285711</v>
      </c>
      <c r="R288" s="198">
        <f t="shared" si="26"/>
        <v>526.78571428571422</v>
      </c>
      <c r="S288" s="198">
        <f t="shared" si="26"/>
        <v>1053.5714285714284</v>
      </c>
      <c r="T288" s="198">
        <f t="shared" si="26"/>
        <v>2107.1428571428569</v>
      </c>
      <c r="U288" s="198">
        <f t="shared" si="26"/>
        <v>4214.2857142857138</v>
      </c>
      <c r="V288" s="198">
        <f t="shared" si="26"/>
        <v>8428.5714285714275</v>
      </c>
      <c r="W288" s="198">
        <f t="shared" si="26"/>
        <v>16857.142857142855</v>
      </c>
      <c r="X288" s="198">
        <f t="shared" si="26"/>
        <v>33714.28571428571</v>
      </c>
      <c r="Y288" s="198">
        <f t="shared" si="26"/>
        <v>67428.57142857142</v>
      </c>
      <c r="Z288" s="198">
        <f t="shared" si="26"/>
        <v>134857.14285714284</v>
      </c>
      <c r="AA288" s="198">
        <f t="shared" si="26"/>
        <v>269714.28571428568</v>
      </c>
      <c r="AB288" s="198">
        <f t="shared" si="26"/>
        <v>539428.57142857136</v>
      </c>
      <c r="AC288" s="198">
        <f t="shared" si="26"/>
        <v>1078857.1428571427</v>
      </c>
      <c r="AD288" s="198">
        <f t="shared" si="26"/>
        <v>2157714.2857142854</v>
      </c>
      <c r="AE288" s="198">
        <f t="shared" ref="AE288:AG288" si="27">AE284/$B$271</f>
        <v>2697142.8571428573</v>
      </c>
      <c r="AF288" s="198">
        <f t="shared" si="27"/>
        <v>3236571.4285714286</v>
      </c>
      <c r="AG288" s="198">
        <f t="shared" si="27"/>
        <v>3776000</v>
      </c>
      <c r="AH288" s="198">
        <f t="shared" si="26"/>
        <v>4315428.5714285709</v>
      </c>
      <c r="AI288" s="198">
        <f t="shared" ref="AI288:AK288" si="28">AI284/$B$271</f>
        <v>5523748.5714285709</v>
      </c>
      <c r="AJ288" s="198">
        <f t="shared" si="28"/>
        <v>6473142.8571428573</v>
      </c>
      <c r="AK288" s="198">
        <f t="shared" si="28"/>
        <v>7552000</v>
      </c>
      <c r="AL288" s="198">
        <f t="shared" si="26"/>
        <v>8630857.1428571418</v>
      </c>
      <c r="AM288" s="198">
        <f t="shared" ref="AM288:AP288" si="29">AM284/$B$271</f>
        <v>10357028.571428571</v>
      </c>
      <c r="AN288" s="198">
        <f t="shared" si="29"/>
        <v>12083200</v>
      </c>
      <c r="AO288" s="198">
        <f t="shared" si="29"/>
        <v>13809371.428571429</v>
      </c>
      <c r="AP288" s="198">
        <f t="shared" si="29"/>
        <v>15535542.857142856</v>
      </c>
      <c r="AQ288" s="198">
        <f t="shared" si="26"/>
        <v>17261714.285714284</v>
      </c>
      <c r="AR288" s="198">
        <f t="shared" ref="AR288:AU288" si="30">AR284/$B$271</f>
        <v>20714057.142857142</v>
      </c>
      <c r="AS288" s="198">
        <f t="shared" si="30"/>
        <v>24166400</v>
      </c>
      <c r="AT288" s="198">
        <f t="shared" si="30"/>
        <v>27618742.857142858</v>
      </c>
      <c r="AU288" s="198">
        <f t="shared" si="30"/>
        <v>31071085.714285713</v>
      </c>
      <c r="AV288" s="198">
        <f t="shared" si="26"/>
        <v>34523428.571428567</v>
      </c>
      <c r="AW288" s="198">
        <f t="shared" ref="AW288:AZ288" si="31">AW284/$B$271</f>
        <v>41428114.285714284</v>
      </c>
      <c r="AX288" s="198">
        <f t="shared" si="31"/>
        <v>48332800</v>
      </c>
      <c r="AY288" s="198">
        <f t="shared" si="31"/>
        <v>55237485.714285716</v>
      </c>
      <c r="AZ288" s="198">
        <f t="shared" si="31"/>
        <v>62142171.428571425</v>
      </c>
      <c r="BA288" s="198">
        <f t="shared" si="26"/>
        <v>69046857.142857134</v>
      </c>
      <c r="BB288" s="238">
        <f t="shared" si="26"/>
        <v>138093714.28571427</v>
      </c>
      <c r="BC288" s="208">
        <f t="shared" si="26"/>
        <v>276187428.57142854</v>
      </c>
      <c r="BD288" s="208">
        <f>$B$267</f>
        <v>330565500</v>
      </c>
      <c r="BE288" s="208">
        <f t="shared" ref="BE288:BF288" si="32">$B$267</f>
        <v>330565500</v>
      </c>
      <c r="BF288" s="209">
        <f t="shared" si="32"/>
        <v>330565500</v>
      </c>
      <c r="BG288" s="199">
        <f>BG284</f>
        <v>330565500</v>
      </c>
      <c r="BH288" s="244">
        <f>($B$267*$B$272)/$B$271</f>
        <v>97516822.500000015</v>
      </c>
      <c r="BI288" s="25"/>
      <c r="BJ288" s="25"/>
      <c r="BK288" s="69"/>
    </row>
    <row r="289" spans="1:63" x14ac:dyDescent="0.25">
      <c r="A289" s="41" t="s">
        <v>111</v>
      </c>
      <c r="B289" s="16"/>
      <c r="C289" s="16"/>
      <c r="D289" s="16"/>
      <c r="E289" s="16"/>
      <c r="F289" s="16"/>
      <c r="G289" s="16"/>
      <c r="H289" s="16"/>
      <c r="I289" s="16"/>
      <c r="J289" s="16"/>
      <c r="K289" s="16"/>
      <c r="L289" s="16"/>
      <c r="M289" s="16"/>
      <c r="N289" s="16"/>
      <c r="O289" s="17"/>
      <c r="P289" s="195">
        <f>P288/$B$267</f>
        <v>3.983973783453765E-7</v>
      </c>
      <c r="Q289" s="196">
        <f t="shared" ref="Q289:AV289" si="33">Q288/$B$267</f>
        <v>7.9679475669075301E-7</v>
      </c>
      <c r="R289" s="196">
        <f t="shared" si="33"/>
        <v>1.593589513381506E-6</v>
      </c>
      <c r="S289" s="66">
        <f t="shared" si="33"/>
        <v>3.187179026763012E-6</v>
      </c>
      <c r="T289" s="66">
        <f t="shared" si="33"/>
        <v>6.3743580535260241E-6</v>
      </c>
      <c r="U289" s="66">
        <f t="shared" si="33"/>
        <v>1.2748716107052048E-5</v>
      </c>
      <c r="V289" s="66">
        <f t="shared" si="33"/>
        <v>2.5497432214104096E-5</v>
      </c>
      <c r="W289" s="66">
        <f t="shared" si="33"/>
        <v>5.0994864428208193E-5</v>
      </c>
      <c r="X289" s="36">
        <f t="shared" si="33"/>
        <v>1.0198972885641639E-4</v>
      </c>
      <c r="Y289" s="36">
        <f t="shared" si="33"/>
        <v>2.0397945771283277E-4</v>
      </c>
      <c r="Z289" s="36">
        <f t="shared" si="33"/>
        <v>4.0795891542566554E-4</v>
      </c>
      <c r="AA289" s="36">
        <f t="shared" si="33"/>
        <v>8.1591783085133108E-4</v>
      </c>
      <c r="AB289" s="14">
        <f t="shared" si="33"/>
        <v>1.6318356617026622E-3</v>
      </c>
      <c r="AC289" s="15">
        <f t="shared" si="33"/>
        <v>3.2636713234053243E-3</v>
      </c>
      <c r="AD289" s="15">
        <f t="shared" si="33"/>
        <v>6.5273426468106487E-3</v>
      </c>
      <c r="AE289" s="15">
        <f t="shared" ref="AE289:AG289" si="34">AE288/$B$267</f>
        <v>8.1591783085133117E-3</v>
      </c>
      <c r="AF289" s="15">
        <f t="shared" si="34"/>
        <v>9.7910139702159747E-3</v>
      </c>
      <c r="AG289" s="15">
        <f t="shared" si="34"/>
        <v>1.1422849631918636E-2</v>
      </c>
      <c r="AH289" s="15">
        <f t="shared" si="33"/>
        <v>1.3054685293621297E-2</v>
      </c>
      <c r="AI289" s="15">
        <f t="shared" ref="AI289:AK289" si="35">AI288/$B$267</f>
        <v>1.670999717583526E-2</v>
      </c>
      <c r="AJ289" s="15">
        <f t="shared" si="35"/>
        <v>1.9582027940431949E-2</v>
      </c>
      <c r="AK289" s="15">
        <f t="shared" si="35"/>
        <v>2.2845699263837272E-2</v>
      </c>
      <c r="AL289" s="15">
        <f t="shared" si="33"/>
        <v>2.6109370587242595E-2</v>
      </c>
      <c r="AM289" s="15">
        <f t="shared" ref="AM289:AP289" si="36">AM288/$B$267</f>
        <v>3.1331244704691112E-2</v>
      </c>
      <c r="AN289" s="15">
        <f t="shared" si="36"/>
        <v>3.6553118822139637E-2</v>
      </c>
      <c r="AO289" s="15">
        <f t="shared" si="36"/>
        <v>4.1774992939588154E-2</v>
      </c>
      <c r="AP289" s="15">
        <f t="shared" si="36"/>
        <v>4.6996867057036672E-2</v>
      </c>
      <c r="AQ289" s="15">
        <f t="shared" si="33"/>
        <v>5.2218741174485189E-2</v>
      </c>
      <c r="AR289" s="75">
        <f t="shared" ref="AR289:AU289" si="37">AR288/$B$267</f>
        <v>6.2662489409382224E-2</v>
      </c>
      <c r="AS289" s="75">
        <f t="shared" si="37"/>
        <v>7.3106237644279273E-2</v>
      </c>
      <c r="AT289" s="75">
        <f t="shared" si="37"/>
        <v>8.3549985879176308E-2</v>
      </c>
      <c r="AU289" s="75">
        <f t="shared" si="37"/>
        <v>9.3993734114073343E-2</v>
      </c>
      <c r="AV289" s="75">
        <f t="shared" si="33"/>
        <v>0.10443748234897038</v>
      </c>
      <c r="AW289" s="75">
        <f t="shared" ref="AW289:AZ289" si="38">AW288/$B$267</f>
        <v>0.12532497881876445</v>
      </c>
      <c r="AX289" s="75">
        <f t="shared" si="38"/>
        <v>0.14621247528855855</v>
      </c>
      <c r="AY289" s="75">
        <f t="shared" si="38"/>
        <v>0.16709997175835262</v>
      </c>
      <c r="AZ289" s="75">
        <f t="shared" si="38"/>
        <v>0.18798746822814669</v>
      </c>
      <c r="BA289" s="75">
        <f>BA288/$B$267</f>
        <v>0.20887496469794076</v>
      </c>
      <c r="BB289" s="239">
        <f t="shared" ref="BB289:BF289" si="39">BB288/$B$267</f>
        <v>0.41774992939588151</v>
      </c>
      <c r="BC289" s="177">
        <f t="shared" si="39"/>
        <v>0.83549985879176303</v>
      </c>
      <c r="BD289" s="177">
        <f t="shared" si="39"/>
        <v>1</v>
      </c>
      <c r="BE289" s="177">
        <f t="shared" si="39"/>
        <v>1</v>
      </c>
      <c r="BF289" s="178">
        <f t="shared" si="39"/>
        <v>1</v>
      </c>
      <c r="BG289" s="177">
        <v>1</v>
      </c>
      <c r="BH289" s="243">
        <f>BH288/B267</f>
        <v>0.29500000000000004</v>
      </c>
      <c r="BI289" s="25"/>
      <c r="BJ289" s="25"/>
      <c r="BK289" s="69"/>
    </row>
    <row r="290" spans="1:63" x14ac:dyDescent="0.25">
      <c r="A290" s="41" t="s">
        <v>160</v>
      </c>
      <c r="B290" s="16"/>
      <c r="C290" s="16"/>
      <c r="D290" s="16"/>
      <c r="E290" s="16"/>
      <c r="F290" s="16"/>
      <c r="G290" s="16"/>
      <c r="H290" s="16"/>
      <c r="I290" s="16"/>
      <c r="J290" s="16"/>
      <c r="K290" s="16"/>
      <c r="L290" s="16"/>
      <c r="M290" s="16"/>
      <c r="N290" s="16"/>
      <c r="O290" s="17"/>
      <c r="P290" s="197">
        <f>P288-P284</f>
        <v>100.44642857142856</v>
      </c>
      <c r="Q290" s="198">
        <f t="shared" ref="Q290:AU290" si="40">Q288-Q284</f>
        <v>200.89285714285711</v>
      </c>
      <c r="R290" s="198">
        <f t="shared" si="40"/>
        <v>401.78571428571422</v>
      </c>
      <c r="S290" s="198">
        <f t="shared" si="40"/>
        <v>803.57142857142844</v>
      </c>
      <c r="T290" s="198">
        <f>T288-T284</f>
        <v>1607.1428571428569</v>
      </c>
      <c r="U290" s="198">
        <f t="shared" si="40"/>
        <v>3214.2857142857138</v>
      </c>
      <c r="V290" s="198">
        <f t="shared" si="40"/>
        <v>6428.5714285714275</v>
      </c>
      <c r="W290" s="198">
        <f t="shared" si="40"/>
        <v>12857.142857142855</v>
      </c>
      <c r="X290" s="198">
        <f t="shared" si="40"/>
        <v>25714.28571428571</v>
      </c>
      <c r="Y290" s="198">
        <f t="shared" si="40"/>
        <v>51428.57142857142</v>
      </c>
      <c r="Z290" s="198">
        <f t="shared" si="40"/>
        <v>102857.14285714284</v>
      </c>
      <c r="AA290" s="198">
        <f t="shared" si="40"/>
        <v>205714.28571428568</v>
      </c>
      <c r="AB290" s="198">
        <f t="shared" si="40"/>
        <v>411428.57142857136</v>
      </c>
      <c r="AC290" s="198">
        <f t="shared" si="40"/>
        <v>822857.14285714272</v>
      </c>
      <c r="AD290" s="198">
        <f t="shared" si="40"/>
        <v>1645714.2857142854</v>
      </c>
      <c r="AE290" s="198">
        <f t="shared" ref="AE290:AG290" si="41">AE288-AE284</f>
        <v>2057142.8571428573</v>
      </c>
      <c r="AF290" s="198">
        <f t="shared" si="41"/>
        <v>2468571.4285714286</v>
      </c>
      <c r="AG290" s="198">
        <f t="shared" si="41"/>
        <v>2880000</v>
      </c>
      <c r="AH290" s="198">
        <f t="shared" si="40"/>
        <v>3291428.5714285709</v>
      </c>
      <c r="AI290" s="198">
        <f t="shared" ref="AI290:AK290" si="42">AI288-AI284</f>
        <v>4213028.5714285709</v>
      </c>
      <c r="AJ290" s="198">
        <f t="shared" si="42"/>
        <v>4937142.8571428573</v>
      </c>
      <c r="AK290" s="198">
        <f t="shared" si="42"/>
        <v>5760000</v>
      </c>
      <c r="AL290" s="198">
        <f t="shared" si="40"/>
        <v>6582857.1428571418</v>
      </c>
      <c r="AM290" s="198">
        <f t="shared" ref="AM290:AP290" si="43">AM288-AM284</f>
        <v>7899428.5714285709</v>
      </c>
      <c r="AN290" s="198">
        <f t="shared" si="43"/>
        <v>9216000</v>
      </c>
      <c r="AO290" s="198">
        <f t="shared" si="43"/>
        <v>10532571.428571429</v>
      </c>
      <c r="AP290" s="198">
        <f t="shared" si="43"/>
        <v>11849142.857142856</v>
      </c>
      <c r="AQ290" s="198">
        <f t="shared" si="40"/>
        <v>13165714.285714284</v>
      </c>
      <c r="AR290" s="198">
        <f t="shared" si="40"/>
        <v>15798857.142857142</v>
      </c>
      <c r="AS290" s="198">
        <f t="shared" si="40"/>
        <v>18432000</v>
      </c>
      <c r="AT290" s="198">
        <f t="shared" si="40"/>
        <v>21065142.857142858</v>
      </c>
      <c r="AU290" s="198">
        <f t="shared" si="40"/>
        <v>23698285.714285713</v>
      </c>
      <c r="AV290" s="198">
        <f>AV288-AV284</f>
        <v>26331428.571428567</v>
      </c>
      <c r="AW290" s="198">
        <f t="shared" ref="AW290:AZ290" si="44">AW288-AW284</f>
        <v>31597714.285714284</v>
      </c>
      <c r="AX290" s="198">
        <f t="shared" si="44"/>
        <v>36864000</v>
      </c>
      <c r="AY290" s="198">
        <f t="shared" si="44"/>
        <v>42130285.714285716</v>
      </c>
      <c r="AZ290" s="198">
        <f t="shared" si="44"/>
        <v>47396571.428571425</v>
      </c>
      <c r="BA290" s="198">
        <f>BA288-BA284</f>
        <v>52662857.142857134</v>
      </c>
      <c r="BB290" s="240">
        <f>BB288-BB284</f>
        <v>105325714.28571427</v>
      </c>
      <c r="BC290" s="199">
        <f t="shared" ref="BC290:BF290" si="45">BC288</f>
        <v>276187428.57142854</v>
      </c>
      <c r="BD290" s="199">
        <f t="shared" si="45"/>
        <v>330565500</v>
      </c>
      <c r="BE290" s="199">
        <f t="shared" si="45"/>
        <v>330565500</v>
      </c>
      <c r="BF290" s="200">
        <f t="shared" si="45"/>
        <v>330565500</v>
      </c>
      <c r="BG290" s="199">
        <f>BG288</f>
        <v>330565500</v>
      </c>
      <c r="BH290" s="246">
        <f>BH288-BH284</f>
        <v>74377237.500000015</v>
      </c>
      <c r="BI290" s="25"/>
      <c r="BJ290" s="25"/>
      <c r="BK290" s="69"/>
    </row>
    <row r="291" spans="1:63" x14ac:dyDescent="0.25">
      <c r="A291" s="37" t="s">
        <v>161</v>
      </c>
      <c r="B291" s="39"/>
      <c r="C291" s="39"/>
      <c r="D291" s="39"/>
      <c r="E291" s="39"/>
      <c r="F291" s="39"/>
      <c r="G291" s="39"/>
      <c r="H291" s="39"/>
      <c r="I291" s="39"/>
      <c r="J291" s="39"/>
      <c r="K291" s="39"/>
      <c r="L291" s="39"/>
      <c r="M291" s="39"/>
      <c r="N291" s="39"/>
      <c r="O291" s="63"/>
      <c r="P291" s="206">
        <f>MIN((1/$B$271)*(2^(((P283 - 14) - $B$280)/$P$309)),P290)</f>
        <v>29.612220052669425</v>
      </c>
      <c r="Q291" s="207">
        <f>MIN((1/$B$271)*(2^(((Q283 - 14) - $B$280)/$P$309)),Q290)</f>
        <v>74.120807281916413</v>
      </c>
      <c r="R291" s="207">
        <f>MIN((1/$B$271)*(2^(((R283 - 14) - $B$280)/$P$309)),R290)</f>
        <v>104.56012181555009</v>
      </c>
      <c r="S291" s="207">
        <f>MIN((1/$B$271)*(2^(((S283 - 14) - $B$280)/$P$309)),S290)</f>
        <v>131.51744818522747</v>
      </c>
      <c r="T291" s="198">
        <f t="shared" ref="T291:AV291" si="46">MIN(($P$284/$B$271)*(2^(((T283 - 14) - $P$283)/HLOOKUP((T283-14)-$B$280,$P$307:$BH$309,3,TRUE))),T290)</f>
        <v>165.64994301916059</v>
      </c>
      <c r="U291" s="198">
        <f t="shared" si="46"/>
        <v>233.67767912921914</v>
      </c>
      <c r="V291" s="198">
        <f t="shared" si="46"/>
        <v>255.86734693877546</v>
      </c>
      <c r="W291" s="198">
        <f t="shared" si="46"/>
        <v>302.08216354219633</v>
      </c>
      <c r="X291" s="198">
        <f t="shared" si="46"/>
        <v>523.44237587160706</v>
      </c>
      <c r="Y291" s="198">
        <f t="shared" si="46"/>
        <v>958.21205266232755</v>
      </c>
      <c r="Z291" s="198">
        <f t="shared" si="46"/>
        <v>2035.650510204081</v>
      </c>
      <c r="AA291" s="198">
        <f t="shared" si="46"/>
        <v>4895.3443877551008</v>
      </c>
      <c r="AB291" s="198">
        <f t="shared" si="46"/>
        <v>10426.594387755098</v>
      </c>
      <c r="AC291" s="198">
        <f t="shared" si="46"/>
        <v>43456.953918748877</v>
      </c>
      <c r="AD291" s="198">
        <f t="shared" si="46"/>
        <v>469546.68367346941</v>
      </c>
      <c r="AE291" s="198">
        <f t="shared" si="46"/>
        <v>1165083.5929147557</v>
      </c>
      <c r="AF291" s="198">
        <f t="shared" si="46"/>
        <v>1806153.446973294</v>
      </c>
      <c r="AG291" s="198">
        <f t="shared" si="46"/>
        <v>2880000</v>
      </c>
      <c r="AH291" s="198">
        <f t="shared" si="46"/>
        <v>2988025.0003063907</v>
      </c>
      <c r="AI291" s="198">
        <f t="shared" si="46"/>
        <v>3618978.9638607623</v>
      </c>
      <c r="AJ291" s="198">
        <f t="shared" si="46"/>
        <v>4937142.8571428573</v>
      </c>
      <c r="AK291" s="198">
        <f t="shared" si="46"/>
        <v>5760000</v>
      </c>
      <c r="AL291" s="198">
        <f t="shared" si="46"/>
        <v>6582857.1428571418</v>
      </c>
      <c r="AM291" s="198">
        <f t="shared" si="46"/>
        <v>7899428.5714285709</v>
      </c>
      <c r="AN291" s="198">
        <f t="shared" si="46"/>
        <v>9216000</v>
      </c>
      <c r="AO291" s="198">
        <f t="shared" si="46"/>
        <v>10532571.428571429</v>
      </c>
      <c r="AP291" s="198">
        <f t="shared" si="46"/>
        <v>11849142.857142856</v>
      </c>
      <c r="AQ291" s="198">
        <f t="shared" si="46"/>
        <v>13165714.285714284</v>
      </c>
      <c r="AR291" s="198">
        <f t="shared" si="46"/>
        <v>15798857.142857142</v>
      </c>
      <c r="AS291" s="198">
        <f t="shared" si="46"/>
        <v>18432000</v>
      </c>
      <c r="AT291" s="198">
        <f t="shared" si="46"/>
        <v>21065142.857142858</v>
      </c>
      <c r="AU291" s="198">
        <f t="shared" si="46"/>
        <v>23698285.714285713</v>
      </c>
      <c r="AV291" s="198">
        <f t="shared" si="46"/>
        <v>26331428.571428567</v>
      </c>
      <c r="AW291" s="198">
        <f t="shared" ref="AW291:AZ291" si="47">MIN(($P$284/$B$271)*(2^(((AW283 - 14) - $P$283)/HLOOKUP((AW283-14)-$B$280,$P$307:$BH$309,3,TRUE))),AW290)</f>
        <v>31597714.285714284</v>
      </c>
      <c r="AX291" s="198">
        <f t="shared" si="47"/>
        <v>36864000</v>
      </c>
      <c r="AY291" s="198">
        <f t="shared" si="47"/>
        <v>42130285.714285716</v>
      </c>
      <c r="AZ291" s="198">
        <f t="shared" si="47"/>
        <v>47396571.428571425</v>
      </c>
      <c r="BA291" s="198">
        <f t="shared" ref="BA291:BG291" si="48">MIN(($P$284/$B$271)*(2^(((BA283 - 14) - $P$283)/HLOOKUP((BA283-14)-$B$280,$P$307:$BH$309,3,TRUE))),BA290)</f>
        <v>52662857.142857134</v>
      </c>
      <c r="BB291" s="241">
        <f t="shared" si="48"/>
        <v>105325714.28571427</v>
      </c>
      <c r="BC291" s="203">
        <f t="shared" si="48"/>
        <v>276187428.57142854</v>
      </c>
      <c r="BD291" s="203">
        <f t="shared" si="48"/>
        <v>330565500</v>
      </c>
      <c r="BE291" s="203">
        <f t="shared" si="48"/>
        <v>330565500</v>
      </c>
      <c r="BF291" s="204">
        <f t="shared" si="48"/>
        <v>330565500</v>
      </c>
      <c r="BG291" s="203">
        <f t="shared" si="48"/>
        <v>330565500</v>
      </c>
      <c r="BH291" s="246"/>
      <c r="BI291" s="25"/>
      <c r="BJ291" s="25"/>
      <c r="BK291" s="69"/>
    </row>
    <row r="292" spans="1:63" x14ac:dyDescent="0.25">
      <c r="A292" s="41" t="s">
        <v>158</v>
      </c>
      <c r="B292" s="16"/>
      <c r="C292" s="16"/>
      <c r="D292" s="16"/>
      <c r="E292" s="16"/>
      <c r="F292" s="16"/>
      <c r="G292" s="16"/>
      <c r="H292" s="16"/>
      <c r="I292" s="16"/>
      <c r="J292" s="16"/>
      <c r="K292" s="16"/>
      <c r="L292" s="16"/>
      <c r="M292" s="16"/>
      <c r="N292" s="16"/>
      <c r="O292" s="16"/>
      <c r="P292" s="215">
        <f t="shared" ref="P292:BG292" si="49">P284*$B$276</f>
        <v>25.3125</v>
      </c>
      <c r="Q292" s="216">
        <f t="shared" si="49"/>
        <v>50.625</v>
      </c>
      <c r="R292" s="216">
        <f t="shared" si="49"/>
        <v>101.25</v>
      </c>
      <c r="S292" s="216">
        <f t="shared" si="49"/>
        <v>202.5</v>
      </c>
      <c r="T292" s="216">
        <f t="shared" si="49"/>
        <v>405</v>
      </c>
      <c r="U292" s="216">
        <f t="shared" si="49"/>
        <v>810</v>
      </c>
      <c r="V292" s="216">
        <f t="shared" si="49"/>
        <v>1620</v>
      </c>
      <c r="W292" s="216">
        <f t="shared" si="49"/>
        <v>3240</v>
      </c>
      <c r="X292" s="216">
        <f t="shared" si="49"/>
        <v>6480</v>
      </c>
      <c r="Y292" s="216">
        <f t="shared" si="49"/>
        <v>12960</v>
      </c>
      <c r="Z292" s="216">
        <f t="shared" si="49"/>
        <v>25920</v>
      </c>
      <c r="AA292" s="216">
        <f t="shared" si="49"/>
        <v>51840</v>
      </c>
      <c r="AB292" s="216">
        <f t="shared" si="49"/>
        <v>103680</v>
      </c>
      <c r="AC292" s="216">
        <f t="shared" si="49"/>
        <v>207360</v>
      </c>
      <c r="AD292" s="216">
        <f t="shared" si="49"/>
        <v>414720</v>
      </c>
      <c r="AE292" s="216">
        <f t="shared" ref="AE292:AG292" si="50">AE284*$B$276</f>
        <v>518400.00000000006</v>
      </c>
      <c r="AF292" s="216">
        <f t="shared" si="50"/>
        <v>622080</v>
      </c>
      <c r="AG292" s="216">
        <f t="shared" si="50"/>
        <v>725760</v>
      </c>
      <c r="AH292" s="216">
        <f t="shared" si="49"/>
        <v>829440</v>
      </c>
      <c r="AI292" s="216">
        <f t="shared" ref="AI292:AK292" si="51">AI284*$B$276</f>
        <v>1061683.2000000002</v>
      </c>
      <c r="AJ292" s="216">
        <f t="shared" si="51"/>
        <v>1244160</v>
      </c>
      <c r="AK292" s="216">
        <f t="shared" si="51"/>
        <v>1451520</v>
      </c>
      <c r="AL292" s="216">
        <f t="shared" si="49"/>
        <v>1658880</v>
      </c>
      <c r="AM292" s="216">
        <f t="shared" ref="AM292:AP292" si="52">AM284*$B$276</f>
        <v>1990656.0000000002</v>
      </c>
      <c r="AN292" s="216">
        <f t="shared" si="52"/>
        <v>2322432</v>
      </c>
      <c r="AO292" s="216">
        <f t="shared" si="52"/>
        <v>2654208</v>
      </c>
      <c r="AP292" s="216">
        <f t="shared" si="52"/>
        <v>2985984</v>
      </c>
      <c r="AQ292" s="216">
        <f t="shared" si="49"/>
        <v>3317760</v>
      </c>
      <c r="AR292" s="216">
        <f t="shared" ref="AR292:AU292" si="53">AR284*$B$276</f>
        <v>3981312.0000000005</v>
      </c>
      <c r="AS292" s="216">
        <f t="shared" si="53"/>
        <v>4644864</v>
      </c>
      <c r="AT292" s="216">
        <f t="shared" si="53"/>
        <v>5308416</v>
      </c>
      <c r="AU292" s="216">
        <f t="shared" si="53"/>
        <v>5971968</v>
      </c>
      <c r="AV292" s="216">
        <f t="shared" si="49"/>
        <v>6635520</v>
      </c>
      <c r="AW292" s="216">
        <f t="shared" ref="AW292:AZ292" si="54">AW284*$B$276</f>
        <v>7962624.0000000009</v>
      </c>
      <c r="AX292" s="216">
        <f t="shared" si="54"/>
        <v>9289728</v>
      </c>
      <c r="AY292" s="216">
        <f t="shared" si="54"/>
        <v>10616832</v>
      </c>
      <c r="AZ292" s="216">
        <f t="shared" si="54"/>
        <v>11943936</v>
      </c>
      <c r="BA292" s="216">
        <f t="shared" si="49"/>
        <v>13271040</v>
      </c>
      <c r="BB292" s="238">
        <f t="shared" ref="BB292:BF292" si="55">BB284*$B$276</f>
        <v>26542080</v>
      </c>
      <c r="BC292" s="208">
        <f t="shared" si="55"/>
        <v>53084160</v>
      </c>
      <c r="BD292" s="208">
        <f t="shared" si="55"/>
        <v>106168320</v>
      </c>
      <c r="BE292" s="208">
        <f t="shared" si="55"/>
        <v>212336640</v>
      </c>
      <c r="BF292" s="209">
        <f t="shared" si="55"/>
        <v>267758055.00000003</v>
      </c>
      <c r="BG292" s="199">
        <f t="shared" si="49"/>
        <v>267758055.00000003</v>
      </c>
      <c r="BH292" s="246">
        <f>BH284*B276</f>
        <v>18743063.850000005</v>
      </c>
      <c r="BI292" s="25"/>
      <c r="BJ292" s="25"/>
      <c r="BK292" s="69"/>
    </row>
    <row r="293" spans="1:63" x14ac:dyDescent="0.25">
      <c r="A293" s="41" t="s">
        <v>170</v>
      </c>
      <c r="B293" s="16"/>
      <c r="C293" s="16"/>
      <c r="D293" s="16"/>
      <c r="E293" s="16"/>
      <c r="F293" s="16"/>
      <c r="G293" s="16"/>
      <c r="H293" s="16"/>
      <c r="I293" s="16"/>
      <c r="J293" s="16"/>
      <c r="K293" s="16"/>
      <c r="L293" s="16"/>
      <c r="M293" s="16"/>
      <c r="N293" s="16"/>
      <c r="O293" s="16"/>
      <c r="P293" s="206">
        <f>P292-(1*$B$276)*(2^(((P283 - 14) - $B$280)/$P$309))</f>
        <v>19.620930925469978</v>
      </c>
      <c r="Q293" s="207">
        <f>Q292-(1*$B$276)*(2^(((Q283 - 14) - $B$280)/$P$309))</f>
        <v>36.378729583441825</v>
      </c>
      <c r="R293" s="207">
        <f>R292-(1*$B$276)*(2^(((R283 - 14) - $B$280)/$P$309))</f>
        <v>81.153190145960366</v>
      </c>
      <c r="S293" s="207">
        <f>S292-(1*$B$276)*(2^(((S283 - 14) - $B$280)/$P$309))</f>
        <v>177.22190063694103</v>
      </c>
      <c r="T293" s="205">
        <f t="shared" ref="T293:AV293" si="56">MAX(T292-(($P$284*$B$276)*(2^(((T283 -14) - $P$283)/HLOOKUP((T283-14)-$B$280,$P$307:$BH$309,3,TRUE)))),0)</f>
        <v>373.16151942648673</v>
      </c>
      <c r="U293" s="205">
        <f t="shared" si="56"/>
        <v>765.08635794363818</v>
      </c>
      <c r="V293" s="205">
        <f t="shared" si="56"/>
        <v>1570.8214285714287</v>
      </c>
      <c r="W293" s="205">
        <f t="shared" si="56"/>
        <v>3181.9387841598559</v>
      </c>
      <c r="X293" s="205">
        <f t="shared" si="56"/>
        <v>6379.3926009765419</v>
      </c>
      <c r="Y293" s="205">
        <f t="shared" si="56"/>
        <v>12775.828395301851</v>
      </c>
      <c r="Z293" s="205">
        <f t="shared" si="56"/>
        <v>25528.741071428572</v>
      </c>
      <c r="AA293" s="205">
        <f t="shared" si="56"/>
        <v>50899.098214285717</v>
      </c>
      <c r="AB293" s="205">
        <f t="shared" si="56"/>
        <v>101675.97321428571</v>
      </c>
      <c r="AC293" s="205">
        <f t="shared" si="56"/>
        <v>199007.42614510827</v>
      </c>
      <c r="AD293" s="205">
        <f t="shared" si="56"/>
        <v>324471.53571428568</v>
      </c>
      <c r="AE293" s="205">
        <f t="shared" si="56"/>
        <v>294466.98400587577</v>
      </c>
      <c r="AF293" s="205">
        <f t="shared" si="56"/>
        <v>274931.18493767531</v>
      </c>
      <c r="AG293" s="205">
        <f t="shared" si="56"/>
        <v>0</v>
      </c>
      <c r="AH293" s="205">
        <f t="shared" si="56"/>
        <v>255131.46604280546</v>
      </c>
      <c r="AI293" s="205">
        <f t="shared" si="56"/>
        <v>366103.17542066041</v>
      </c>
      <c r="AJ293" s="205">
        <f t="shared" si="56"/>
        <v>0</v>
      </c>
      <c r="AK293" s="205">
        <f t="shared" si="56"/>
        <v>0</v>
      </c>
      <c r="AL293" s="205">
        <f t="shared" si="56"/>
        <v>0</v>
      </c>
      <c r="AM293" s="205">
        <f t="shared" si="56"/>
        <v>21896.677541263867</v>
      </c>
      <c r="AN293" s="205">
        <f t="shared" si="56"/>
        <v>453478.41928212484</v>
      </c>
      <c r="AO293" s="205">
        <f t="shared" si="56"/>
        <v>320549.31994163152</v>
      </c>
      <c r="AP293" s="205">
        <f t="shared" si="56"/>
        <v>243370.08858419396</v>
      </c>
      <c r="AQ293" s="205">
        <f t="shared" si="56"/>
        <v>198261.02154141059</v>
      </c>
      <c r="AR293" s="205">
        <f t="shared" si="56"/>
        <v>0</v>
      </c>
      <c r="AS293" s="205">
        <f t="shared" si="56"/>
        <v>0</v>
      </c>
      <c r="AT293" s="205">
        <f t="shared" si="56"/>
        <v>0</v>
      </c>
      <c r="AU293" s="205">
        <f t="shared" si="56"/>
        <v>0</v>
      </c>
      <c r="AV293" s="205">
        <f t="shared" si="56"/>
        <v>0</v>
      </c>
      <c r="AW293" s="205">
        <f t="shared" ref="AW293:AZ293" si="57">MAX(AW292-(($P$284*$B$276)*(2^(((AW283 -14) - $P$283)/HLOOKUP((AW283-14)-$B$280,$P$307:$BH$309,3,TRUE)))),0)</f>
        <v>0</v>
      </c>
      <c r="AX293" s="205">
        <f t="shared" si="57"/>
        <v>0</v>
      </c>
      <c r="AY293" s="205">
        <f t="shared" si="57"/>
        <v>0</v>
      </c>
      <c r="AZ293" s="205">
        <f t="shared" si="57"/>
        <v>0</v>
      </c>
      <c r="BA293" s="205">
        <f t="shared" ref="BA293:BG293" si="58">MAX(BA292-(($P$284*$B$276)*(2^(((BA283 -14) - $P$283)/HLOOKUP((BA283-14)-$B$280,$P$307:$BH$309,3,TRUE)))),0)</f>
        <v>0</v>
      </c>
      <c r="BB293" s="241">
        <f t="shared" si="58"/>
        <v>0</v>
      </c>
      <c r="BC293" s="203">
        <f t="shared" si="58"/>
        <v>0</v>
      </c>
      <c r="BD293" s="203">
        <f t="shared" si="58"/>
        <v>0</v>
      </c>
      <c r="BE293" s="203">
        <f t="shared" si="58"/>
        <v>0</v>
      </c>
      <c r="BF293" s="204">
        <f t="shared" si="58"/>
        <v>0</v>
      </c>
      <c r="BG293" s="199">
        <f t="shared" si="58"/>
        <v>0</v>
      </c>
      <c r="BH293" s="244"/>
      <c r="BI293" s="25"/>
      <c r="BJ293" s="25"/>
      <c r="BK293" s="69"/>
    </row>
    <row r="294" spans="1:63" x14ac:dyDescent="0.25">
      <c r="A294" s="62" t="s">
        <v>109</v>
      </c>
      <c r="B294" s="9"/>
      <c r="C294" s="9"/>
      <c r="D294" s="9"/>
      <c r="E294" s="9"/>
      <c r="F294" s="9"/>
      <c r="G294" s="9"/>
      <c r="H294" s="9"/>
      <c r="I294" s="9"/>
      <c r="J294" s="9"/>
      <c r="K294" s="9"/>
      <c r="L294" s="9"/>
      <c r="M294" s="9"/>
      <c r="N294" s="9"/>
      <c r="O294" s="5"/>
      <c r="P294" s="225">
        <f>(1*($B$277+$B$278))*(2^(((P283 - 7) - $B$280)/$P$309))</f>
        <v>2.9796216359494587</v>
      </c>
      <c r="Q294" s="211">
        <f t="shared" ref="Q294:AV294" si="59">($P$284*($B$277+$B$278))*(2^(((Q283-7)-$P$283)/HLOOKUP((Q283-7)-$B$280,$P$307:$BH$309,3,TRUE)))</f>
        <v>6.6590498985850246</v>
      </c>
      <c r="R294" s="211">
        <f t="shared" si="59"/>
        <v>9.3937329355254953</v>
      </c>
      <c r="S294" s="211">
        <f t="shared" si="59"/>
        <v>11.815592437748149</v>
      </c>
      <c r="T294" s="211">
        <f t="shared" si="59"/>
        <v>12.534285987853202</v>
      </c>
      <c r="U294" s="211">
        <f t="shared" si="59"/>
        <v>23.599266437601273</v>
      </c>
      <c r="V294" s="211">
        <f t="shared" si="59"/>
        <v>49.779972972921911</v>
      </c>
      <c r="W294" s="211">
        <f t="shared" si="59"/>
        <v>108.90640436467176</v>
      </c>
      <c r="X294" s="211">
        <f t="shared" si="59"/>
        <v>220.70535714285711</v>
      </c>
      <c r="Y294" s="211">
        <f t="shared" si="59"/>
        <v>322.92231652302479</v>
      </c>
      <c r="Z294" s="211">
        <f t="shared" si="59"/>
        <v>573.4171414665534</v>
      </c>
      <c r="AA294" s="211">
        <f t="shared" si="59"/>
        <v>1580.5624999999989</v>
      </c>
      <c r="AB294" s="211">
        <f t="shared" si="59"/>
        <v>4157.3376801210561</v>
      </c>
      <c r="AC294" s="211">
        <f t="shared" si="59"/>
        <v>14709.910600081001</v>
      </c>
      <c r="AD294" s="211">
        <f t="shared" si="59"/>
        <v>65577.889617991445</v>
      </c>
      <c r="AE294" s="211">
        <f t="shared" si="59"/>
        <v>155906.69596672634</v>
      </c>
      <c r="AF294" s="284">
        <f t="shared" si="59"/>
        <v>111083.1714562041</v>
      </c>
      <c r="AG294" s="284">
        <f t="shared" si="59"/>
        <v>132795.09456567839</v>
      </c>
      <c r="AH294" s="284">
        <f t="shared" si="59"/>
        <v>155204.27961369391</v>
      </c>
      <c r="AI294" s="211">
        <f t="shared" si="59"/>
        <v>295492.66518045042</v>
      </c>
      <c r="AJ294" s="211">
        <f t="shared" si="59"/>
        <v>354791.8589697365</v>
      </c>
      <c r="AK294" s="211">
        <f t="shared" si="59"/>
        <v>448469.46944997844</v>
      </c>
      <c r="AL294" s="284">
        <f t="shared" si="59"/>
        <v>407976.69599878788</v>
      </c>
      <c r="AM294" s="211">
        <f t="shared" si="59"/>
        <v>940698.40448295011</v>
      </c>
      <c r="AN294" s="284">
        <f t="shared" si="59"/>
        <v>810839.39785012079</v>
      </c>
      <c r="AO294" s="211">
        <f t="shared" si="59"/>
        <v>952745.88707694656</v>
      </c>
      <c r="AP294" s="211">
        <f t="shared" si="59"/>
        <v>1064307.9294741398</v>
      </c>
      <c r="AQ294" s="211">
        <f t="shared" si="59"/>
        <v>1160249.6763565929</v>
      </c>
      <c r="AR294" s="211">
        <f t="shared" si="59"/>
        <v>3499976.5432564304</v>
      </c>
      <c r="AS294" s="284">
        <f t="shared" si="59"/>
        <v>2710031.0957544013</v>
      </c>
      <c r="AT294" s="284">
        <f t="shared" si="59"/>
        <v>2975607.8542668419</v>
      </c>
      <c r="AU294" s="284">
        <f t="shared" si="59"/>
        <v>3153635.8810571767</v>
      </c>
      <c r="AV294" s="284">
        <f t="shared" si="59"/>
        <v>3297477.0042275744</v>
      </c>
      <c r="AW294" s="286">
        <f t="shared" ref="AW294:AZ294" si="60">($P$284*($B$277+$B$278))*(2^(((AW283-7)-$P$283)/HLOOKUP((AW283-7)-$B$280,$P$307:$BH$309,3,TRUE)))</f>
        <v>10984883.660883481</v>
      </c>
      <c r="AX294" s="284">
        <f t="shared" si="60"/>
        <v>7814677.1740321489</v>
      </c>
      <c r="AY294" s="284">
        <f t="shared" si="60"/>
        <v>8132148.6507523432</v>
      </c>
      <c r="AZ294" s="284">
        <f t="shared" si="60"/>
        <v>8277599.099816232</v>
      </c>
      <c r="BA294" s="284">
        <f t="shared" ref="BA294:BF294" si="61">($P$284*($B$277+$B$278))*(2^(((BA283-7)-$P$283)/HLOOKUP((BA283-7)-$B$280,$P$307:$BH$309,3,TRUE)))</f>
        <v>8388519.6492992854</v>
      </c>
      <c r="BB294" s="238">
        <f t="shared" si="61"/>
        <v>1331488365.5730147</v>
      </c>
      <c r="BC294" s="208">
        <f t="shared" si="61"/>
        <v>445300109.58951402</v>
      </c>
      <c r="BD294" s="208">
        <f t="shared" si="61"/>
        <v>358519041.91476315</v>
      </c>
      <c r="BE294" s="208">
        <f t="shared" si="61"/>
        <v>413250671.04090333</v>
      </c>
      <c r="BF294" s="209">
        <f t="shared" si="61"/>
        <v>571153158.04243648</v>
      </c>
      <c r="BG294" s="208">
        <f>($P$284*($B$277+$B$278))*(2^(((BG283 - 7) - $P$283)/BG309))</f>
        <v>53800869.726887867</v>
      </c>
      <c r="BH294" s="244">
        <f>BH284*(B277+B278)</f>
        <v>4396521.1500000004</v>
      </c>
      <c r="BI294" s="45"/>
      <c r="BJ294" s="45"/>
      <c r="BK294" s="69"/>
    </row>
    <row r="295" spans="1:63" x14ac:dyDescent="0.25">
      <c r="A295" s="37" t="s">
        <v>156</v>
      </c>
      <c r="B295" s="38"/>
      <c r="C295" s="39"/>
      <c r="D295" s="39"/>
      <c r="E295" s="39"/>
      <c r="F295" s="39"/>
      <c r="G295" s="39"/>
      <c r="H295" s="39"/>
      <c r="I295" s="39"/>
      <c r="J295" s="39"/>
      <c r="K295" s="39"/>
      <c r="L295" s="39"/>
      <c r="M295" s="39"/>
      <c r="N295" s="39"/>
      <c r="O295" s="63"/>
      <c r="P295" s="206">
        <f t="shared" ref="P295:AC295" si="62">P294</f>
        <v>2.9796216359494587</v>
      </c>
      <c r="Q295" s="207">
        <f t="shared" si="62"/>
        <v>6.6590498985850246</v>
      </c>
      <c r="R295" s="207">
        <f t="shared" si="62"/>
        <v>9.3937329355254953</v>
      </c>
      <c r="S295" s="207">
        <f t="shared" si="62"/>
        <v>11.815592437748149</v>
      </c>
      <c r="T295" s="207">
        <f t="shared" si="62"/>
        <v>12.534285987853202</v>
      </c>
      <c r="U295" s="207">
        <f t="shared" si="62"/>
        <v>23.599266437601273</v>
      </c>
      <c r="V295" s="207">
        <f t="shared" si="62"/>
        <v>49.779972972921911</v>
      </c>
      <c r="W295" s="207">
        <f t="shared" si="62"/>
        <v>108.90640436467176</v>
      </c>
      <c r="X295" s="207">
        <f t="shared" si="62"/>
        <v>220.70535714285711</v>
      </c>
      <c r="Y295" s="207">
        <f t="shared" si="62"/>
        <v>322.92231652302479</v>
      </c>
      <c r="Z295" s="207">
        <f t="shared" si="62"/>
        <v>573.4171414665534</v>
      </c>
      <c r="AA295" s="207">
        <f t="shared" si="62"/>
        <v>1580.5624999999989</v>
      </c>
      <c r="AB295" s="207">
        <f t="shared" si="62"/>
        <v>4157.3376801210561</v>
      </c>
      <c r="AC295" s="207">
        <f t="shared" si="62"/>
        <v>14709.910600081001</v>
      </c>
      <c r="AD295" s="198">
        <f t="shared" ref="AD295:AV295" si="63">MAX(AD294-($P$284*$B$277)*(2^(((AD283 - 42) - $P$283)/HLOOKUP((AD283-42)-$B$280,$P$307:$BH$309,3,TRUE)))-AD297,0)</f>
        <v>60011.596753736201</v>
      </c>
      <c r="AE295" s="198">
        <f t="shared" si="63"/>
        <v>142124.36171205499</v>
      </c>
      <c r="AF295" s="198">
        <f t="shared" si="63"/>
        <v>89737.506502580392</v>
      </c>
      <c r="AG295" s="198">
        <f t="shared" si="63"/>
        <v>82168.218806941761</v>
      </c>
      <c r="AH295" s="198">
        <f t="shared" si="63"/>
        <v>121077.37661798642</v>
      </c>
      <c r="AI295" s="198">
        <f t="shared" si="63"/>
        <v>252868.59737156465</v>
      </c>
      <c r="AJ295" s="198">
        <f t="shared" si="63"/>
        <v>181677.79901564698</v>
      </c>
      <c r="AK295" s="198">
        <f t="shared" si="63"/>
        <v>203285.11007365442</v>
      </c>
      <c r="AL295" s="198">
        <f t="shared" si="63"/>
        <v>252056.96599880184</v>
      </c>
      <c r="AM295" s="198">
        <f t="shared" si="63"/>
        <v>532659.2429449925</v>
      </c>
      <c r="AN295" s="198">
        <f t="shared" si="63"/>
        <v>553229.92637480807</v>
      </c>
      <c r="AO295" s="198">
        <f t="shared" si="63"/>
        <v>351534.76998693473</v>
      </c>
      <c r="AP295" s="198">
        <f t="shared" si="63"/>
        <v>535989.53950503108</v>
      </c>
      <c r="AQ295" s="198">
        <f t="shared" si="63"/>
        <v>531877.01113903837</v>
      </c>
      <c r="AR295" s="198">
        <f t="shared" si="63"/>
        <v>2559979.7455211468</v>
      </c>
      <c r="AS295" s="198">
        <f t="shared" si="63"/>
        <v>341477.1896125488</v>
      </c>
      <c r="AT295" s="198">
        <f t="shared" si="63"/>
        <v>1118091.2946915191</v>
      </c>
      <c r="AU295" s="198">
        <f t="shared" si="63"/>
        <v>1097609.6819817957</v>
      </c>
      <c r="AV295" s="198">
        <f t="shared" si="63"/>
        <v>1104211.816234549</v>
      </c>
      <c r="AW295" s="198">
        <f t="shared" ref="AW295:AZ295" si="64">MAX(AW294-($P$284*$B$277)*(2^(((AW283 - 42) - $P$283)/HLOOKUP((AW283-42)-$B$280,$P$307:$BH$309,3,TRUE)))-AW297,0)</f>
        <v>7383869.412899809</v>
      </c>
      <c r="AX295" s="198">
        <f t="shared" si="64"/>
        <v>4956846.5646028584</v>
      </c>
      <c r="AY295" s="198">
        <f t="shared" si="64"/>
        <v>4933814.8145150132</v>
      </c>
      <c r="AZ295" s="198">
        <f t="shared" si="64"/>
        <v>4821373.4831032297</v>
      </c>
      <c r="BA295" s="198">
        <f t="shared" ref="BA295:BG295" si="65">MAX(BA294-($P$284*$B$277)*(2^(((BA283 - 42) - $P$283)/HLOOKUP((BA283-42)-$B$280,$P$307:$BH$309,3,TRUE)))-BA297,0)</f>
        <v>4707838.7525655581</v>
      </c>
      <c r="BB295" s="241">
        <f t="shared" si="65"/>
        <v>722616791.91415668</v>
      </c>
      <c r="BC295" s="203">
        <f t="shared" si="65"/>
        <v>213416846.59669662</v>
      </c>
      <c r="BD295" s="203">
        <f t="shared" si="65"/>
        <v>158533355.42082113</v>
      </c>
      <c r="BE295" s="203">
        <f t="shared" si="65"/>
        <v>172724059.29364753</v>
      </c>
      <c r="BF295" s="204">
        <f t="shared" si="65"/>
        <v>228986054.69885564</v>
      </c>
      <c r="BG295" s="199">
        <f t="shared" si="65"/>
        <v>0</v>
      </c>
      <c r="BH295" s="246"/>
      <c r="BI295" s="45"/>
      <c r="BJ295" s="45"/>
      <c r="BK295" s="69"/>
    </row>
    <row r="296" spans="1:63" x14ac:dyDescent="0.25">
      <c r="A296" s="62" t="s">
        <v>110</v>
      </c>
      <c r="B296" s="9"/>
      <c r="C296" s="9"/>
      <c r="D296" s="9"/>
      <c r="E296" s="9"/>
      <c r="F296" s="9"/>
      <c r="G296" s="9"/>
      <c r="H296" s="9"/>
      <c r="I296" s="9"/>
      <c r="J296" s="9"/>
      <c r="K296" s="9"/>
      <c r="L296" s="9"/>
      <c r="M296" s="9"/>
      <c r="N296" s="9"/>
      <c r="O296" s="5"/>
      <c r="P296" s="225">
        <f>(1*$B$278)*(2^(((P283 - 14) -$B$280)/$P$309))</f>
        <v>0.35133142435370507</v>
      </c>
      <c r="Q296" s="222">
        <f>(1*$B$278)*(2^(((Q283 - 14) -$B$280)/$P$309))</f>
        <v>0.8793994084295168</v>
      </c>
      <c r="R296" s="222">
        <f>(1*$B$278)*(2^(((R283 - 14) -$B$280)/$P$309))</f>
        <v>1.2405438181505943</v>
      </c>
      <c r="S296" s="222">
        <f>(1*$B$278)*(2^(((S283 - 14) -$B$280)/$P$309))</f>
        <v>1.5603765038925292</v>
      </c>
      <c r="T296" s="211">
        <f t="shared" ref="T296:AV296" si="66">($P$284*$B$278)*(2^(((T283 - 14) - $P$283)/HLOOKUP((T283-14)-$B$280,$P$307:$BH$309,3,TRUE)))</f>
        <v>1.9653383070069901</v>
      </c>
      <c r="U296" s="211">
        <f t="shared" si="66"/>
        <v>2.7724470405161594</v>
      </c>
      <c r="V296" s="211">
        <f t="shared" si="66"/>
        <v>3.0357142857142851</v>
      </c>
      <c r="W296" s="211">
        <f t="shared" si="66"/>
        <v>3.5840256691447028</v>
      </c>
      <c r="X296" s="211">
        <f t="shared" si="66"/>
        <v>6.2103332730529663</v>
      </c>
      <c r="Y296" s="211">
        <f t="shared" si="66"/>
        <v>11.368617573959821</v>
      </c>
      <c r="Z296" s="211">
        <f t="shared" si="66"/>
        <v>24.151785714285708</v>
      </c>
      <c r="AA296" s="211">
        <f t="shared" si="66"/>
        <v>58.080357142857132</v>
      </c>
      <c r="AB296" s="211">
        <f t="shared" si="66"/>
        <v>123.70535714285711</v>
      </c>
      <c r="AC296" s="211">
        <f t="shared" si="66"/>
        <v>515.59097869702066</v>
      </c>
      <c r="AD296" s="211">
        <f t="shared" si="66"/>
        <v>5570.8928571428578</v>
      </c>
      <c r="AE296" s="211">
        <f t="shared" si="66"/>
        <v>13823.025678649645</v>
      </c>
      <c r="AF296" s="211">
        <f t="shared" si="66"/>
        <v>21428.939201378067</v>
      </c>
      <c r="AG296" s="211">
        <f t="shared" si="66"/>
        <v>50945.755168707459</v>
      </c>
      <c r="AH296" s="284">
        <f t="shared" si="66"/>
        <v>35451.144071431758</v>
      </c>
      <c r="AI296" s="284">
        <f t="shared" si="66"/>
        <v>42937.038554280232</v>
      </c>
      <c r="AJ296" s="211">
        <f t="shared" si="66"/>
        <v>134060.1838119278</v>
      </c>
      <c r="AK296" s="211">
        <f t="shared" si="66"/>
        <v>169554.0325304759</v>
      </c>
      <c r="AL296" s="284">
        <f t="shared" si="66"/>
        <v>163685.41381191395</v>
      </c>
      <c r="AM296" s="284">
        <f t="shared" si="66"/>
        <v>121528.35323819361</v>
      </c>
      <c r="AN296" s="284">
        <f t="shared" si="66"/>
        <v>115367.50498258488</v>
      </c>
      <c r="AO296" s="284">
        <f t="shared" si="66"/>
        <v>144053.00494187459</v>
      </c>
      <c r="AP296" s="284">
        <f t="shared" si="66"/>
        <v>169297.15502566702</v>
      </c>
      <c r="AQ296" s="211">
        <f t="shared" si="66"/>
        <v>192561.66533694998</v>
      </c>
      <c r="AR296" s="286">
        <f t="shared" si="66"/>
        <v>601866.34807546693</v>
      </c>
      <c r="AS296" s="284">
        <f t="shared" si="66"/>
        <v>496718.8071790653</v>
      </c>
      <c r="AT296" s="284">
        <f t="shared" si="66"/>
        <v>567785.98214205028</v>
      </c>
      <c r="AU296" s="286">
        <f t="shared" si="66"/>
        <v>621661.20246900863</v>
      </c>
      <c r="AV296" s="286">
        <f t="shared" si="66"/>
        <v>667548.81829074991</v>
      </c>
      <c r="AW296" s="286">
        <f t="shared" ref="AW296:AZ296" si="67">($P$284*$B$278)*(2^(((AW283 - 14) - $P$283)/HLOOKUP((AW283-14)-$B$280,$P$307:$BH$309,3,TRUE)))</f>
        <v>2273046.8324242518</v>
      </c>
      <c r="AX296" s="284">
        <f t="shared" si="67"/>
        <v>1679741.4504317003</v>
      </c>
      <c r="AY296" s="284">
        <f t="shared" si="67"/>
        <v>1790471.0743939409</v>
      </c>
      <c r="AZ296" s="284">
        <f t="shared" si="67"/>
        <v>1857592.5969600314</v>
      </c>
      <c r="BA296" s="284">
        <f t="shared" ref="BA296:BG296" si="68">($P$284*$B$278)*(2^(((BA283 - 14) - $P$283)/HLOOKUP((BA283-14)-$B$280,$P$307:$BH$309,3,TRUE)))</f>
        <v>1911696.9255093737</v>
      </c>
      <c r="BB296" s="238">
        <f t="shared" si="68"/>
        <v>307272984.09359056</v>
      </c>
      <c r="BC296" s="208">
        <f t="shared" si="68"/>
        <v>106749449.98805667</v>
      </c>
      <c r="BD296" s="208">
        <f t="shared" si="68"/>
        <v>87625993.637191474</v>
      </c>
      <c r="BE296" s="208">
        <f t="shared" si="68"/>
        <v>102194234.53968632</v>
      </c>
      <c r="BF296" s="209">
        <f t="shared" si="68"/>
        <v>142357421.06097776</v>
      </c>
      <c r="BG296" s="208">
        <f t="shared" si="68"/>
        <v>219664280.73339853</v>
      </c>
      <c r="BH296" s="244">
        <f>BH284*B278</f>
        <v>1156979.2500000002</v>
      </c>
      <c r="BI296" s="45"/>
      <c r="BJ296" s="45"/>
      <c r="BK296" s="69"/>
    </row>
    <row r="297" spans="1:63" x14ac:dyDescent="0.25">
      <c r="A297" s="37" t="s">
        <v>157</v>
      </c>
      <c r="B297" s="38"/>
      <c r="C297" s="39"/>
      <c r="D297" s="39"/>
      <c r="E297" s="39"/>
      <c r="F297" s="39"/>
      <c r="G297" s="39"/>
      <c r="H297" s="39"/>
      <c r="I297" s="39"/>
      <c r="J297" s="39"/>
      <c r="K297" s="39"/>
      <c r="L297" s="39"/>
      <c r="M297" s="39"/>
      <c r="N297" s="39"/>
      <c r="O297" s="63"/>
      <c r="P297" s="206">
        <f t="shared" ref="P297:AA297" si="69">P296</f>
        <v>0.35133142435370507</v>
      </c>
      <c r="Q297" s="207">
        <f t="shared" si="69"/>
        <v>0.8793994084295168</v>
      </c>
      <c r="R297" s="207">
        <f t="shared" si="69"/>
        <v>1.2405438181505943</v>
      </c>
      <c r="S297" s="207">
        <f t="shared" si="69"/>
        <v>1.5603765038925292</v>
      </c>
      <c r="T297" s="207">
        <f t="shared" si="69"/>
        <v>1.9653383070069901</v>
      </c>
      <c r="U297" s="207">
        <f t="shared" si="69"/>
        <v>2.7724470405161594</v>
      </c>
      <c r="V297" s="207">
        <f t="shared" si="69"/>
        <v>3.0357142857142851</v>
      </c>
      <c r="W297" s="207">
        <f t="shared" si="69"/>
        <v>3.5840256691447028</v>
      </c>
      <c r="X297" s="207">
        <f t="shared" si="69"/>
        <v>6.2103332730529663</v>
      </c>
      <c r="Y297" s="207">
        <f t="shared" si="69"/>
        <v>11.368617573959821</v>
      </c>
      <c r="Z297" s="207">
        <f t="shared" si="69"/>
        <v>24.151785714285708</v>
      </c>
      <c r="AA297" s="207">
        <f t="shared" si="69"/>
        <v>58.080357142857132</v>
      </c>
      <c r="AB297" s="205">
        <f t="shared" ref="AB297:AV297" si="70">MAX(AB296-($P$284*$B$278)*(2^(((AB283 - 35) - $P$283)/HLOOKUP((AB283-35)-$B$280,$P$307:$BH$309,3,TRUE))),0)</f>
        <v>121.95297559059789</v>
      </c>
      <c r="AC297" s="205">
        <f t="shared" si="70"/>
        <v>512.48161226603429</v>
      </c>
      <c r="AD297" s="205">
        <f t="shared" si="70"/>
        <v>5557.792864255247</v>
      </c>
      <c r="AE297" s="205">
        <f t="shared" si="70"/>
        <v>13764.945321506788</v>
      </c>
      <c r="AF297" s="205">
        <f t="shared" si="70"/>
        <v>21278.039953623709</v>
      </c>
      <c r="AG297" s="205">
        <f t="shared" si="70"/>
        <v>50430.164190010437</v>
      </c>
      <c r="AH297" s="205">
        <f t="shared" si="70"/>
        <v>33551.402995707496</v>
      </c>
      <c r="AI297" s="205">
        <f t="shared" si="70"/>
        <v>30465.110685232437</v>
      </c>
      <c r="AJ297" s="205">
        <f t="shared" si="70"/>
        <v>98609.039740496039</v>
      </c>
      <c r="AK297" s="205">
        <f t="shared" si="70"/>
        <v>120294.25919359041</v>
      </c>
      <c r="AL297" s="205">
        <f t="shared" si="70"/>
        <v>29625.229999986157</v>
      </c>
      <c r="AM297" s="205">
        <f t="shared" si="70"/>
        <v>23871.298760504302</v>
      </c>
      <c r="AN297" s="205">
        <f t="shared" si="70"/>
        <v>0</v>
      </c>
      <c r="AO297" s="205">
        <f t="shared" si="70"/>
        <v>0</v>
      </c>
      <c r="AP297" s="205">
        <f t="shared" si="70"/>
        <v>0</v>
      </c>
      <c r="AQ297" s="205">
        <f t="shared" si="70"/>
        <v>0</v>
      </c>
      <c r="AR297" s="205">
        <f t="shared" si="70"/>
        <v>160370.84919598675</v>
      </c>
      <c r="AS297" s="205">
        <f t="shared" si="70"/>
        <v>0</v>
      </c>
      <c r="AT297" s="205">
        <f t="shared" si="70"/>
        <v>0</v>
      </c>
      <c r="AU297" s="205">
        <f t="shared" si="70"/>
        <v>0</v>
      </c>
      <c r="AV297" s="205">
        <f t="shared" si="70"/>
        <v>0</v>
      </c>
      <c r="AW297" s="205">
        <f t="shared" ref="AW297:AZ297" si="71">MAX(AW296-($P$284*$B$278)*(2^(((AW283 - 35) - $P$283)/HLOOKUP((AW283-35)-$B$280,$P$307:$BH$309,3,TRUE))),0)</f>
        <v>1167956.0928714145</v>
      </c>
      <c r="AX297" s="205">
        <f t="shared" si="71"/>
        <v>764390.95439149102</v>
      </c>
      <c r="AY297" s="205">
        <f t="shared" si="71"/>
        <v>741884.96386251785</v>
      </c>
      <c r="AZ297" s="205">
        <f t="shared" si="71"/>
        <v>705626.99865159672</v>
      </c>
      <c r="BA297" s="205">
        <f t="shared" ref="BA297:BG297" si="72">MAX(BA296-($P$284*$B$278)*(2^(((BA283 - 35) - $P$283)/HLOOKUP((BA283-35)-$B$280,$P$307:$BH$309,3,TRUE))),0)</f>
        <v>670127.58885884495</v>
      </c>
      <c r="BB297" s="241">
        <f t="shared" si="72"/>
        <v>100050834.55336297</v>
      </c>
      <c r="BC297" s="203">
        <f t="shared" si="72"/>
        <v>26052899.947022498</v>
      </c>
      <c r="BD297" s="203">
        <f t="shared" si="72"/>
        <v>17424568.107175723</v>
      </c>
      <c r="BE297" s="203">
        <f t="shared" si="72"/>
        <v>17390365.32009697</v>
      </c>
      <c r="BF297" s="204">
        <f t="shared" si="72"/>
        <v>21405299.786533415</v>
      </c>
      <c r="BG297" s="199">
        <f t="shared" si="72"/>
        <v>29845314.914220691</v>
      </c>
      <c r="BH297" s="244"/>
      <c r="BI297" s="45"/>
      <c r="BJ297" s="45"/>
      <c r="BK297" s="69"/>
    </row>
    <row r="298" spans="1:63" x14ac:dyDescent="0.25">
      <c r="A298" s="41" t="s">
        <v>56</v>
      </c>
      <c r="B298" s="15"/>
      <c r="C298" s="16"/>
      <c r="D298" s="16"/>
      <c r="E298" s="16"/>
      <c r="F298" s="16"/>
      <c r="G298" s="16"/>
      <c r="H298" s="16"/>
      <c r="I298" s="16"/>
      <c r="J298" s="16"/>
      <c r="K298" s="16"/>
      <c r="L298" s="16"/>
      <c r="M298" s="16"/>
      <c r="N298" s="16"/>
      <c r="O298" s="16"/>
      <c r="P298" s="226">
        <f t="shared" ref="P298:BG298" si="73">P284*$B$279</f>
        <v>1.84375</v>
      </c>
      <c r="Q298" s="227">
        <f t="shared" si="73"/>
        <v>3.6875</v>
      </c>
      <c r="R298" s="227">
        <f t="shared" si="73"/>
        <v>7.375</v>
      </c>
      <c r="S298" s="227">
        <f t="shared" si="73"/>
        <v>14.75</v>
      </c>
      <c r="T298" s="227">
        <f t="shared" si="73"/>
        <v>29.5</v>
      </c>
      <c r="U298" s="227">
        <f t="shared" si="73"/>
        <v>59</v>
      </c>
      <c r="V298" s="227">
        <f t="shared" si="73"/>
        <v>118</v>
      </c>
      <c r="W298" s="227">
        <f t="shared" si="73"/>
        <v>236</v>
      </c>
      <c r="X298" s="227">
        <f t="shared" si="73"/>
        <v>472</v>
      </c>
      <c r="Y298" s="227">
        <f t="shared" si="73"/>
        <v>944</v>
      </c>
      <c r="Z298" s="227">
        <f t="shared" si="73"/>
        <v>1888</v>
      </c>
      <c r="AA298" s="227">
        <f t="shared" si="73"/>
        <v>3776</v>
      </c>
      <c r="AB298" s="227">
        <f t="shared" si="73"/>
        <v>7552</v>
      </c>
      <c r="AC298" s="227">
        <f t="shared" si="73"/>
        <v>15104</v>
      </c>
      <c r="AD298" s="227">
        <f t="shared" si="73"/>
        <v>30208</v>
      </c>
      <c r="AE298" s="227">
        <f t="shared" ref="AE298:AG298" si="74">AE284*$B$279</f>
        <v>37760</v>
      </c>
      <c r="AF298" s="227">
        <f t="shared" si="74"/>
        <v>45312</v>
      </c>
      <c r="AG298" s="227">
        <f t="shared" si="74"/>
        <v>52864</v>
      </c>
      <c r="AH298" s="227">
        <f t="shared" si="73"/>
        <v>60416</v>
      </c>
      <c r="AI298" s="227">
        <f t="shared" ref="AI298:AK298" si="75">AI284*$B$279</f>
        <v>77332.479999999996</v>
      </c>
      <c r="AJ298" s="227">
        <f t="shared" si="75"/>
        <v>90624</v>
      </c>
      <c r="AK298" s="227">
        <f t="shared" si="75"/>
        <v>105728</v>
      </c>
      <c r="AL298" s="227">
        <f t="shared" si="73"/>
        <v>120832</v>
      </c>
      <c r="AM298" s="227">
        <f t="shared" ref="AM298:AP298" si="76">AM284*$B$279</f>
        <v>144998.39999999999</v>
      </c>
      <c r="AN298" s="227">
        <f t="shared" si="76"/>
        <v>169164.79999999999</v>
      </c>
      <c r="AO298" s="227">
        <f t="shared" si="76"/>
        <v>193331.19999999998</v>
      </c>
      <c r="AP298" s="227">
        <f t="shared" si="76"/>
        <v>217497.59999999998</v>
      </c>
      <c r="AQ298" s="227">
        <f t="shared" si="73"/>
        <v>241664</v>
      </c>
      <c r="AR298" s="227">
        <f t="shared" ref="AR298:AU298" si="77">AR284*$B$279</f>
        <v>289996.79999999999</v>
      </c>
      <c r="AS298" s="227">
        <f t="shared" si="77"/>
        <v>338329.59999999998</v>
      </c>
      <c r="AT298" s="227">
        <f t="shared" si="77"/>
        <v>386662.39999999997</v>
      </c>
      <c r="AU298" s="227">
        <f t="shared" si="77"/>
        <v>434995.19999999995</v>
      </c>
      <c r="AV298" s="227">
        <f t="shared" si="73"/>
        <v>483328</v>
      </c>
      <c r="AW298" s="227">
        <f t="shared" ref="AW298:AZ298" si="78">AW284*$B$279</f>
        <v>579993.59999999998</v>
      </c>
      <c r="AX298" s="227">
        <f t="shared" si="78"/>
        <v>676659.19999999995</v>
      </c>
      <c r="AY298" s="227">
        <f t="shared" si="78"/>
        <v>773324.79999999993</v>
      </c>
      <c r="AZ298" s="227">
        <f t="shared" si="78"/>
        <v>869990.39999999991</v>
      </c>
      <c r="BA298" s="227">
        <f t="shared" si="73"/>
        <v>966656</v>
      </c>
      <c r="BB298" s="240">
        <f t="shared" ref="BB298:BF298" si="79">BB284*$B$279</f>
        <v>1933312</v>
      </c>
      <c r="BC298" s="199">
        <f t="shared" si="79"/>
        <v>3866624</v>
      </c>
      <c r="BD298" s="199">
        <f t="shared" si="79"/>
        <v>7733248</v>
      </c>
      <c r="BE298" s="199">
        <f t="shared" si="79"/>
        <v>15466496</v>
      </c>
      <c r="BF298" s="200">
        <f t="shared" si="79"/>
        <v>19503364.5</v>
      </c>
      <c r="BG298" s="208">
        <f t="shared" si="73"/>
        <v>19503364.5</v>
      </c>
      <c r="BH298" s="244">
        <f>BH284*B279</f>
        <v>1365235.5150000001</v>
      </c>
      <c r="BI298" s="45"/>
      <c r="BJ298" s="45"/>
      <c r="BK298" s="69"/>
    </row>
    <row r="299" spans="1:63" x14ac:dyDescent="0.25">
      <c r="A299" s="37" t="s">
        <v>55</v>
      </c>
      <c r="B299" s="38"/>
      <c r="C299" s="39"/>
      <c r="D299" s="39"/>
      <c r="E299" s="39"/>
      <c r="F299" s="39"/>
      <c r="G299" s="39"/>
      <c r="H299" s="39"/>
      <c r="I299" s="39"/>
      <c r="J299" s="39"/>
      <c r="K299" s="39"/>
      <c r="L299" s="39"/>
      <c r="M299" s="39"/>
      <c r="N299" s="39"/>
      <c r="O299" s="39"/>
      <c r="P299" s="201"/>
      <c r="Q299" s="202"/>
      <c r="R299" s="202"/>
      <c r="S299" s="202"/>
      <c r="T299" s="202"/>
      <c r="U299" s="202"/>
      <c r="V299" s="202"/>
      <c r="W299" s="202"/>
      <c r="X299" s="202"/>
      <c r="Y299" s="202"/>
      <c r="Z299" s="202"/>
      <c r="AA299" s="202"/>
      <c r="AB299" s="210">
        <f t="shared" ref="AB299:AV299" si="80">($P$284*$B$279)*(2^(((AB283-35)-$P$283)/HLOOKUP((AB283-35)-$B$280,$P$307:$BH$309,3,TRUE)))</f>
        <v>2.067810231665876</v>
      </c>
      <c r="AC299" s="210">
        <f t="shared" si="80"/>
        <v>3.669052388563899</v>
      </c>
      <c r="AD299" s="210">
        <f t="shared" si="80"/>
        <v>15.457991607381013</v>
      </c>
      <c r="AE299" s="210">
        <f t="shared" si="80"/>
        <v>68.534821428571419</v>
      </c>
      <c r="AF299" s="210">
        <f t="shared" si="80"/>
        <v>178.06111235014029</v>
      </c>
      <c r="AG299" s="210">
        <f t="shared" si="80"/>
        <v>608.39735486248435</v>
      </c>
      <c r="AH299" s="210">
        <f t="shared" si="80"/>
        <v>2241.6944693546275</v>
      </c>
      <c r="AI299" s="210">
        <f t="shared" si="80"/>
        <v>14716.8748854764</v>
      </c>
      <c r="AJ299" s="210">
        <f t="shared" si="80"/>
        <v>41832.350004289474</v>
      </c>
      <c r="AK299" s="210">
        <f t="shared" si="80"/>
        <v>58126.532537524901</v>
      </c>
      <c r="AL299" s="210">
        <f t="shared" si="80"/>
        <v>158191.0168980748</v>
      </c>
      <c r="AM299" s="210">
        <f t="shared" si="80"/>
        <v>115235.32428367338</v>
      </c>
      <c r="AN299" s="210">
        <f t="shared" si="80"/>
        <v>234923.04732790584</v>
      </c>
      <c r="AO299" s="210">
        <f t="shared" si="80"/>
        <v>516107.50722301856</v>
      </c>
      <c r="AP299" s="210">
        <f t="shared" si="80"/>
        <v>411801.04988081922</v>
      </c>
      <c r="AQ299" s="210">
        <f t="shared" si="80"/>
        <v>460906.06658191961</v>
      </c>
      <c r="AR299" s="210">
        <f t="shared" si="80"/>
        <v>520964.68867778656</v>
      </c>
      <c r="AS299" s="210">
        <f t="shared" si="80"/>
        <v>1527526.4004188306</v>
      </c>
      <c r="AT299" s="210">
        <f t="shared" si="80"/>
        <v>1123923.4787065303</v>
      </c>
      <c r="AU299" s="210">
        <f t="shared" si="80"/>
        <v>1194978.3964959865</v>
      </c>
      <c r="AV299" s="210">
        <f t="shared" si="80"/>
        <v>1233926.5499753642</v>
      </c>
      <c r="AW299" s="210">
        <f t="shared" ref="AW299:AZ299" si="81">($P$284*$B$279)*(2^(((AW283-35)-$P$283)/HLOOKUP((AW283-35)-$B$280,$P$307:$BH$309,3,TRUE)))</f>
        <v>1304007.072672348</v>
      </c>
      <c r="AX299" s="210">
        <f t="shared" si="81"/>
        <v>1080113.5853274469</v>
      </c>
      <c r="AY299" s="210">
        <f t="shared" si="81"/>
        <v>1237331.6104270793</v>
      </c>
      <c r="AZ299" s="210">
        <f t="shared" si="81"/>
        <v>1359319.406003953</v>
      </c>
      <c r="BA299" s="210">
        <f t="shared" ref="BA299:BG299" si="82">($P$284*$B$279)*(2^(((BA283-35)-$P$283)/HLOOKUP((BA283-35)-$B$280,$P$307:$BH$309,3,TRUE)))</f>
        <v>1465051.8172476238</v>
      </c>
      <c r="BB299" s="241">
        <f t="shared" si="82"/>
        <v>244522136.45746857</v>
      </c>
      <c r="BC299" s="203">
        <f t="shared" si="82"/>
        <v>95221929.048420325</v>
      </c>
      <c r="BD299" s="203">
        <f t="shared" si="82"/>
        <v>82837682.125418589</v>
      </c>
      <c r="BE299" s="203">
        <f t="shared" si="82"/>
        <v>100068565.67911543</v>
      </c>
      <c r="BF299" s="204">
        <f t="shared" si="82"/>
        <v>142723503.10384431</v>
      </c>
      <c r="BG299" s="203">
        <f t="shared" si="82"/>
        <v>223986379.66662982</v>
      </c>
      <c r="BH299" s="247">
        <f>($P$284*$B$279)*(2^(((BH283 - 35) - $P$283)/BH309))</f>
        <v>14213259.027758533</v>
      </c>
      <c r="BI299" s="45"/>
      <c r="BJ299" s="45"/>
      <c r="BK299" s="69"/>
    </row>
    <row r="300" spans="1:63" s="69" customFormat="1" hidden="1" x14ac:dyDescent="0.25">
      <c r="A300" s="48" t="s">
        <v>104</v>
      </c>
      <c r="B300" s="25"/>
      <c r="C300" s="47"/>
      <c r="D300" s="47"/>
      <c r="E300" s="47"/>
      <c r="F300" s="47"/>
      <c r="G300" s="47"/>
      <c r="H300" s="47"/>
      <c r="I300" s="47"/>
      <c r="J300" s="47"/>
      <c r="K300" s="47"/>
      <c r="L300" s="47"/>
      <c r="M300" s="47"/>
      <c r="N300" s="47"/>
      <c r="O300" s="47"/>
      <c r="P300" s="150">
        <f t="shared" ref="P300:BG300" si="83">P283-7</f>
        <v>43875</v>
      </c>
      <c r="Q300" s="150">
        <f t="shared" si="83"/>
        <v>43883</v>
      </c>
      <c r="R300" s="150">
        <f t="shared" si="83"/>
        <v>43886</v>
      </c>
      <c r="S300" s="150">
        <f t="shared" si="83"/>
        <v>43888</v>
      </c>
      <c r="T300" s="150">
        <f t="shared" si="83"/>
        <v>43891</v>
      </c>
      <c r="U300" s="150">
        <f t="shared" si="83"/>
        <v>43894</v>
      </c>
      <c r="V300" s="150">
        <f t="shared" si="83"/>
        <v>43897</v>
      </c>
      <c r="W300" s="150">
        <f t="shared" si="83"/>
        <v>43899</v>
      </c>
      <c r="X300" s="150">
        <f t="shared" si="83"/>
        <v>43901</v>
      </c>
      <c r="Y300" s="150">
        <f t="shared" si="83"/>
        <v>43903</v>
      </c>
      <c r="Z300" s="150">
        <f t="shared" si="83"/>
        <v>43905</v>
      </c>
      <c r="AA300" s="150">
        <f t="shared" si="83"/>
        <v>43908</v>
      </c>
      <c r="AB300" s="150">
        <f t="shared" si="83"/>
        <v>43911</v>
      </c>
      <c r="AC300" s="150">
        <f t="shared" si="83"/>
        <v>43916</v>
      </c>
      <c r="AD300" s="150">
        <f t="shared" si="83"/>
        <v>43925</v>
      </c>
      <c r="AE300" s="150"/>
      <c r="AF300" s="150"/>
      <c r="AG300" s="150"/>
      <c r="AH300" s="150">
        <f t="shared" si="83"/>
        <v>43941</v>
      </c>
      <c r="AI300" s="150"/>
      <c r="AJ300" s="150"/>
      <c r="AK300" s="150"/>
      <c r="AL300" s="150">
        <f t="shared" si="83"/>
        <v>43983</v>
      </c>
      <c r="AM300" s="150"/>
      <c r="AN300" s="150"/>
      <c r="AO300" s="150"/>
      <c r="AP300" s="150"/>
      <c r="AQ300" s="150">
        <f t="shared" si="83"/>
        <v>44067</v>
      </c>
      <c r="AR300" s="150"/>
      <c r="AS300" s="150"/>
      <c r="AT300" s="150"/>
      <c r="AU300" s="150"/>
      <c r="AV300" s="150">
        <f t="shared" si="83"/>
        <v>44235</v>
      </c>
      <c r="AW300" s="150"/>
      <c r="AX300" s="150"/>
      <c r="AY300" s="150"/>
      <c r="AZ300" s="150"/>
      <c r="BA300" s="150">
        <f t="shared" si="83"/>
        <v>44571</v>
      </c>
      <c r="BB300" s="150"/>
      <c r="BC300" s="150"/>
      <c r="BD300" s="150"/>
      <c r="BE300" s="150"/>
      <c r="BF300" s="150"/>
      <c r="BG300" s="150">
        <f t="shared" si="83"/>
        <v>46587</v>
      </c>
      <c r="BH300" s="150"/>
      <c r="BI300" s="45"/>
      <c r="BJ300" s="45"/>
    </row>
    <row r="301" spans="1:63" s="69" customFormat="1" hidden="1" x14ac:dyDescent="0.25">
      <c r="A301" s="48" t="s">
        <v>102</v>
      </c>
      <c r="B301" s="25"/>
      <c r="C301" s="47"/>
      <c r="D301" s="47"/>
      <c r="E301" s="47"/>
      <c r="F301" s="47"/>
      <c r="G301" s="47"/>
      <c r="H301" s="47"/>
      <c r="I301" s="47"/>
      <c r="J301" s="47"/>
      <c r="K301" s="47"/>
      <c r="L301" s="47"/>
      <c r="M301" s="47"/>
      <c r="N301" s="47"/>
      <c r="O301" s="47"/>
      <c r="P301" s="150">
        <f t="shared" ref="P301:BG301" si="84">P283-14</f>
        <v>43868</v>
      </c>
      <c r="Q301" s="150">
        <f t="shared" si="84"/>
        <v>43876</v>
      </c>
      <c r="R301" s="150">
        <f t="shared" si="84"/>
        <v>43879</v>
      </c>
      <c r="S301" s="150">
        <f t="shared" si="84"/>
        <v>43881</v>
      </c>
      <c r="T301" s="150">
        <f t="shared" si="84"/>
        <v>43884</v>
      </c>
      <c r="U301" s="150">
        <f t="shared" si="84"/>
        <v>43887</v>
      </c>
      <c r="V301" s="150">
        <f t="shared" si="84"/>
        <v>43890</v>
      </c>
      <c r="W301" s="150">
        <f t="shared" si="84"/>
        <v>43892</v>
      </c>
      <c r="X301" s="150">
        <f t="shared" si="84"/>
        <v>43894</v>
      </c>
      <c r="Y301" s="150">
        <f t="shared" si="84"/>
        <v>43896</v>
      </c>
      <c r="Z301" s="150">
        <f t="shared" si="84"/>
        <v>43898</v>
      </c>
      <c r="AA301" s="150">
        <f t="shared" si="84"/>
        <v>43901</v>
      </c>
      <c r="AB301" s="150">
        <f t="shared" si="84"/>
        <v>43904</v>
      </c>
      <c r="AC301" s="150">
        <f t="shared" si="84"/>
        <v>43909</v>
      </c>
      <c r="AD301" s="150">
        <f t="shared" si="84"/>
        <v>43918</v>
      </c>
      <c r="AE301" s="150"/>
      <c r="AF301" s="150"/>
      <c r="AG301" s="150"/>
      <c r="AH301" s="150">
        <f t="shared" si="84"/>
        <v>43934</v>
      </c>
      <c r="AI301" s="150"/>
      <c r="AJ301" s="150"/>
      <c r="AK301" s="150"/>
      <c r="AL301" s="150">
        <f t="shared" si="84"/>
        <v>43976</v>
      </c>
      <c r="AM301" s="150"/>
      <c r="AN301" s="150"/>
      <c r="AO301" s="150"/>
      <c r="AP301" s="150"/>
      <c r="AQ301" s="150">
        <f t="shared" si="84"/>
        <v>44060</v>
      </c>
      <c r="AR301" s="150"/>
      <c r="AS301" s="150"/>
      <c r="AT301" s="150"/>
      <c r="AU301" s="150"/>
      <c r="AV301" s="150">
        <f t="shared" si="84"/>
        <v>44228</v>
      </c>
      <c r="AW301" s="150"/>
      <c r="AX301" s="150"/>
      <c r="AY301" s="150"/>
      <c r="AZ301" s="150"/>
      <c r="BA301" s="150">
        <f t="shared" si="84"/>
        <v>44564</v>
      </c>
      <c r="BB301" s="150"/>
      <c r="BC301" s="150"/>
      <c r="BD301" s="150"/>
      <c r="BE301" s="150"/>
      <c r="BF301" s="150"/>
      <c r="BG301" s="150">
        <f t="shared" si="84"/>
        <v>46580</v>
      </c>
      <c r="BH301" s="150"/>
      <c r="BI301" s="45"/>
      <c r="BJ301" s="45"/>
    </row>
    <row r="302" spans="1:63" s="69" customFormat="1" hidden="1" x14ac:dyDescent="0.25">
      <c r="A302" s="48" t="s">
        <v>105</v>
      </c>
      <c r="B302" s="25"/>
      <c r="C302" s="47"/>
      <c r="D302" s="47"/>
      <c r="E302" s="47"/>
      <c r="F302" s="47"/>
      <c r="G302" s="47"/>
      <c r="H302" s="47"/>
      <c r="I302" s="47"/>
      <c r="J302" s="47"/>
      <c r="K302" s="47"/>
      <c r="L302" s="47"/>
      <c r="M302" s="47"/>
      <c r="N302" s="47"/>
      <c r="O302" s="47"/>
      <c r="P302" s="150">
        <f t="shared" ref="P302:BG302" si="85">P283-(7*5)</f>
        <v>43847</v>
      </c>
      <c r="Q302" s="150">
        <f t="shared" si="85"/>
        <v>43855</v>
      </c>
      <c r="R302" s="150">
        <f t="shared" si="85"/>
        <v>43858</v>
      </c>
      <c r="S302" s="150">
        <f t="shared" si="85"/>
        <v>43860</v>
      </c>
      <c r="T302" s="150">
        <f t="shared" si="85"/>
        <v>43863</v>
      </c>
      <c r="U302" s="150">
        <f t="shared" si="85"/>
        <v>43866</v>
      </c>
      <c r="V302" s="150">
        <f t="shared" si="85"/>
        <v>43869</v>
      </c>
      <c r="W302" s="150">
        <f t="shared" si="85"/>
        <v>43871</v>
      </c>
      <c r="X302" s="150">
        <f t="shared" si="85"/>
        <v>43873</v>
      </c>
      <c r="Y302" s="150">
        <f t="shared" si="85"/>
        <v>43875</v>
      </c>
      <c r="Z302" s="150">
        <f t="shared" si="85"/>
        <v>43877</v>
      </c>
      <c r="AA302" s="150">
        <f t="shared" si="85"/>
        <v>43880</v>
      </c>
      <c r="AB302" s="150">
        <f t="shared" si="85"/>
        <v>43883</v>
      </c>
      <c r="AC302" s="150">
        <f t="shared" si="85"/>
        <v>43888</v>
      </c>
      <c r="AD302" s="150">
        <f t="shared" si="85"/>
        <v>43897</v>
      </c>
      <c r="AE302" s="150"/>
      <c r="AF302" s="150"/>
      <c r="AG302" s="150"/>
      <c r="AH302" s="150">
        <f t="shared" si="85"/>
        <v>43913</v>
      </c>
      <c r="AI302" s="150"/>
      <c r="AJ302" s="150"/>
      <c r="AK302" s="150"/>
      <c r="AL302" s="150">
        <f t="shared" si="85"/>
        <v>43955</v>
      </c>
      <c r="AM302" s="150"/>
      <c r="AN302" s="150"/>
      <c r="AO302" s="150"/>
      <c r="AP302" s="150"/>
      <c r="AQ302" s="150">
        <f t="shared" si="85"/>
        <v>44039</v>
      </c>
      <c r="AR302" s="150"/>
      <c r="AS302" s="150"/>
      <c r="AT302" s="150"/>
      <c r="AU302" s="150"/>
      <c r="AV302" s="150">
        <f t="shared" si="85"/>
        <v>44207</v>
      </c>
      <c r="AW302" s="150"/>
      <c r="AX302" s="150"/>
      <c r="AY302" s="150"/>
      <c r="AZ302" s="150"/>
      <c r="BA302" s="150">
        <f t="shared" si="85"/>
        <v>44543</v>
      </c>
      <c r="BB302" s="150"/>
      <c r="BC302" s="150"/>
      <c r="BD302" s="150"/>
      <c r="BE302" s="150"/>
      <c r="BF302" s="150"/>
      <c r="BG302" s="150">
        <f t="shared" si="85"/>
        <v>46559</v>
      </c>
      <c r="BH302" s="150"/>
      <c r="BI302" s="45"/>
      <c r="BJ302" s="45"/>
    </row>
    <row r="303" spans="1:63" s="69" customFormat="1" hidden="1" x14ac:dyDescent="0.25">
      <c r="A303" s="48" t="s">
        <v>103</v>
      </c>
      <c r="B303" s="25"/>
      <c r="C303" s="47"/>
      <c r="D303" s="47"/>
      <c r="E303" s="47"/>
      <c r="F303" s="47"/>
      <c r="G303" s="47"/>
      <c r="H303" s="47"/>
      <c r="I303" s="47"/>
      <c r="J303" s="47"/>
      <c r="K303" s="47"/>
      <c r="L303" s="47"/>
      <c r="M303" s="47"/>
      <c r="N303" s="47"/>
      <c r="O303" s="47"/>
      <c r="P303" s="150">
        <f t="shared" ref="P303:BG303" si="86">P283-(6*7)</f>
        <v>43840</v>
      </c>
      <c r="Q303" s="150">
        <f t="shared" si="86"/>
        <v>43848</v>
      </c>
      <c r="R303" s="150">
        <f t="shared" si="86"/>
        <v>43851</v>
      </c>
      <c r="S303" s="150">
        <f t="shared" si="86"/>
        <v>43853</v>
      </c>
      <c r="T303" s="150">
        <f t="shared" si="86"/>
        <v>43856</v>
      </c>
      <c r="U303" s="150">
        <f t="shared" si="86"/>
        <v>43859</v>
      </c>
      <c r="V303" s="150">
        <f t="shared" si="86"/>
        <v>43862</v>
      </c>
      <c r="W303" s="150">
        <f t="shared" si="86"/>
        <v>43864</v>
      </c>
      <c r="X303" s="150">
        <f t="shared" si="86"/>
        <v>43866</v>
      </c>
      <c r="Y303" s="150">
        <f t="shared" si="86"/>
        <v>43868</v>
      </c>
      <c r="Z303" s="150">
        <f t="shared" si="86"/>
        <v>43870</v>
      </c>
      <c r="AA303" s="150">
        <f t="shared" si="86"/>
        <v>43873</v>
      </c>
      <c r="AB303" s="150">
        <f t="shared" si="86"/>
        <v>43876</v>
      </c>
      <c r="AC303" s="150">
        <f t="shared" si="86"/>
        <v>43881</v>
      </c>
      <c r="AD303" s="150">
        <f t="shared" si="86"/>
        <v>43890</v>
      </c>
      <c r="AE303" s="150"/>
      <c r="AF303" s="150"/>
      <c r="AG303" s="150"/>
      <c r="AH303" s="150">
        <f t="shared" si="86"/>
        <v>43906</v>
      </c>
      <c r="AI303" s="150"/>
      <c r="AJ303" s="150"/>
      <c r="AK303" s="150"/>
      <c r="AL303" s="150">
        <f t="shared" si="86"/>
        <v>43948</v>
      </c>
      <c r="AM303" s="150"/>
      <c r="AN303" s="150"/>
      <c r="AO303" s="150"/>
      <c r="AP303" s="150"/>
      <c r="AQ303" s="150">
        <f t="shared" si="86"/>
        <v>44032</v>
      </c>
      <c r="AR303" s="150"/>
      <c r="AS303" s="150"/>
      <c r="AT303" s="150"/>
      <c r="AU303" s="150"/>
      <c r="AV303" s="150">
        <f t="shared" si="86"/>
        <v>44200</v>
      </c>
      <c r="AW303" s="150"/>
      <c r="AX303" s="150"/>
      <c r="AY303" s="150"/>
      <c r="AZ303" s="150"/>
      <c r="BA303" s="150">
        <f t="shared" si="86"/>
        <v>44536</v>
      </c>
      <c r="BB303" s="150"/>
      <c r="BC303" s="150"/>
      <c r="BD303" s="150"/>
      <c r="BE303" s="150"/>
      <c r="BF303" s="150"/>
      <c r="BG303" s="150">
        <f t="shared" si="86"/>
        <v>46552</v>
      </c>
      <c r="BH303" s="150"/>
      <c r="BI303" s="45"/>
      <c r="BJ303" s="45"/>
    </row>
    <row r="305" spans="1:60" x14ac:dyDescent="0.25">
      <c r="A305" s="53" t="s">
        <v>48</v>
      </c>
      <c r="B305" s="15"/>
      <c r="C305" s="16"/>
      <c r="D305" s="16"/>
      <c r="E305" s="16"/>
      <c r="F305" s="16"/>
      <c r="G305" s="16"/>
      <c r="H305" s="16"/>
      <c r="I305" s="16"/>
      <c r="J305" s="16"/>
      <c r="K305" s="16"/>
      <c r="L305" s="16"/>
      <c r="M305" s="16"/>
      <c r="N305" s="16"/>
      <c r="O305" s="16"/>
    </row>
    <row r="306" spans="1:60" s="69" customFormat="1" x14ac:dyDescent="0.25">
      <c r="A306" s="143" t="s">
        <v>101</v>
      </c>
      <c r="B306" s="25"/>
      <c r="C306" s="47"/>
      <c r="D306" s="47"/>
      <c r="E306" s="47"/>
      <c r="F306" s="47"/>
      <c r="G306" s="47"/>
      <c r="H306" s="47"/>
      <c r="I306" s="47"/>
      <c r="J306" s="47"/>
      <c r="K306" s="47"/>
      <c r="L306" s="47"/>
      <c r="M306" s="47"/>
      <c r="N306" s="47"/>
      <c r="O306" s="47"/>
      <c r="P306" s="141">
        <f t="shared" ref="P306:BH306" si="87">(P283-$B$280)/7</f>
        <v>4.4285714285714288</v>
      </c>
      <c r="Q306" s="141">
        <f t="shared" si="87"/>
        <v>5.5714285714285712</v>
      </c>
      <c r="R306" s="145">
        <f t="shared" si="87"/>
        <v>6</v>
      </c>
      <c r="S306" s="145">
        <f t="shared" si="87"/>
        <v>6.2857142857142856</v>
      </c>
      <c r="T306" s="141">
        <f t="shared" si="87"/>
        <v>6.7142857142857144</v>
      </c>
      <c r="U306" s="145">
        <f t="shared" si="87"/>
        <v>7.1428571428571432</v>
      </c>
      <c r="V306" s="141">
        <f t="shared" si="87"/>
        <v>7.5714285714285712</v>
      </c>
      <c r="W306" s="145">
        <f t="shared" si="87"/>
        <v>7.8571428571428568</v>
      </c>
      <c r="X306" s="145">
        <f t="shared" si="87"/>
        <v>8.1428571428571423</v>
      </c>
      <c r="Y306" s="142">
        <f t="shared" si="87"/>
        <v>8.4285714285714288</v>
      </c>
      <c r="Z306" s="145">
        <f t="shared" si="87"/>
        <v>8.7142857142857135</v>
      </c>
      <c r="AA306" s="145">
        <f t="shared" si="87"/>
        <v>9.1428571428571423</v>
      </c>
      <c r="AB306" s="141">
        <f t="shared" si="87"/>
        <v>9.5714285714285712</v>
      </c>
      <c r="AC306" s="142">
        <f t="shared" si="87"/>
        <v>10.285714285714286</v>
      </c>
      <c r="AD306" s="142">
        <f t="shared" si="87"/>
        <v>11.571428571428571</v>
      </c>
      <c r="AE306" s="144">
        <f t="shared" ref="AE306:AG306" si="88">(AE283-$B$280)/7</f>
        <v>12.142857142857142</v>
      </c>
      <c r="AF306" s="144">
        <f t="shared" si="88"/>
        <v>12.714285714285714</v>
      </c>
      <c r="AG306" s="144">
        <f t="shared" si="88"/>
        <v>13.285714285714286</v>
      </c>
      <c r="AH306" s="144">
        <f t="shared" si="87"/>
        <v>13.857142857142858</v>
      </c>
      <c r="AI306" s="144">
        <f t="shared" ref="AI306:AK306" si="89">(AI283-$B$280)/7</f>
        <v>15.357142857142858</v>
      </c>
      <c r="AJ306" s="144">
        <f t="shared" si="89"/>
        <v>16.857142857142858</v>
      </c>
      <c r="AK306" s="144">
        <f t="shared" si="89"/>
        <v>18.477142857142358</v>
      </c>
      <c r="AL306" s="144">
        <f t="shared" si="87"/>
        <v>19.857142857142858</v>
      </c>
      <c r="AM306" s="142">
        <f t="shared" ref="AM306:AP306" si="90">(AM283-$B$280)/7</f>
        <v>22.257142857143272</v>
      </c>
      <c r="AN306" s="142">
        <f t="shared" si="90"/>
        <v>24.657142857142649</v>
      </c>
      <c r="AO306" s="142">
        <f t="shared" si="90"/>
        <v>27.057142857143067</v>
      </c>
      <c r="AP306" s="142">
        <f t="shared" si="90"/>
        <v>29.45714285714244</v>
      </c>
      <c r="AQ306" s="142">
        <f t="shared" si="87"/>
        <v>31.857142857142858</v>
      </c>
      <c r="AR306" s="144">
        <f t="shared" ref="AR306:AU306" si="91">(AR283-$B$280)/7</f>
        <v>36.657142857142652</v>
      </c>
      <c r="AS306" s="144">
        <f t="shared" si="91"/>
        <v>41.457142857142443</v>
      </c>
      <c r="AT306" s="144">
        <f t="shared" si="91"/>
        <v>46.257142857143272</v>
      </c>
      <c r="AU306" s="144">
        <f t="shared" si="91"/>
        <v>51.057142857143063</v>
      </c>
      <c r="AV306" s="144">
        <f t="shared" si="87"/>
        <v>55.857142857142854</v>
      </c>
      <c r="AW306" s="141">
        <f t="shared" ref="AW306:AZ306" si="92">(AW283-$B$280)/7</f>
        <v>65.457142857142443</v>
      </c>
      <c r="AX306" s="141">
        <f t="shared" si="92"/>
        <v>75.057142857143063</v>
      </c>
      <c r="AY306" s="141">
        <f t="shared" si="92"/>
        <v>84.657142857142645</v>
      </c>
      <c r="AZ306" s="141">
        <f t="shared" si="92"/>
        <v>94.257142857143279</v>
      </c>
      <c r="BA306" s="141">
        <f t="shared" si="87"/>
        <v>103.85714285714286</v>
      </c>
      <c r="BB306" s="141">
        <f t="shared" ref="BB306:BF306" si="93">(BB283-$B$280)/7</f>
        <v>151.85714285714286</v>
      </c>
      <c r="BC306" s="141">
        <f t="shared" si="93"/>
        <v>199.85714285714286</v>
      </c>
      <c r="BD306" s="141">
        <f t="shared" si="93"/>
        <v>247.85714285714286</v>
      </c>
      <c r="BE306" s="141">
        <f t="shared" si="93"/>
        <v>295.85714285714283</v>
      </c>
      <c r="BF306" s="141">
        <f t="shared" si="93"/>
        <v>343.85714285714283</v>
      </c>
      <c r="BG306" s="144">
        <f t="shared" si="87"/>
        <v>391.85714285714283</v>
      </c>
      <c r="BH306" s="144">
        <f t="shared" si="87"/>
        <v>399.85714285714283</v>
      </c>
    </row>
    <row r="307" spans="1:60" s="69" customFormat="1" x14ac:dyDescent="0.25">
      <c r="A307" s="143" t="s">
        <v>100</v>
      </c>
      <c r="B307" s="25"/>
      <c r="C307" s="47"/>
      <c r="D307" s="47"/>
      <c r="E307" s="47"/>
      <c r="F307" s="47"/>
      <c r="G307" s="47"/>
      <c r="H307" s="47"/>
      <c r="I307" s="47"/>
      <c r="J307" s="47"/>
      <c r="K307" s="47"/>
      <c r="L307" s="47"/>
      <c r="M307" s="47"/>
      <c r="N307" s="47"/>
      <c r="O307" s="47"/>
      <c r="P307" s="269">
        <f>P283-$B$280</f>
        <v>31</v>
      </c>
      <c r="Q307" s="234">
        <f t="shared" ref="Q307:U307" si="94">Q283-$B$280</f>
        <v>39</v>
      </c>
      <c r="R307" s="234">
        <f t="shared" si="94"/>
        <v>42</v>
      </c>
      <c r="S307" s="234">
        <f t="shared" si="94"/>
        <v>44</v>
      </c>
      <c r="T307" s="234">
        <f t="shared" si="94"/>
        <v>47</v>
      </c>
      <c r="U307" s="234">
        <f t="shared" si="94"/>
        <v>50</v>
      </c>
      <c r="V307" s="234">
        <f>V283-$B$280</f>
        <v>53</v>
      </c>
      <c r="W307" s="234">
        <f t="shared" ref="W307:BH307" si="95">W283-$B$280</f>
        <v>55</v>
      </c>
      <c r="X307" s="234">
        <f t="shared" si="95"/>
        <v>57</v>
      </c>
      <c r="Y307" s="234">
        <f t="shared" si="95"/>
        <v>59</v>
      </c>
      <c r="Z307" s="234">
        <f t="shared" si="95"/>
        <v>61</v>
      </c>
      <c r="AA307" s="234">
        <f t="shared" si="95"/>
        <v>64</v>
      </c>
      <c r="AB307" s="234">
        <f t="shared" si="95"/>
        <v>67</v>
      </c>
      <c r="AC307" s="234">
        <f t="shared" si="95"/>
        <v>72</v>
      </c>
      <c r="AD307" s="234">
        <f t="shared" si="95"/>
        <v>81</v>
      </c>
      <c r="AE307" s="234">
        <f t="shared" ref="AE307:AG307" si="96">AE283-$B$280</f>
        <v>85</v>
      </c>
      <c r="AF307" s="234">
        <f t="shared" si="96"/>
        <v>89</v>
      </c>
      <c r="AG307" s="234">
        <f t="shared" si="96"/>
        <v>93</v>
      </c>
      <c r="AH307" s="234">
        <f t="shared" si="95"/>
        <v>97</v>
      </c>
      <c r="AI307" s="234">
        <f t="shared" ref="AI307:AK307" si="97">AI283-$B$280</f>
        <v>107.5</v>
      </c>
      <c r="AJ307" s="234">
        <f t="shared" si="97"/>
        <v>118</v>
      </c>
      <c r="AK307" s="234">
        <f t="shared" si="97"/>
        <v>129.33999999999651</v>
      </c>
      <c r="AL307" s="234">
        <f t="shared" si="95"/>
        <v>139</v>
      </c>
      <c r="AM307" s="234">
        <f t="shared" ref="AM307:AP307" si="98">AM283-$B$280</f>
        <v>155.80000000000291</v>
      </c>
      <c r="AN307" s="234">
        <f t="shared" si="98"/>
        <v>172.59999999999854</v>
      </c>
      <c r="AO307" s="234">
        <f t="shared" si="98"/>
        <v>189.40000000000146</v>
      </c>
      <c r="AP307" s="234">
        <f t="shared" si="98"/>
        <v>206.19999999999709</v>
      </c>
      <c r="AQ307" s="234">
        <f t="shared" si="95"/>
        <v>223</v>
      </c>
      <c r="AR307" s="234">
        <f t="shared" ref="AR307:AU307" si="99">AR283-$B$280</f>
        <v>256.59999999999854</v>
      </c>
      <c r="AS307" s="234">
        <f t="shared" si="99"/>
        <v>290.19999999999709</v>
      </c>
      <c r="AT307" s="234">
        <f t="shared" si="99"/>
        <v>323.80000000000291</v>
      </c>
      <c r="AU307" s="234">
        <f t="shared" si="99"/>
        <v>357.40000000000146</v>
      </c>
      <c r="AV307" s="234">
        <f t="shared" si="95"/>
        <v>391</v>
      </c>
      <c r="AW307" s="235">
        <f t="shared" ref="AW307:AZ307" si="100">AW283-$B$280</f>
        <v>458.19999999999709</v>
      </c>
      <c r="AX307" s="235">
        <f t="shared" si="100"/>
        <v>525.40000000000146</v>
      </c>
      <c r="AY307" s="235">
        <f t="shared" si="100"/>
        <v>592.59999999999854</v>
      </c>
      <c r="AZ307" s="235">
        <f t="shared" si="100"/>
        <v>659.80000000000291</v>
      </c>
      <c r="BA307" s="235">
        <f t="shared" si="95"/>
        <v>727</v>
      </c>
      <c r="BB307" s="262">
        <f t="shared" ref="BB307:BF307" si="101">BB283-$B$280</f>
        <v>1063</v>
      </c>
      <c r="BC307" s="191">
        <f t="shared" si="101"/>
        <v>1399</v>
      </c>
      <c r="BD307" s="191">
        <f t="shared" si="101"/>
        <v>1735</v>
      </c>
      <c r="BE307" s="191">
        <f t="shared" si="101"/>
        <v>2071</v>
      </c>
      <c r="BF307" s="191">
        <f t="shared" si="101"/>
        <v>2407</v>
      </c>
      <c r="BG307" s="191">
        <f t="shared" si="95"/>
        <v>2743</v>
      </c>
      <c r="BH307" s="191">
        <f t="shared" si="95"/>
        <v>2799</v>
      </c>
    </row>
    <row r="308" spans="1:60" x14ac:dyDescent="0.25">
      <c r="A308" s="41" t="s">
        <v>42</v>
      </c>
      <c r="B308" s="16"/>
      <c r="C308" s="16"/>
      <c r="D308" s="16"/>
      <c r="E308" s="16"/>
      <c r="F308" s="16"/>
      <c r="G308" s="16"/>
      <c r="H308" s="16"/>
      <c r="I308" s="16"/>
      <c r="J308" s="16"/>
      <c r="K308" s="16"/>
      <c r="L308" s="16"/>
      <c r="M308" s="16"/>
      <c r="N308" s="16"/>
      <c r="O308" s="16"/>
      <c r="P308" s="146">
        <v>35</v>
      </c>
      <c r="Q308" s="147">
        <v>68</v>
      </c>
      <c r="R308" s="148">
        <v>124</v>
      </c>
      <c r="S308" s="148">
        <v>221</v>
      </c>
      <c r="T308" s="148">
        <v>541</v>
      </c>
      <c r="U308" s="148">
        <v>1301</v>
      </c>
      <c r="V308" s="148">
        <v>2771</v>
      </c>
      <c r="W308" s="148">
        <v>4604</v>
      </c>
      <c r="X308" s="148">
        <v>9317</v>
      </c>
      <c r="Y308" s="148">
        <v>19551</v>
      </c>
      <c r="Z308" s="148">
        <v>33840</v>
      </c>
      <c r="AA308" s="148">
        <v>68905</v>
      </c>
      <c r="AB308" s="148">
        <v>124788</v>
      </c>
      <c r="AC308" s="148">
        <v>250708</v>
      </c>
      <c r="AD308" s="148">
        <v>539942</v>
      </c>
      <c r="AE308" s="148">
        <v>652474</v>
      </c>
      <c r="AF308" s="148">
        <v>770014</v>
      </c>
      <c r="AG308" s="148">
        <v>886274</v>
      </c>
      <c r="AH308" s="148">
        <v>1010356</v>
      </c>
      <c r="AI308" s="148">
        <v>1292623</v>
      </c>
      <c r="AJ308" s="148">
        <v>1550294</v>
      </c>
      <c r="AK308" s="148">
        <v>1793530</v>
      </c>
      <c r="AL308" s="183">
        <f>AL284</f>
        <v>2048000</v>
      </c>
      <c r="AM308" s="183">
        <f t="shared" ref="AM308:AP308" si="102">AH308*2</f>
        <v>2020712</v>
      </c>
      <c r="AN308" s="183">
        <f t="shared" si="102"/>
        <v>2585246</v>
      </c>
      <c r="AO308" s="183">
        <f t="shared" si="102"/>
        <v>3100588</v>
      </c>
      <c r="AP308" s="183">
        <f t="shared" si="102"/>
        <v>3587060</v>
      </c>
      <c r="AQ308" s="183">
        <f>AL308*2</f>
        <v>4096000</v>
      </c>
      <c r="AR308" s="183">
        <f t="shared" ref="AR308:AU308" si="103">AM308*2</f>
        <v>4041424</v>
      </c>
      <c r="AS308" s="183">
        <f t="shared" si="103"/>
        <v>5170492</v>
      </c>
      <c r="AT308" s="183">
        <f t="shared" si="103"/>
        <v>6201176</v>
      </c>
      <c r="AU308" s="183">
        <f t="shared" si="103"/>
        <v>7174120</v>
      </c>
      <c r="AV308" s="183">
        <f>AQ308*2</f>
        <v>8192000</v>
      </c>
      <c r="AW308" s="183">
        <f t="shared" ref="AW308:AZ308" si="104">AR308*2</f>
        <v>8082848</v>
      </c>
      <c r="AX308" s="183">
        <f t="shared" si="104"/>
        <v>10340984</v>
      </c>
      <c r="AY308" s="183">
        <f t="shared" si="104"/>
        <v>12402352</v>
      </c>
      <c r="AZ308" s="183">
        <f t="shared" si="104"/>
        <v>14348240</v>
      </c>
      <c r="BA308" s="183">
        <f>AV308*2</f>
        <v>16384000</v>
      </c>
      <c r="BB308" s="187">
        <f t="shared" ref="BB308" si="105">BA308*2</f>
        <v>32768000</v>
      </c>
      <c r="BC308" s="187">
        <f t="shared" ref="BC308" si="106">BB308*2</f>
        <v>65536000</v>
      </c>
      <c r="BD308" s="187">
        <f t="shared" ref="BD308" si="107">BC308*2</f>
        <v>131072000</v>
      </c>
      <c r="BE308" s="187">
        <f t="shared" ref="BE308" si="108">BD308*2</f>
        <v>262144000</v>
      </c>
      <c r="BF308" s="187">
        <f t="shared" ref="BF308" si="109">BE308*2</f>
        <v>524288000</v>
      </c>
      <c r="BG308" s="187">
        <f>BG284</f>
        <v>330565500</v>
      </c>
      <c r="BH308" s="188">
        <f>BG284</f>
        <v>330565500</v>
      </c>
    </row>
    <row r="309" spans="1:60" x14ac:dyDescent="0.25">
      <c r="A309" s="41" t="s">
        <v>154</v>
      </c>
      <c r="B309" s="16"/>
      <c r="C309" s="16"/>
      <c r="D309" s="16"/>
      <c r="E309" s="16"/>
      <c r="F309" s="16"/>
      <c r="G309" s="16"/>
      <c r="H309" s="16"/>
      <c r="I309" s="16"/>
      <c r="J309" s="16"/>
      <c r="K309" s="16"/>
      <c r="L309" s="16"/>
      <c r="M309" s="16"/>
      <c r="N309" s="16"/>
      <c r="O309" s="16"/>
      <c r="P309" s="194">
        <f>(P283-B280)/(LOG(P308/1)/LOG(2))</f>
        <v>6.0437296787073755</v>
      </c>
      <c r="Q309" s="174">
        <f>(Q283-$P$283)/(LOG(Q308/$P$308)/LOG(2))</f>
        <v>8.3491634837954933</v>
      </c>
      <c r="R309" s="174">
        <f t="shared" ref="R309:BH309" si="110">(R283-$P$283)/(LOG(R308/$P$308)/LOG(2))</f>
        <v>6.0276836381926202</v>
      </c>
      <c r="S309" s="174">
        <f t="shared" si="110"/>
        <v>4.8897556767514709</v>
      </c>
      <c r="T309" s="174">
        <f t="shared" si="110"/>
        <v>4.0504260147273037</v>
      </c>
      <c r="U309" s="174">
        <f t="shared" si="110"/>
        <v>3.6425526786068976</v>
      </c>
      <c r="V309" s="174">
        <f t="shared" si="110"/>
        <v>3.4882386226134869</v>
      </c>
      <c r="W309" s="174">
        <f t="shared" si="110"/>
        <v>3.4093867599891814</v>
      </c>
      <c r="X309" s="174">
        <f t="shared" si="110"/>
        <v>3.2272612172752644</v>
      </c>
      <c r="Y309" s="174">
        <f t="shared" si="110"/>
        <v>3.0682672712732586</v>
      </c>
      <c r="Z309" s="174">
        <f t="shared" si="110"/>
        <v>3.0250599197351313</v>
      </c>
      <c r="AA309" s="174">
        <f t="shared" si="110"/>
        <v>3.0156159459256791</v>
      </c>
      <c r="AB309" s="174">
        <f t="shared" si="110"/>
        <v>3.0508896880563214</v>
      </c>
      <c r="AC309" s="174">
        <f t="shared" si="110"/>
        <v>3.201532865133665</v>
      </c>
      <c r="AD309" s="174">
        <f t="shared" si="110"/>
        <v>3.5937194117521298</v>
      </c>
      <c r="AE309" s="174">
        <f t="shared" si="110"/>
        <v>3.8064952970597021</v>
      </c>
      <c r="AF309" s="174">
        <f t="shared" si="110"/>
        <v>4.020729736229403</v>
      </c>
      <c r="AG309" s="174">
        <f t="shared" si="110"/>
        <v>4.2384148703141689</v>
      </c>
      <c r="AH309" s="174">
        <f t="shared" ref="AH309:AK309" si="111">(AH283-$P$283)/(LOG(AH308/$P$308)/LOG(2))</f>
        <v>4.4542981107309165</v>
      </c>
      <c r="AI309" s="174">
        <f t="shared" si="111"/>
        <v>5.041987855922657</v>
      </c>
      <c r="AJ309" s="174">
        <f t="shared" si="111"/>
        <v>5.6366033652080967</v>
      </c>
      <c r="AK309" s="174">
        <f t="shared" si="111"/>
        <v>6.2856791592201029</v>
      </c>
      <c r="AL309" s="184">
        <f t="shared" si="110"/>
        <v>6.8196881479218634</v>
      </c>
      <c r="AM309" s="184">
        <f t="shared" ref="AM309:AP309" si="112">(AM283-$P$283)/(LOG(AM308/$P$308)/LOG(2))</f>
        <v>7.8901702114120207</v>
      </c>
      <c r="AN309" s="184">
        <f t="shared" si="112"/>
        <v>8.7555564828774841</v>
      </c>
      <c r="AO309" s="184">
        <f t="shared" si="112"/>
        <v>9.6380689772170296</v>
      </c>
      <c r="AP309" s="184">
        <f t="shared" si="112"/>
        <v>10.525628101486339</v>
      </c>
      <c r="AQ309" s="184">
        <f t="shared" si="110"/>
        <v>11.403794466974404</v>
      </c>
      <c r="AR309" s="184">
        <f t="shared" ref="AR309:AU309" si="113">(AR283-$P$283)/(LOG(AR308/$P$308)/LOG(2))</f>
        <v>13.41487765716507</v>
      </c>
      <c r="AS309" s="184">
        <f t="shared" si="113"/>
        <v>15.093823556965019</v>
      </c>
      <c r="AT309" s="184">
        <f t="shared" si="113"/>
        <v>16.793971828560863</v>
      </c>
      <c r="AU309" s="184">
        <f t="shared" si="113"/>
        <v>18.498066462038878</v>
      </c>
      <c r="AV309" s="184">
        <f t="shared" si="110"/>
        <v>20.183330497196554</v>
      </c>
      <c r="AW309" s="184">
        <f t="shared" ref="AW309:AZ309" si="114">(AW283-$P$283)/(LOG(AW308/$P$308)/LOG(2))</f>
        <v>23.976899644552805</v>
      </c>
      <c r="AX309" s="184">
        <f t="shared" si="114"/>
        <v>27.205812620180367</v>
      </c>
      <c r="AY309" s="184">
        <f t="shared" si="114"/>
        <v>30.464076943146686</v>
      </c>
      <c r="AZ309" s="184">
        <f t="shared" si="114"/>
        <v>33.724701070802553</v>
      </c>
      <c r="BA309" s="184">
        <f t="shared" si="110"/>
        <v>36.949536971222855</v>
      </c>
      <c r="BB309" s="189">
        <f t="shared" ref="BB309" si="115">(BB283-$P$283)/(LOG(BB308/$P$308)/LOG(2))</f>
        <v>52.025303558925813</v>
      </c>
      <c r="BC309" s="189">
        <f t="shared" ref="BC309" si="116">(BC283-$P$283)/(LOG(BC308/$P$308)/LOG(2))</f>
        <v>65.654016594403046</v>
      </c>
      <c r="BD309" s="189">
        <f t="shared" ref="BD309" si="117">(BD283-$P$283)/(LOG(BD308/$P$308)/LOG(2))</f>
        <v>78.034479017899159</v>
      </c>
      <c r="BE309" s="189">
        <f t="shared" ref="BE309" si="118">(BE283-$P$283)/(LOG(BE308/$P$308)/LOG(2))</f>
        <v>89.330671808463549</v>
      </c>
      <c r="BF309" s="189">
        <f t="shared" ref="BF309" si="119">(BF283-$P$283)/(LOG(BF308/$P$308)/LOG(2))</f>
        <v>99.679058319600244</v>
      </c>
      <c r="BG309" s="189">
        <f t="shared" si="110"/>
        <v>117.04246177351067</v>
      </c>
      <c r="BH309" s="190">
        <f t="shared" si="110"/>
        <v>119.4592677688339</v>
      </c>
    </row>
    <row r="310" spans="1:60" x14ac:dyDescent="0.25">
      <c r="A310" s="41" t="s">
        <v>190</v>
      </c>
      <c r="B310" s="16"/>
      <c r="C310" s="16"/>
      <c r="D310" s="16"/>
      <c r="E310" s="16"/>
      <c r="F310" s="16"/>
      <c r="G310" s="16"/>
      <c r="H310" s="16"/>
      <c r="I310" s="16"/>
      <c r="J310" s="16"/>
      <c r="K310" s="16"/>
      <c r="L310" s="16"/>
      <c r="M310" s="16"/>
      <c r="N310" s="16"/>
      <c r="O310" s="16"/>
      <c r="P310" s="266">
        <v>14</v>
      </c>
      <c r="Q310" s="263">
        <v>51</v>
      </c>
      <c r="R310" s="263">
        <v>70</v>
      </c>
      <c r="S310" s="263">
        <v>102</v>
      </c>
      <c r="T310" s="263">
        <v>246</v>
      </c>
      <c r="U310" s="263">
        <v>608</v>
      </c>
      <c r="V310" s="263">
        <v>1390</v>
      </c>
      <c r="W310" s="263">
        <v>2355</v>
      </c>
      <c r="X310" s="263">
        <v>4207</v>
      </c>
      <c r="Y310" s="263">
        <v>8341</v>
      </c>
      <c r="Z310" s="263">
        <v>15608</v>
      </c>
      <c r="AA310" s="263">
        <v>36304</v>
      </c>
      <c r="AB310" s="263">
        <v>71401</v>
      </c>
      <c r="AC310" s="263">
        <v>161932</v>
      </c>
      <c r="AD310" s="263">
        <v>400623</v>
      </c>
      <c r="AE310" s="263">
        <v>505584</v>
      </c>
      <c r="AF310" s="263">
        <v>593640</v>
      </c>
      <c r="AG310" s="263">
        <v>680047</v>
      </c>
      <c r="AH310" s="263">
        <v>763531</v>
      </c>
      <c r="AI310" s="263">
        <v>998445</v>
      </c>
      <c r="AJ310" s="263">
        <v>1101930</v>
      </c>
      <c r="AK310" s="263">
        <v>1169419</v>
      </c>
      <c r="AL310" s="267"/>
      <c r="AM310" s="267"/>
      <c r="AN310" s="267"/>
      <c r="AO310" s="267"/>
      <c r="AP310" s="267"/>
      <c r="AQ310" s="267"/>
      <c r="AR310" s="267"/>
      <c r="AS310" s="267"/>
      <c r="AT310" s="267"/>
      <c r="AU310" s="267"/>
      <c r="AV310" s="267"/>
      <c r="AW310" s="267"/>
      <c r="AX310" s="267"/>
      <c r="AY310" s="267"/>
      <c r="AZ310" s="267"/>
      <c r="BA310" s="267"/>
      <c r="BB310" s="189"/>
      <c r="BC310" s="189"/>
      <c r="BD310" s="189"/>
      <c r="BE310" s="189"/>
      <c r="BF310" s="189"/>
      <c r="BG310" s="189"/>
      <c r="BH310" s="190"/>
    </row>
    <row r="311" spans="1:60" x14ac:dyDescent="0.25">
      <c r="A311" s="41" t="s">
        <v>63</v>
      </c>
      <c r="B311" s="16"/>
      <c r="C311" s="16"/>
      <c r="D311" s="16"/>
      <c r="E311" s="16"/>
      <c r="F311" s="16"/>
      <c r="G311" s="16"/>
      <c r="H311" s="16"/>
      <c r="I311" s="16"/>
      <c r="J311" s="16"/>
      <c r="K311" s="16"/>
      <c r="L311" s="16"/>
      <c r="M311" s="16"/>
      <c r="N311" s="16"/>
      <c r="O311" s="16"/>
      <c r="P311" s="233">
        <f>P308-P312-P310</f>
        <v>21</v>
      </c>
      <c r="Q311" s="149">
        <f t="shared" ref="Q311:AE311" si="120">Q308-Q312-Q310</f>
        <v>16</v>
      </c>
      <c r="R311" s="149">
        <f t="shared" si="120"/>
        <v>45</v>
      </c>
      <c r="S311" s="149">
        <f t="shared" si="120"/>
        <v>107</v>
      </c>
      <c r="T311" s="149">
        <f t="shared" si="120"/>
        <v>273</v>
      </c>
      <c r="U311" s="149">
        <f t="shared" si="120"/>
        <v>655</v>
      </c>
      <c r="V311" s="149">
        <f t="shared" si="120"/>
        <v>1323</v>
      </c>
      <c r="W311" s="149">
        <f t="shared" si="120"/>
        <v>2154</v>
      </c>
      <c r="X311" s="149">
        <f t="shared" si="120"/>
        <v>4939</v>
      </c>
      <c r="Y311" s="149">
        <f t="shared" si="120"/>
        <v>10901</v>
      </c>
      <c r="Z311" s="149">
        <f t="shared" si="120"/>
        <v>17723</v>
      </c>
      <c r="AA311" s="149">
        <f t="shared" si="120"/>
        <v>31341</v>
      </c>
      <c r="AB311" s="149">
        <f t="shared" si="120"/>
        <v>50633</v>
      </c>
      <c r="AC311" s="149">
        <f t="shared" si="120"/>
        <v>81200</v>
      </c>
      <c r="AD311" s="149">
        <f t="shared" si="120"/>
        <v>115257</v>
      </c>
      <c r="AE311" s="149">
        <f t="shared" si="120"/>
        <v>114178</v>
      </c>
      <c r="AF311" s="149">
        <f t="shared" ref="AF311:AH311" si="121">AF308-AF312-AF310</f>
        <v>135473</v>
      </c>
      <c r="AG311" s="149">
        <f t="shared" si="121"/>
        <v>155993</v>
      </c>
      <c r="AH311" s="149">
        <f t="shared" si="121"/>
        <v>190030</v>
      </c>
      <c r="AI311" s="149">
        <f t="shared" ref="AI311:AJ311" si="122">AI308-AI312-AI310</f>
        <v>217250</v>
      </c>
      <c r="AJ311" s="149">
        <f t="shared" si="122"/>
        <v>356383</v>
      </c>
      <c r="AK311" s="149">
        <f t="shared" ref="AK311" si="123">AK308-AK312-AK310</f>
        <v>519569</v>
      </c>
      <c r="AL311" s="253">
        <v>688670</v>
      </c>
      <c r="AM311" s="185"/>
      <c r="AN311" s="185"/>
      <c r="AO311" s="185"/>
      <c r="AP311" s="185"/>
      <c r="AQ311" s="185"/>
      <c r="AR311" s="185"/>
      <c r="AS311" s="185"/>
      <c r="AT311" s="185"/>
      <c r="AU311" s="185"/>
      <c r="AV311" s="185"/>
      <c r="AW311" s="185"/>
      <c r="AX311" s="185"/>
      <c r="AY311" s="185"/>
      <c r="AZ311" s="185"/>
      <c r="BA311" s="185"/>
      <c r="BB311" s="187"/>
      <c r="BC311" s="107"/>
      <c r="BD311" s="107"/>
      <c r="BE311" s="107"/>
      <c r="BF311" s="107"/>
      <c r="BG311" s="107"/>
      <c r="BH311" s="108"/>
    </row>
    <row r="312" spans="1:60" x14ac:dyDescent="0.25">
      <c r="A312" s="49" t="s">
        <v>43</v>
      </c>
      <c r="B312" s="38"/>
      <c r="C312" s="39"/>
      <c r="D312" s="39"/>
      <c r="E312" s="39"/>
      <c r="F312" s="39"/>
      <c r="G312" s="39"/>
      <c r="H312" s="39"/>
      <c r="I312" s="39"/>
      <c r="J312" s="39"/>
      <c r="K312" s="39"/>
      <c r="L312" s="39"/>
      <c r="M312" s="39"/>
      <c r="N312" s="39"/>
      <c r="O312" s="39"/>
      <c r="P312" s="67">
        <v>0</v>
      </c>
      <c r="Q312" s="68">
        <v>1</v>
      </c>
      <c r="R312" s="52">
        <v>9</v>
      </c>
      <c r="S312" s="52">
        <v>12</v>
      </c>
      <c r="T312" s="52">
        <v>22</v>
      </c>
      <c r="U312" s="52">
        <v>38</v>
      </c>
      <c r="V312" s="52">
        <v>58</v>
      </c>
      <c r="W312" s="52">
        <v>95</v>
      </c>
      <c r="X312" s="52">
        <v>171</v>
      </c>
      <c r="Y312" s="52">
        <v>309</v>
      </c>
      <c r="Z312" s="52">
        <v>509</v>
      </c>
      <c r="AA312" s="52">
        <v>1260</v>
      </c>
      <c r="AB312" s="52">
        <v>2754</v>
      </c>
      <c r="AC312" s="52">
        <v>7576</v>
      </c>
      <c r="AD312" s="52">
        <v>24062</v>
      </c>
      <c r="AE312" s="52">
        <v>32712</v>
      </c>
      <c r="AF312" s="52">
        <v>40901</v>
      </c>
      <c r="AG312" s="52">
        <v>50234</v>
      </c>
      <c r="AH312" s="52">
        <v>56795</v>
      </c>
      <c r="AI312" s="52">
        <v>76928</v>
      </c>
      <c r="AJ312" s="52">
        <v>91981</v>
      </c>
      <c r="AK312" s="52">
        <v>104542</v>
      </c>
      <c r="AL312" s="254">
        <v>109146</v>
      </c>
      <c r="AM312" s="186"/>
      <c r="AN312" s="186"/>
      <c r="AO312" s="186"/>
      <c r="AP312" s="186"/>
      <c r="AQ312" s="186"/>
      <c r="AR312" s="186"/>
      <c r="AS312" s="186"/>
      <c r="AT312" s="186"/>
      <c r="AU312" s="186"/>
      <c r="AV312" s="186"/>
      <c r="AW312" s="186"/>
      <c r="AX312" s="186"/>
      <c r="AY312" s="186"/>
      <c r="AZ312" s="186"/>
      <c r="BA312" s="186"/>
      <c r="BB312" s="187"/>
      <c r="BC312" s="107"/>
      <c r="BD312" s="107"/>
      <c r="BE312" s="107"/>
      <c r="BF312" s="107"/>
      <c r="BG312" s="107"/>
      <c r="BH312" s="108"/>
    </row>
    <row r="313" spans="1:60" x14ac:dyDescent="0.25">
      <c r="B313" s="3"/>
      <c r="P313" s="35"/>
      <c r="Q313" s="35"/>
      <c r="R313" s="35"/>
      <c r="S313" s="35"/>
      <c r="T313" s="35"/>
      <c r="U313" s="35"/>
      <c r="V313" s="35"/>
      <c r="W313" s="35"/>
      <c r="X313" s="35"/>
      <c r="Y313" s="35"/>
      <c r="Z313" s="35"/>
      <c r="AA313" s="35"/>
      <c r="AB313" s="35"/>
      <c r="AC313" s="35"/>
      <c r="AD313" s="35"/>
      <c r="AE313" s="35"/>
      <c r="AF313" s="35"/>
      <c r="AG313" s="35"/>
      <c r="AH313" s="35"/>
      <c r="AI313" s="35"/>
      <c r="AJ313" s="35"/>
      <c r="AK313" s="35"/>
      <c r="AL313" s="35"/>
      <c r="AM313" s="35"/>
      <c r="AN313" s="35"/>
      <c r="AO313" s="35"/>
      <c r="AP313" s="35"/>
      <c r="AQ313" s="35"/>
      <c r="AR313" s="35"/>
      <c r="AS313" s="35"/>
      <c r="AT313" s="35"/>
      <c r="AU313" s="35"/>
    </row>
    <row r="314" spans="1:60" x14ac:dyDescent="0.25">
      <c r="A314" s="74" t="s">
        <v>49</v>
      </c>
      <c r="AQ314" s="16"/>
      <c r="AR314" s="16"/>
      <c r="AS314" s="16"/>
      <c r="AT314" s="16"/>
      <c r="AU314" s="16"/>
    </row>
    <row r="315" spans="1:60" x14ac:dyDescent="0.25">
      <c r="A315" s="4" t="s">
        <v>0</v>
      </c>
      <c r="B315" s="193" t="s">
        <v>115</v>
      </c>
      <c r="C315" s="5" t="s">
        <v>3</v>
      </c>
      <c r="D315" s="193" t="s">
        <v>51</v>
      </c>
      <c r="E315" s="58" t="s">
        <v>2</v>
      </c>
      <c r="F315" s="9" t="s">
        <v>3</v>
      </c>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c r="BA315" s="9"/>
      <c r="BB315" s="9"/>
      <c r="BC315" s="9"/>
      <c r="BD315" s="9"/>
      <c r="BE315" s="9"/>
      <c r="BF315" s="9"/>
      <c r="BG315" s="5"/>
      <c r="BH315" s="47"/>
    </row>
    <row r="316" spans="1:60" x14ac:dyDescent="0.25">
      <c r="A316" s="41" t="s">
        <v>12</v>
      </c>
      <c r="B316" s="13">
        <f>'Population by Age - Wikipedia'!D41</f>
        <v>3.6394890344941602E-2</v>
      </c>
      <c r="C316" s="12">
        <f>$B$267*B316</f>
        <v>12030895.124320794</v>
      </c>
      <c r="D316" s="22">
        <f>'AU Infection Rate by Age'!C4</f>
        <v>2.8847876724601325E-2</v>
      </c>
      <c r="E316" s="5"/>
      <c r="F316" s="16"/>
      <c r="G316" s="16"/>
      <c r="H316" s="16"/>
      <c r="I316" s="16"/>
      <c r="J316" s="16"/>
      <c r="K316" s="16"/>
      <c r="L316" s="16"/>
      <c r="M316" s="16"/>
      <c r="N316" s="16"/>
      <c r="O316" s="16"/>
      <c r="P316" s="18">
        <f t="shared" ref="P316:BG316" si="124">P$284*$D$316</f>
        <v>0.90149614764379138</v>
      </c>
      <c r="Q316" s="19">
        <f t="shared" si="124"/>
        <v>1.8029922952875828</v>
      </c>
      <c r="R316" s="19">
        <f t="shared" si="124"/>
        <v>3.6059845905751655</v>
      </c>
      <c r="S316" s="19">
        <f t="shared" si="124"/>
        <v>7.211969181150331</v>
      </c>
      <c r="T316" s="19">
        <f t="shared" si="124"/>
        <v>14.423938362300662</v>
      </c>
      <c r="U316" s="19">
        <f t="shared" si="124"/>
        <v>28.847876724601324</v>
      </c>
      <c r="V316" s="19">
        <f t="shared" si="124"/>
        <v>57.695753449202648</v>
      </c>
      <c r="W316" s="19">
        <f t="shared" si="124"/>
        <v>115.3915068984053</v>
      </c>
      <c r="X316" s="19">
        <f t="shared" si="124"/>
        <v>230.78301379681059</v>
      </c>
      <c r="Y316" s="19">
        <f t="shared" si="124"/>
        <v>461.56602759362119</v>
      </c>
      <c r="Z316" s="19">
        <f t="shared" si="124"/>
        <v>923.13205518724237</v>
      </c>
      <c r="AA316" s="19">
        <f t="shared" si="124"/>
        <v>1846.2641103744847</v>
      </c>
      <c r="AB316" s="19">
        <f t="shared" si="124"/>
        <v>3692.5282207489695</v>
      </c>
      <c r="AC316" s="19">
        <f t="shared" si="124"/>
        <v>7385.056441497939</v>
      </c>
      <c r="AD316" s="19">
        <f t="shared" si="124"/>
        <v>14770.112882995878</v>
      </c>
      <c r="AE316" s="19">
        <f t="shared" si="124"/>
        <v>18462.641103744849</v>
      </c>
      <c r="AF316" s="19">
        <f t="shared" si="124"/>
        <v>22155.169324493818</v>
      </c>
      <c r="AG316" s="19">
        <f t="shared" si="124"/>
        <v>25847.697545242787</v>
      </c>
      <c r="AH316" s="19">
        <f t="shared" si="124"/>
        <v>29540.225765991756</v>
      </c>
      <c r="AI316" s="19">
        <f t="shared" si="124"/>
        <v>37811.488980469447</v>
      </c>
      <c r="AJ316" s="19">
        <f t="shared" si="124"/>
        <v>44310.338648987636</v>
      </c>
      <c r="AK316" s="19">
        <f t="shared" si="124"/>
        <v>51695.395090485574</v>
      </c>
      <c r="AL316" s="19">
        <f t="shared" si="124"/>
        <v>59080.451531983512</v>
      </c>
      <c r="AM316" s="19">
        <f t="shared" si="124"/>
        <v>70896.541838380217</v>
      </c>
      <c r="AN316" s="19">
        <f t="shared" si="124"/>
        <v>82712.632144776915</v>
      </c>
      <c r="AO316" s="19">
        <f t="shared" si="124"/>
        <v>94528.722451173628</v>
      </c>
      <c r="AP316" s="19">
        <f t="shared" si="124"/>
        <v>106344.81275757033</v>
      </c>
      <c r="AQ316" s="19">
        <f t="shared" si="124"/>
        <v>118160.90306396702</v>
      </c>
      <c r="AR316" s="19">
        <f t="shared" si="124"/>
        <v>141793.08367676043</v>
      </c>
      <c r="AS316" s="19">
        <f t="shared" si="124"/>
        <v>165425.26428955383</v>
      </c>
      <c r="AT316" s="19">
        <f t="shared" si="124"/>
        <v>189057.44490234726</v>
      </c>
      <c r="AU316" s="19">
        <f t="shared" si="124"/>
        <v>212689.62551514065</v>
      </c>
      <c r="AV316" s="19">
        <f t="shared" si="124"/>
        <v>236321.80612793405</v>
      </c>
      <c r="AW316" s="19">
        <f t="shared" si="124"/>
        <v>283586.16735352087</v>
      </c>
      <c r="AX316" s="19">
        <f t="shared" si="124"/>
        <v>330850.52857910766</v>
      </c>
      <c r="AY316" s="19">
        <f t="shared" si="124"/>
        <v>378114.88980469451</v>
      </c>
      <c r="AZ316" s="19">
        <f t="shared" si="124"/>
        <v>425379.2510302813</v>
      </c>
      <c r="BA316" s="19">
        <f t="shared" si="124"/>
        <v>472643.61225586809</v>
      </c>
      <c r="BB316" s="18">
        <f t="shared" si="124"/>
        <v>945287.22451173619</v>
      </c>
      <c r="BC316" s="19">
        <f t="shared" si="124"/>
        <v>1890574.4490234724</v>
      </c>
      <c r="BD316" s="19">
        <f t="shared" si="124"/>
        <v>3781148.8980469448</v>
      </c>
      <c r="BE316" s="19">
        <f t="shared" si="124"/>
        <v>7562297.7960938895</v>
      </c>
      <c r="BF316" s="19">
        <f t="shared" si="124"/>
        <v>9536112.7934061997</v>
      </c>
      <c r="BG316" s="60">
        <f t="shared" si="124"/>
        <v>9536112.7934061997</v>
      </c>
      <c r="BH316" s="45"/>
    </row>
    <row r="317" spans="1:60" x14ac:dyDescent="0.25">
      <c r="A317" s="41"/>
      <c r="B317" s="6"/>
      <c r="C317" s="10"/>
      <c r="D317" s="8"/>
      <c r="E317" s="27">
        <v>0.14799999999999999</v>
      </c>
      <c r="F317" s="10"/>
      <c r="G317" s="10"/>
      <c r="H317" s="10"/>
      <c r="I317" s="10"/>
      <c r="J317" s="10"/>
      <c r="K317" s="10"/>
      <c r="L317" s="10"/>
      <c r="M317" s="10"/>
      <c r="N317" s="10"/>
      <c r="O317" s="10"/>
      <c r="P317" s="29">
        <f t="shared" ref="P317:BG317" si="125">P$284*$D$316*$E$317</f>
        <v>0.13342142985128111</v>
      </c>
      <c r="Q317" s="30">
        <f t="shared" si="125"/>
        <v>0.26684285970256222</v>
      </c>
      <c r="R317" s="30">
        <f t="shared" si="125"/>
        <v>0.53368571940512444</v>
      </c>
      <c r="S317" s="30">
        <f t="shared" si="125"/>
        <v>1.0673714388102489</v>
      </c>
      <c r="T317" s="30">
        <f t="shared" si="125"/>
        <v>2.1347428776204977</v>
      </c>
      <c r="U317" s="30">
        <f t="shared" si="125"/>
        <v>4.2694857552409955</v>
      </c>
      <c r="V317" s="30">
        <f t="shared" si="125"/>
        <v>8.538971510481991</v>
      </c>
      <c r="W317" s="30">
        <f t="shared" si="125"/>
        <v>17.077943020963982</v>
      </c>
      <c r="X317" s="30">
        <f t="shared" si="125"/>
        <v>34.155886041927964</v>
      </c>
      <c r="Y317" s="30">
        <f t="shared" si="125"/>
        <v>68.311772083855928</v>
      </c>
      <c r="Z317" s="30">
        <f t="shared" si="125"/>
        <v>136.62354416771186</v>
      </c>
      <c r="AA317" s="30">
        <f t="shared" si="125"/>
        <v>273.24708833542371</v>
      </c>
      <c r="AB317" s="30">
        <f t="shared" si="125"/>
        <v>546.49417667084742</v>
      </c>
      <c r="AC317" s="30">
        <f t="shared" si="125"/>
        <v>1092.9883533416948</v>
      </c>
      <c r="AD317" s="30">
        <f t="shared" si="125"/>
        <v>2185.9767066833897</v>
      </c>
      <c r="AE317" s="30">
        <f t="shared" si="125"/>
        <v>2732.4708833542377</v>
      </c>
      <c r="AF317" s="30">
        <f t="shared" si="125"/>
        <v>3278.9650600250848</v>
      </c>
      <c r="AG317" s="30">
        <f t="shared" si="125"/>
        <v>3825.4592366959323</v>
      </c>
      <c r="AH317" s="30">
        <f t="shared" si="125"/>
        <v>4371.9534133667794</v>
      </c>
      <c r="AI317" s="30">
        <f t="shared" si="125"/>
        <v>5596.1003691094775</v>
      </c>
      <c r="AJ317" s="30">
        <f t="shared" si="125"/>
        <v>6557.9301200501695</v>
      </c>
      <c r="AK317" s="30">
        <f t="shared" si="125"/>
        <v>7650.9184733918646</v>
      </c>
      <c r="AL317" s="30">
        <f t="shared" si="125"/>
        <v>8743.9068267335588</v>
      </c>
      <c r="AM317" s="30">
        <f t="shared" si="125"/>
        <v>10492.688192080272</v>
      </c>
      <c r="AN317" s="30">
        <f t="shared" si="125"/>
        <v>12241.469557426983</v>
      </c>
      <c r="AO317" s="30">
        <f t="shared" si="125"/>
        <v>13990.250922773695</v>
      </c>
      <c r="AP317" s="30">
        <f t="shared" si="125"/>
        <v>15739.032288120407</v>
      </c>
      <c r="AQ317" s="30">
        <f t="shared" si="125"/>
        <v>17487.813653467118</v>
      </c>
      <c r="AR317" s="30">
        <f t="shared" si="125"/>
        <v>20985.376384160543</v>
      </c>
      <c r="AS317" s="30">
        <f t="shared" si="125"/>
        <v>24482.939114853965</v>
      </c>
      <c r="AT317" s="30">
        <f t="shared" si="125"/>
        <v>27980.501845547391</v>
      </c>
      <c r="AU317" s="30">
        <f t="shared" si="125"/>
        <v>31478.064576240813</v>
      </c>
      <c r="AV317" s="30">
        <f t="shared" si="125"/>
        <v>34975.627306934235</v>
      </c>
      <c r="AW317" s="30">
        <f t="shared" si="125"/>
        <v>41970.752768321086</v>
      </c>
      <c r="AX317" s="30">
        <f t="shared" si="125"/>
        <v>48965.878229707931</v>
      </c>
      <c r="AY317" s="30">
        <f t="shared" si="125"/>
        <v>55961.003691094782</v>
      </c>
      <c r="AZ317" s="30">
        <f t="shared" si="125"/>
        <v>62956.129152481626</v>
      </c>
      <c r="BA317" s="30">
        <f t="shared" si="125"/>
        <v>69951.25461386847</v>
      </c>
      <c r="BB317" s="29">
        <f t="shared" si="125"/>
        <v>139902.50922773694</v>
      </c>
      <c r="BC317" s="30">
        <f t="shared" si="125"/>
        <v>279805.01845547388</v>
      </c>
      <c r="BD317" s="30">
        <f t="shared" si="125"/>
        <v>559610.03691094776</v>
      </c>
      <c r="BE317" s="30">
        <f t="shared" si="125"/>
        <v>1119220.0738218955</v>
      </c>
      <c r="BF317" s="30">
        <f t="shared" si="125"/>
        <v>1411344.6934241175</v>
      </c>
      <c r="BG317" s="71">
        <f t="shared" si="125"/>
        <v>1411344.6934241175</v>
      </c>
      <c r="BH317" s="45"/>
    </row>
    <row r="318" spans="1:60" x14ac:dyDescent="0.25">
      <c r="A318" s="41" t="s">
        <v>13</v>
      </c>
      <c r="B318" s="6">
        <f>'Population by Age - Wikipedia'!D37</f>
        <v>5.3752877231864643E-2</v>
      </c>
      <c r="C318" s="10">
        <f t="shared" ref="C318:C332" si="126">$B$267*B318</f>
        <v>17768846.73858995</v>
      </c>
      <c r="D318" s="23">
        <f>'AU Infection Rate by Age'!C5</f>
        <v>0.10661171833004837</v>
      </c>
      <c r="E318" s="17"/>
      <c r="F318" s="16"/>
      <c r="G318" s="16"/>
      <c r="H318" s="16"/>
      <c r="I318" s="16"/>
      <c r="J318" s="16"/>
      <c r="K318" s="16"/>
      <c r="L318" s="16"/>
      <c r="M318" s="16"/>
      <c r="N318" s="16"/>
      <c r="O318" s="16"/>
      <c r="P318" s="20">
        <f t="shared" ref="P318:BG318" si="127">P$284*$D$318</f>
        <v>3.3316161978140117</v>
      </c>
      <c r="Q318" s="21">
        <f t="shared" si="127"/>
        <v>6.6632323956280235</v>
      </c>
      <c r="R318" s="21">
        <f t="shared" si="127"/>
        <v>13.326464791256047</v>
      </c>
      <c r="S318" s="21">
        <f t="shared" si="127"/>
        <v>26.652929582512094</v>
      </c>
      <c r="T318" s="21">
        <f t="shared" si="127"/>
        <v>53.305859165024188</v>
      </c>
      <c r="U318" s="21">
        <f t="shared" si="127"/>
        <v>106.61171833004838</v>
      </c>
      <c r="V318" s="21">
        <f t="shared" si="127"/>
        <v>213.22343666009675</v>
      </c>
      <c r="W318" s="21">
        <f t="shared" si="127"/>
        <v>426.4468733201935</v>
      </c>
      <c r="X318" s="21">
        <f t="shared" si="127"/>
        <v>852.89374664038701</v>
      </c>
      <c r="Y318" s="21">
        <f t="shared" si="127"/>
        <v>1705.787493280774</v>
      </c>
      <c r="Z318" s="21">
        <f t="shared" si="127"/>
        <v>3411.574986561548</v>
      </c>
      <c r="AA318" s="21">
        <f t="shared" si="127"/>
        <v>6823.1499731230961</v>
      </c>
      <c r="AB318" s="21">
        <f t="shared" si="127"/>
        <v>13646.299946246192</v>
      </c>
      <c r="AC318" s="21">
        <f t="shared" si="127"/>
        <v>27292.599892492384</v>
      </c>
      <c r="AD318" s="21">
        <f t="shared" si="127"/>
        <v>54585.199784984768</v>
      </c>
      <c r="AE318" s="21">
        <f t="shared" si="127"/>
        <v>68231.499731230957</v>
      </c>
      <c r="AF318" s="21">
        <f t="shared" si="127"/>
        <v>81877.799677477145</v>
      </c>
      <c r="AG318" s="21">
        <f t="shared" si="127"/>
        <v>95524.099623723334</v>
      </c>
      <c r="AH318" s="21">
        <f t="shared" si="127"/>
        <v>109170.39956996954</v>
      </c>
      <c r="AI318" s="21">
        <f t="shared" si="127"/>
        <v>139738.11144956099</v>
      </c>
      <c r="AJ318" s="21">
        <f t="shared" si="127"/>
        <v>163755.59935495429</v>
      </c>
      <c r="AK318" s="21">
        <f t="shared" si="127"/>
        <v>191048.19924744667</v>
      </c>
      <c r="AL318" s="21">
        <f t="shared" si="127"/>
        <v>218340.79913993907</v>
      </c>
      <c r="AM318" s="21">
        <f t="shared" si="127"/>
        <v>262008.95896792688</v>
      </c>
      <c r="AN318" s="21">
        <f t="shared" si="127"/>
        <v>305677.11879591469</v>
      </c>
      <c r="AO318" s="21">
        <f t="shared" si="127"/>
        <v>349345.27862390253</v>
      </c>
      <c r="AP318" s="21">
        <f t="shared" si="127"/>
        <v>393013.43845189031</v>
      </c>
      <c r="AQ318" s="21">
        <f t="shared" si="127"/>
        <v>436681.59827987815</v>
      </c>
      <c r="AR318" s="21">
        <f t="shared" si="127"/>
        <v>524017.91793585377</v>
      </c>
      <c r="AS318" s="21">
        <f t="shared" si="127"/>
        <v>611354.23759182938</v>
      </c>
      <c r="AT318" s="21">
        <f t="shared" si="127"/>
        <v>698690.55724780506</v>
      </c>
      <c r="AU318" s="21">
        <f t="shared" si="127"/>
        <v>786026.87690378062</v>
      </c>
      <c r="AV318" s="21">
        <f t="shared" si="127"/>
        <v>873363.1965597563</v>
      </c>
      <c r="AW318" s="21">
        <f t="shared" si="127"/>
        <v>1048035.8358717075</v>
      </c>
      <c r="AX318" s="21">
        <f t="shared" si="127"/>
        <v>1222708.4751836588</v>
      </c>
      <c r="AY318" s="21">
        <f t="shared" si="127"/>
        <v>1397381.1144956101</v>
      </c>
      <c r="AZ318" s="21">
        <f t="shared" si="127"/>
        <v>1572053.7538075612</v>
      </c>
      <c r="BA318" s="21">
        <f t="shared" si="127"/>
        <v>1746726.3931195126</v>
      </c>
      <c r="BB318" s="20">
        <f t="shared" si="127"/>
        <v>3493452.7862390252</v>
      </c>
      <c r="BC318" s="21">
        <f t="shared" si="127"/>
        <v>6986905.5724780504</v>
      </c>
      <c r="BD318" s="21">
        <f t="shared" si="127"/>
        <v>13973811.144956101</v>
      </c>
      <c r="BE318" s="21">
        <f t="shared" si="127"/>
        <v>27947622.289912201</v>
      </c>
      <c r="BF318" s="21">
        <f t="shared" si="127"/>
        <v>35242155.975631602</v>
      </c>
      <c r="BG318" s="72">
        <f t="shared" si="127"/>
        <v>35242155.975631602</v>
      </c>
      <c r="BH318" s="45"/>
    </row>
    <row r="319" spans="1:60" x14ac:dyDescent="0.25">
      <c r="A319" s="41"/>
      <c r="B319" s="6"/>
      <c r="C319" s="10"/>
      <c r="D319" s="8"/>
      <c r="E319" s="27">
        <v>0.08</v>
      </c>
      <c r="F319" s="10"/>
      <c r="G319" s="10"/>
      <c r="H319" s="10"/>
      <c r="I319" s="10"/>
      <c r="J319" s="10"/>
      <c r="K319" s="10"/>
      <c r="L319" s="10"/>
      <c r="M319" s="10"/>
      <c r="N319" s="10"/>
      <c r="O319" s="10"/>
      <c r="P319" s="29">
        <f t="shared" ref="P319:BG319" si="128">P$284*$D$318*$E$319</f>
        <v>0.26652929582512097</v>
      </c>
      <c r="Q319" s="30">
        <f t="shared" si="128"/>
        <v>0.53305859165024194</v>
      </c>
      <c r="R319" s="30">
        <f t="shared" si="128"/>
        <v>1.0661171833004839</v>
      </c>
      <c r="S319" s="30">
        <f t="shared" si="128"/>
        <v>2.1322343666009678</v>
      </c>
      <c r="T319" s="30">
        <f t="shared" si="128"/>
        <v>4.2644687332019355</v>
      </c>
      <c r="U319" s="30">
        <f t="shared" si="128"/>
        <v>8.5289374664038711</v>
      </c>
      <c r="V319" s="30">
        <f t="shared" si="128"/>
        <v>17.057874932807742</v>
      </c>
      <c r="W319" s="30">
        <f t="shared" si="128"/>
        <v>34.115749865615484</v>
      </c>
      <c r="X319" s="30">
        <f t="shared" si="128"/>
        <v>68.231499731230969</v>
      </c>
      <c r="Y319" s="30">
        <f t="shared" si="128"/>
        <v>136.46299946246194</v>
      </c>
      <c r="Z319" s="30">
        <f t="shared" si="128"/>
        <v>272.92599892492387</v>
      </c>
      <c r="AA319" s="30">
        <f t="shared" si="128"/>
        <v>545.85199784984775</v>
      </c>
      <c r="AB319" s="30">
        <f t="shared" si="128"/>
        <v>1091.7039956996955</v>
      </c>
      <c r="AC319" s="30">
        <f t="shared" si="128"/>
        <v>2183.407991399391</v>
      </c>
      <c r="AD319" s="30">
        <f t="shared" si="128"/>
        <v>4366.815982798782</v>
      </c>
      <c r="AE319" s="30">
        <f t="shared" si="128"/>
        <v>5458.519978498477</v>
      </c>
      <c r="AF319" s="30">
        <f t="shared" si="128"/>
        <v>6550.2239741981721</v>
      </c>
      <c r="AG319" s="30">
        <f t="shared" si="128"/>
        <v>7641.9279698978671</v>
      </c>
      <c r="AH319" s="30">
        <f t="shared" si="128"/>
        <v>8733.631965597564</v>
      </c>
      <c r="AI319" s="30">
        <f t="shared" si="128"/>
        <v>11179.048915964881</v>
      </c>
      <c r="AJ319" s="30">
        <f t="shared" si="128"/>
        <v>13100.447948396344</v>
      </c>
      <c r="AK319" s="30">
        <f t="shared" si="128"/>
        <v>15283.855939795734</v>
      </c>
      <c r="AL319" s="30">
        <f t="shared" si="128"/>
        <v>17467.263931195128</v>
      </c>
      <c r="AM319" s="30">
        <f t="shared" si="128"/>
        <v>20960.716717434152</v>
      </c>
      <c r="AN319" s="30">
        <f t="shared" si="128"/>
        <v>24454.169503673176</v>
      </c>
      <c r="AO319" s="30">
        <f t="shared" si="128"/>
        <v>27947.622289912204</v>
      </c>
      <c r="AP319" s="30">
        <f t="shared" si="128"/>
        <v>31441.075076151224</v>
      </c>
      <c r="AQ319" s="30">
        <f t="shared" si="128"/>
        <v>34934.527862390256</v>
      </c>
      <c r="AR319" s="30">
        <f t="shared" si="128"/>
        <v>41921.433434868304</v>
      </c>
      <c r="AS319" s="30">
        <f t="shared" si="128"/>
        <v>48908.339007346352</v>
      </c>
      <c r="AT319" s="30">
        <f t="shared" si="128"/>
        <v>55895.244579824408</v>
      </c>
      <c r="AU319" s="30">
        <f t="shared" si="128"/>
        <v>62882.150152302449</v>
      </c>
      <c r="AV319" s="30">
        <f t="shared" si="128"/>
        <v>69869.055724780512</v>
      </c>
      <c r="AW319" s="30">
        <f t="shared" si="128"/>
        <v>83842.866869736608</v>
      </c>
      <c r="AX319" s="30">
        <f t="shared" si="128"/>
        <v>97816.678014692705</v>
      </c>
      <c r="AY319" s="30">
        <f t="shared" si="128"/>
        <v>111790.48915964882</v>
      </c>
      <c r="AZ319" s="30">
        <f t="shared" si="128"/>
        <v>125764.3003046049</v>
      </c>
      <c r="BA319" s="30">
        <f t="shared" si="128"/>
        <v>139738.11144956102</v>
      </c>
      <c r="BB319" s="29">
        <f t="shared" si="128"/>
        <v>279476.22289912205</v>
      </c>
      <c r="BC319" s="30">
        <f t="shared" si="128"/>
        <v>558952.44579824409</v>
      </c>
      <c r="BD319" s="30">
        <f t="shared" si="128"/>
        <v>1117904.8915964882</v>
      </c>
      <c r="BE319" s="30">
        <f t="shared" si="128"/>
        <v>2235809.7831929764</v>
      </c>
      <c r="BF319" s="30">
        <f t="shared" si="128"/>
        <v>2819372.4780505281</v>
      </c>
      <c r="BG319" s="71">
        <f t="shared" si="128"/>
        <v>2819372.4780505281</v>
      </c>
      <c r="BH319" s="45"/>
    </row>
    <row r="320" spans="1:60" x14ac:dyDescent="0.25">
      <c r="A320" s="41" t="s">
        <v>14</v>
      </c>
      <c r="B320" s="6">
        <f>'Population by Age - Wikipedia'!D33</f>
        <v>9.4748533661399834E-2</v>
      </c>
      <c r="C320" s="10">
        <f t="shared" si="126"/>
        <v>31320596.404047467</v>
      </c>
      <c r="D320" s="23">
        <f>'AU Infection Rate by Age'!C6</f>
        <v>0.16735352087439526</v>
      </c>
      <c r="E320" s="17"/>
      <c r="F320" s="10"/>
      <c r="G320" s="10"/>
      <c r="H320" s="10"/>
      <c r="I320" s="10"/>
      <c r="J320" s="10"/>
      <c r="K320" s="10"/>
      <c r="L320" s="10"/>
      <c r="M320" s="10"/>
      <c r="N320" s="10"/>
      <c r="O320" s="10"/>
      <c r="P320" s="20">
        <f t="shared" ref="P320:BG320" si="129">P$284*$D$320</f>
        <v>5.2297975273248518</v>
      </c>
      <c r="Q320" s="21">
        <f t="shared" si="129"/>
        <v>10.459595054649704</v>
      </c>
      <c r="R320" s="21">
        <f t="shared" si="129"/>
        <v>20.919190109299407</v>
      </c>
      <c r="S320" s="21">
        <f t="shared" si="129"/>
        <v>41.838380218598815</v>
      </c>
      <c r="T320" s="21">
        <f t="shared" si="129"/>
        <v>83.676760437197629</v>
      </c>
      <c r="U320" s="21">
        <f t="shared" si="129"/>
        <v>167.35352087439526</v>
      </c>
      <c r="V320" s="21">
        <f t="shared" si="129"/>
        <v>334.70704174879052</v>
      </c>
      <c r="W320" s="21">
        <f t="shared" si="129"/>
        <v>669.41408349758103</v>
      </c>
      <c r="X320" s="21">
        <f t="shared" si="129"/>
        <v>1338.8281669951621</v>
      </c>
      <c r="Y320" s="21">
        <f t="shared" si="129"/>
        <v>2677.6563339903241</v>
      </c>
      <c r="Z320" s="21">
        <f t="shared" si="129"/>
        <v>5355.3126679806483</v>
      </c>
      <c r="AA320" s="21">
        <f t="shared" si="129"/>
        <v>10710.625335961297</v>
      </c>
      <c r="AB320" s="21">
        <f t="shared" si="129"/>
        <v>21421.250671922593</v>
      </c>
      <c r="AC320" s="21">
        <f t="shared" si="129"/>
        <v>42842.501343845186</v>
      </c>
      <c r="AD320" s="21">
        <f t="shared" si="129"/>
        <v>85685.002687690372</v>
      </c>
      <c r="AE320" s="21">
        <f t="shared" si="129"/>
        <v>107106.25335961297</v>
      </c>
      <c r="AF320" s="21">
        <f t="shared" si="129"/>
        <v>128527.50403153556</v>
      </c>
      <c r="AG320" s="21">
        <f t="shared" si="129"/>
        <v>149948.75470345814</v>
      </c>
      <c r="AH320" s="21">
        <f t="shared" si="129"/>
        <v>171370.00537538074</v>
      </c>
      <c r="AI320" s="21">
        <f t="shared" si="129"/>
        <v>219353.60688048735</v>
      </c>
      <c r="AJ320" s="21">
        <f t="shared" si="129"/>
        <v>257055.00806307112</v>
      </c>
      <c r="AK320" s="21">
        <f t="shared" si="129"/>
        <v>299897.50940691627</v>
      </c>
      <c r="AL320" s="21">
        <f t="shared" si="129"/>
        <v>342740.01075076149</v>
      </c>
      <c r="AM320" s="21">
        <f t="shared" si="129"/>
        <v>411288.01290091377</v>
      </c>
      <c r="AN320" s="21">
        <f t="shared" si="129"/>
        <v>479836.01505106606</v>
      </c>
      <c r="AO320" s="21">
        <f t="shared" si="129"/>
        <v>548384.0172012184</v>
      </c>
      <c r="AP320" s="21">
        <f t="shared" si="129"/>
        <v>616932.01935137063</v>
      </c>
      <c r="AQ320" s="21">
        <f t="shared" si="129"/>
        <v>685480.02150152298</v>
      </c>
      <c r="AR320" s="21">
        <f t="shared" si="129"/>
        <v>822576.02580182755</v>
      </c>
      <c r="AS320" s="21">
        <f t="shared" si="129"/>
        <v>959672.03010213212</v>
      </c>
      <c r="AT320" s="21">
        <f t="shared" si="129"/>
        <v>1096768.0344024368</v>
      </c>
      <c r="AU320" s="21">
        <f t="shared" si="129"/>
        <v>1233864.0387027413</v>
      </c>
      <c r="AV320" s="21">
        <f t="shared" si="129"/>
        <v>1370960.043003046</v>
      </c>
      <c r="AW320" s="21">
        <f t="shared" si="129"/>
        <v>1645152.0516036551</v>
      </c>
      <c r="AX320" s="21">
        <f t="shared" si="129"/>
        <v>1919344.0602042642</v>
      </c>
      <c r="AY320" s="21">
        <f t="shared" si="129"/>
        <v>2193536.0688048736</v>
      </c>
      <c r="AZ320" s="21">
        <f t="shared" si="129"/>
        <v>2467728.0774054825</v>
      </c>
      <c r="BA320" s="21">
        <f t="shared" si="129"/>
        <v>2741920.0860060919</v>
      </c>
      <c r="BB320" s="20">
        <f t="shared" si="129"/>
        <v>5483840.1720121838</v>
      </c>
      <c r="BC320" s="21">
        <f t="shared" si="129"/>
        <v>10967680.344024368</v>
      </c>
      <c r="BD320" s="21">
        <f t="shared" si="129"/>
        <v>21935360.688048735</v>
      </c>
      <c r="BE320" s="21">
        <f t="shared" si="129"/>
        <v>43870721.376097471</v>
      </c>
      <c r="BF320" s="21">
        <f t="shared" si="129"/>
        <v>55321300.304604903</v>
      </c>
      <c r="BG320" s="72">
        <f t="shared" si="129"/>
        <v>55321300.304604903</v>
      </c>
      <c r="BH320" s="45"/>
    </row>
    <row r="321" spans="1:60" x14ac:dyDescent="0.25">
      <c r="A321" s="41"/>
      <c r="B321" s="6"/>
      <c r="C321" s="10"/>
      <c r="D321" s="8"/>
      <c r="E321" s="27">
        <v>3.5999999999999997E-2</v>
      </c>
      <c r="F321" s="10"/>
      <c r="G321" s="10"/>
      <c r="H321" s="10"/>
      <c r="I321" s="10"/>
      <c r="J321" s="10"/>
      <c r="K321" s="10"/>
      <c r="L321" s="10"/>
      <c r="M321" s="10"/>
      <c r="N321" s="10"/>
      <c r="O321" s="10"/>
      <c r="P321" s="29">
        <f t="shared" ref="P321:BG321" si="130">P$284*$D$320*$E$321</f>
        <v>0.18827271098369466</v>
      </c>
      <c r="Q321" s="30">
        <f t="shared" si="130"/>
        <v>0.37654542196738933</v>
      </c>
      <c r="R321" s="30">
        <f t="shared" si="130"/>
        <v>0.75309084393477865</v>
      </c>
      <c r="S321" s="30">
        <f t="shared" si="130"/>
        <v>1.5061816878695573</v>
      </c>
      <c r="T321" s="30">
        <f t="shared" si="130"/>
        <v>3.0123633757391146</v>
      </c>
      <c r="U321" s="30">
        <f t="shared" si="130"/>
        <v>6.0247267514782292</v>
      </c>
      <c r="V321" s="30">
        <f t="shared" si="130"/>
        <v>12.049453502956458</v>
      </c>
      <c r="W321" s="30">
        <f t="shared" si="130"/>
        <v>24.098907005912917</v>
      </c>
      <c r="X321" s="30">
        <f t="shared" si="130"/>
        <v>48.197814011825834</v>
      </c>
      <c r="Y321" s="30">
        <f t="shared" si="130"/>
        <v>96.395628023651668</v>
      </c>
      <c r="Z321" s="30">
        <f t="shared" si="130"/>
        <v>192.79125604730334</v>
      </c>
      <c r="AA321" s="30">
        <f t="shared" si="130"/>
        <v>385.58251209460667</v>
      </c>
      <c r="AB321" s="30">
        <f t="shared" si="130"/>
        <v>771.16502418921334</v>
      </c>
      <c r="AC321" s="30">
        <f t="shared" si="130"/>
        <v>1542.3300483784267</v>
      </c>
      <c r="AD321" s="30">
        <f t="shared" si="130"/>
        <v>3084.6600967568534</v>
      </c>
      <c r="AE321" s="30">
        <f t="shared" si="130"/>
        <v>3855.8251209460664</v>
      </c>
      <c r="AF321" s="30">
        <f t="shared" si="130"/>
        <v>4626.9901451352798</v>
      </c>
      <c r="AG321" s="30">
        <f t="shared" si="130"/>
        <v>5398.1551693244928</v>
      </c>
      <c r="AH321" s="30">
        <f t="shared" si="130"/>
        <v>6169.3201935137067</v>
      </c>
      <c r="AI321" s="30">
        <f t="shared" si="130"/>
        <v>7896.7298476975438</v>
      </c>
      <c r="AJ321" s="30">
        <f t="shared" si="130"/>
        <v>9253.9802902705596</v>
      </c>
      <c r="AK321" s="30">
        <f t="shared" si="130"/>
        <v>10796.310338648986</v>
      </c>
      <c r="AL321" s="30">
        <f t="shared" si="130"/>
        <v>12338.640387027413</v>
      </c>
      <c r="AM321" s="30">
        <f t="shared" si="130"/>
        <v>14806.368464432895</v>
      </c>
      <c r="AN321" s="30">
        <f t="shared" si="130"/>
        <v>17274.096541838378</v>
      </c>
      <c r="AO321" s="30">
        <f t="shared" si="130"/>
        <v>19741.82461924386</v>
      </c>
      <c r="AP321" s="30">
        <f t="shared" si="130"/>
        <v>22209.552696649342</v>
      </c>
      <c r="AQ321" s="30">
        <f t="shared" si="130"/>
        <v>24677.280774054827</v>
      </c>
      <c r="AR321" s="30">
        <f t="shared" si="130"/>
        <v>29612.73692886579</v>
      </c>
      <c r="AS321" s="30">
        <f t="shared" si="130"/>
        <v>34548.193083676757</v>
      </c>
      <c r="AT321" s="30">
        <f t="shared" si="130"/>
        <v>39483.64923848772</v>
      </c>
      <c r="AU321" s="30">
        <f t="shared" si="130"/>
        <v>44419.105393298683</v>
      </c>
      <c r="AV321" s="30">
        <f t="shared" si="130"/>
        <v>49354.561548109654</v>
      </c>
      <c r="AW321" s="30">
        <f t="shared" si="130"/>
        <v>59225.47385773158</v>
      </c>
      <c r="AX321" s="30">
        <f t="shared" si="130"/>
        <v>69096.386167353514</v>
      </c>
      <c r="AY321" s="30">
        <f t="shared" si="130"/>
        <v>78967.29847697544</v>
      </c>
      <c r="AZ321" s="30">
        <f t="shared" si="130"/>
        <v>88838.210786597367</v>
      </c>
      <c r="BA321" s="30">
        <f t="shared" si="130"/>
        <v>98709.123096219308</v>
      </c>
      <c r="BB321" s="29">
        <f t="shared" si="130"/>
        <v>197418.24619243862</v>
      </c>
      <c r="BC321" s="30">
        <f t="shared" si="130"/>
        <v>394836.49238487723</v>
      </c>
      <c r="BD321" s="30">
        <f t="shared" si="130"/>
        <v>789672.98476975446</v>
      </c>
      <c r="BE321" s="30">
        <f t="shared" si="130"/>
        <v>1579345.9695395089</v>
      </c>
      <c r="BF321" s="30">
        <f t="shared" si="130"/>
        <v>1991566.8109657764</v>
      </c>
      <c r="BG321" s="71">
        <f t="shared" si="130"/>
        <v>1991566.8109657764</v>
      </c>
      <c r="BH321" s="45"/>
    </row>
    <row r="322" spans="1:60" x14ac:dyDescent="0.25">
      <c r="A322" s="41" t="s">
        <v>15</v>
      </c>
      <c r="B322" s="6">
        <f>'Population by Age - Wikipedia'!D29</f>
        <v>0.13591428809571979</v>
      </c>
      <c r="C322" s="10">
        <f t="shared" si="126"/>
        <v>44928574.60150566</v>
      </c>
      <c r="D322" s="23">
        <f>'AU Infection Rate by Age'!C7</f>
        <v>0.15534850385235621</v>
      </c>
      <c r="E322" s="17"/>
      <c r="F322" s="10"/>
      <c r="G322" s="10"/>
      <c r="H322" s="10"/>
      <c r="I322" s="10"/>
      <c r="J322" s="10"/>
      <c r="K322" s="10"/>
      <c r="L322" s="10"/>
      <c r="M322" s="10"/>
      <c r="N322" s="10"/>
      <c r="O322" s="10"/>
      <c r="P322" s="20">
        <f t="shared" ref="P322:BG322" si="131">P$284*$D$322</f>
        <v>4.8546407453861313</v>
      </c>
      <c r="Q322" s="21">
        <f t="shared" si="131"/>
        <v>9.7092814907722627</v>
      </c>
      <c r="R322" s="21">
        <f t="shared" si="131"/>
        <v>19.418562981544525</v>
      </c>
      <c r="S322" s="21">
        <f t="shared" si="131"/>
        <v>38.837125963089051</v>
      </c>
      <c r="T322" s="21">
        <f t="shared" si="131"/>
        <v>77.674251926178101</v>
      </c>
      <c r="U322" s="21">
        <f t="shared" si="131"/>
        <v>155.3485038523562</v>
      </c>
      <c r="V322" s="21">
        <f t="shared" si="131"/>
        <v>310.69700770471241</v>
      </c>
      <c r="W322" s="21">
        <f t="shared" si="131"/>
        <v>621.39401540942481</v>
      </c>
      <c r="X322" s="21">
        <f t="shared" si="131"/>
        <v>1242.7880308188496</v>
      </c>
      <c r="Y322" s="21">
        <f t="shared" si="131"/>
        <v>2485.5760616376992</v>
      </c>
      <c r="Z322" s="21">
        <f t="shared" si="131"/>
        <v>4971.1521232753985</v>
      </c>
      <c r="AA322" s="21">
        <f t="shared" si="131"/>
        <v>9942.304246550797</v>
      </c>
      <c r="AB322" s="21">
        <f t="shared" si="131"/>
        <v>19884.608493101594</v>
      </c>
      <c r="AC322" s="21">
        <f t="shared" si="131"/>
        <v>39769.216986203188</v>
      </c>
      <c r="AD322" s="21">
        <f t="shared" si="131"/>
        <v>79538.433972406376</v>
      </c>
      <c r="AE322" s="21">
        <f t="shared" si="131"/>
        <v>99423.04246550797</v>
      </c>
      <c r="AF322" s="21">
        <f t="shared" si="131"/>
        <v>119307.65095860958</v>
      </c>
      <c r="AG322" s="21">
        <f t="shared" si="131"/>
        <v>139192.25945171117</v>
      </c>
      <c r="AH322" s="21">
        <f t="shared" si="131"/>
        <v>159076.86794481275</v>
      </c>
      <c r="AI322" s="21">
        <f t="shared" si="131"/>
        <v>203618.39096936033</v>
      </c>
      <c r="AJ322" s="21">
        <f t="shared" si="131"/>
        <v>238615.30191721916</v>
      </c>
      <c r="AK322" s="21">
        <f t="shared" si="131"/>
        <v>278384.51890342234</v>
      </c>
      <c r="AL322" s="21">
        <f t="shared" si="131"/>
        <v>318153.7358896255</v>
      </c>
      <c r="AM322" s="21">
        <f t="shared" si="131"/>
        <v>381784.48306755064</v>
      </c>
      <c r="AN322" s="21">
        <f t="shared" si="131"/>
        <v>445415.23024547572</v>
      </c>
      <c r="AO322" s="21">
        <f t="shared" si="131"/>
        <v>509045.97742340085</v>
      </c>
      <c r="AP322" s="21">
        <f t="shared" si="131"/>
        <v>572676.72460132593</v>
      </c>
      <c r="AQ322" s="21">
        <f t="shared" si="131"/>
        <v>636307.47177925101</v>
      </c>
      <c r="AR322" s="21">
        <f t="shared" si="131"/>
        <v>763568.96613510128</v>
      </c>
      <c r="AS322" s="21">
        <f t="shared" si="131"/>
        <v>890830.46049095143</v>
      </c>
      <c r="AT322" s="21">
        <f t="shared" si="131"/>
        <v>1018091.9548468017</v>
      </c>
      <c r="AU322" s="21">
        <f t="shared" si="131"/>
        <v>1145353.4492026519</v>
      </c>
      <c r="AV322" s="21">
        <f t="shared" si="131"/>
        <v>1272614.943558502</v>
      </c>
      <c r="AW322" s="21">
        <f t="shared" si="131"/>
        <v>1527137.9322702026</v>
      </c>
      <c r="AX322" s="21">
        <f t="shared" si="131"/>
        <v>1781660.9209819029</v>
      </c>
      <c r="AY322" s="21">
        <f t="shared" si="131"/>
        <v>2036183.9096936034</v>
      </c>
      <c r="AZ322" s="21">
        <f t="shared" si="131"/>
        <v>2290706.8984053037</v>
      </c>
      <c r="BA322" s="21">
        <f t="shared" si="131"/>
        <v>2545229.887117004</v>
      </c>
      <c r="BB322" s="20">
        <f t="shared" si="131"/>
        <v>5090459.774234008</v>
      </c>
      <c r="BC322" s="21">
        <f t="shared" si="131"/>
        <v>10180919.548468016</v>
      </c>
      <c r="BD322" s="21">
        <f t="shared" si="131"/>
        <v>20361839.096936032</v>
      </c>
      <c r="BE322" s="21">
        <f t="shared" si="131"/>
        <v>40723678.193872064</v>
      </c>
      <c r="BF322" s="21">
        <f t="shared" si="131"/>
        <v>51352855.850206055</v>
      </c>
      <c r="BG322" s="72">
        <f t="shared" si="131"/>
        <v>51352855.850206055</v>
      </c>
      <c r="BH322" s="45"/>
    </row>
    <row r="323" spans="1:60" x14ac:dyDescent="0.25">
      <c r="A323" s="41"/>
      <c r="B323" s="6"/>
      <c r="C323" s="10"/>
      <c r="D323" s="8"/>
      <c r="E323" s="27">
        <v>1.2999999999999999E-2</v>
      </c>
      <c r="F323" s="10"/>
      <c r="G323" s="10"/>
      <c r="H323" s="10"/>
      <c r="I323" s="10"/>
      <c r="J323" s="10"/>
      <c r="K323" s="10"/>
      <c r="L323" s="10"/>
      <c r="M323" s="10"/>
      <c r="N323" s="10"/>
      <c r="O323" s="10"/>
      <c r="P323" s="29">
        <f t="shared" ref="P323:BG323" si="132">P$284*$D$322*$E$323</f>
        <v>6.3110329690019701E-2</v>
      </c>
      <c r="Q323" s="30">
        <f t="shared" si="132"/>
        <v>0.1262206593800394</v>
      </c>
      <c r="R323" s="30">
        <f t="shared" si="132"/>
        <v>0.2524413187600788</v>
      </c>
      <c r="S323" s="30">
        <f t="shared" si="132"/>
        <v>0.50488263752015761</v>
      </c>
      <c r="T323" s="30">
        <f t="shared" si="132"/>
        <v>1.0097652750403152</v>
      </c>
      <c r="U323" s="30">
        <f t="shared" si="132"/>
        <v>2.0195305500806304</v>
      </c>
      <c r="V323" s="30">
        <f t="shared" si="132"/>
        <v>4.0390611001612609</v>
      </c>
      <c r="W323" s="30">
        <f t="shared" si="132"/>
        <v>8.0781222003225217</v>
      </c>
      <c r="X323" s="30">
        <f t="shared" si="132"/>
        <v>16.156244400645043</v>
      </c>
      <c r="Y323" s="30">
        <f t="shared" si="132"/>
        <v>32.312488801290087</v>
      </c>
      <c r="Z323" s="30">
        <f t="shared" si="132"/>
        <v>64.624977602580174</v>
      </c>
      <c r="AA323" s="30">
        <f t="shared" si="132"/>
        <v>129.24995520516035</v>
      </c>
      <c r="AB323" s="30">
        <f t="shared" si="132"/>
        <v>258.49991041032069</v>
      </c>
      <c r="AC323" s="30">
        <f t="shared" si="132"/>
        <v>516.99982082064139</v>
      </c>
      <c r="AD323" s="30">
        <f t="shared" si="132"/>
        <v>1033.9996416412828</v>
      </c>
      <c r="AE323" s="30">
        <f t="shared" si="132"/>
        <v>1292.4995520516036</v>
      </c>
      <c r="AF323" s="30">
        <f t="shared" si="132"/>
        <v>1550.9994624619244</v>
      </c>
      <c r="AG323" s="30">
        <f t="shared" si="132"/>
        <v>1809.4993728722452</v>
      </c>
      <c r="AH323" s="30">
        <f t="shared" si="132"/>
        <v>2067.9992832825656</v>
      </c>
      <c r="AI323" s="30">
        <f t="shared" si="132"/>
        <v>2647.0390826016842</v>
      </c>
      <c r="AJ323" s="30">
        <f t="shared" si="132"/>
        <v>3101.9989249238488</v>
      </c>
      <c r="AK323" s="30">
        <f t="shared" si="132"/>
        <v>3618.9987457444904</v>
      </c>
      <c r="AL323" s="30">
        <f t="shared" si="132"/>
        <v>4135.9985665651311</v>
      </c>
      <c r="AM323" s="30">
        <f t="shared" si="132"/>
        <v>4963.1982798781582</v>
      </c>
      <c r="AN323" s="30">
        <f t="shared" si="132"/>
        <v>5790.3979931911845</v>
      </c>
      <c r="AO323" s="30">
        <f t="shared" si="132"/>
        <v>6617.5977065042107</v>
      </c>
      <c r="AP323" s="30">
        <f t="shared" si="132"/>
        <v>7444.7974198172369</v>
      </c>
      <c r="AQ323" s="30">
        <f t="shared" si="132"/>
        <v>8271.9971331302622</v>
      </c>
      <c r="AR323" s="30">
        <f t="shared" si="132"/>
        <v>9926.3965597563165</v>
      </c>
      <c r="AS323" s="30">
        <f t="shared" si="132"/>
        <v>11580.795986382369</v>
      </c>
      <c r="AT323" s="30">
        <f t="shared" si="132"/>
        <v>13235.195413008421</v>
      </c>
      <c r="AU323" s="30">
        <f t="shared" si="132"/>
        <v>14889.594839634474</v>
      </c>
      <c r="AV323" s="30">
        <f t="shared" si="132"/>
        <v>16543.994266260524</v>
      </c>
      <c r="AW323" s="30">
        <f t="shared" si="132"/>
        <v>19852.793119512633</v>
      </c>
      <c r="AX323" s="30">
        <f t="shared" si="132"/>
        <v>23161.591972764738</v>
      </c>
      <c r="AY323" s="30">
        <f t="shared" si="132"/>
        <v>26470.390826016843</v>
      </c>
      <c r="AZ323" s="30">
        <f t="shared" si="132"/>
        <v>29779.189679268948</v>
      </c>
      <c r="BA323" s="30">
        <f t="shared" si="132"/>
        <v>33087.988532521049</v>
      </c>
      <c r="BB323" s="29">
        <f t="shared" si="132"/>
        <v>66175.977065042098</v>
      </c>
      <c r="BC323" s="30">
        <f t="shared" si="132"/>
        <v>132351.9541300842</v>
      </c>
      <c r="BD323" s="30">
        <f t="shared" si="132"/>
        <v>264703.90826016839</v>
      </c>
      <c r="BE323" s="30">
        <f t="shared" si="132"/>
        <v>529407.81652033678</v>
      </c>
      <c r="BF323" s="30">
        <f t="shared" si="132"/>
        <v>667587.12605267868</v>
      </c>
      <c r="BG323" s="71">
        <f t="shared" si="132"/>
        <v>667587.12605267868</v>
      </c>
      <c r="BH323" s="45"/>
    </row>
    <row r="324" spans="1:60" x14ac:dyDescent="0.25">
      <c r="A324" s="41" t="s">
        <v>16</v>
      </c>
      <c r="B324" s="6">
        <f>'Population by Age - Wikipedia'!D25</f>
        <v>0.14121517441978385</v>
      </c>
      <c r="C324" s="10">
        <f t="shared" si="126"/>
        <v>46680864.739663057</v>
      </c>
      <c r="D324" s="23">
        <f>'AU Infection Rate by Age'!C8</f>
        <v>0.12972585558143701</v>
      </c>
      <c r="E324" s="17"/>
      <c r="F324" s="10"/>
      <c r="G324" s="10"/>
      <c r="H324" s="10"/>
      <c r="I324" s="10"/>
      <c r="J324" s="10"/>
      <c r="K324" s="10"/>
      <c r="L324" s="10"/>
      <c r="M324" s="10"/>
      <c r="N324" s="10"/>
      <c r="O324" s="10"/>
      <c r="P324" s="20">
        <f t="shared" ref="P324:BG324" si="133">P$284*$D$324</f>
        <v>4.0539329869199063</v>
      </c>
      <c r="Q324" s="21">
        <f t="shared" si="133"/>
        <v>8.1078659738398127</v>
      </c>
      <c r="R324" s="21">
        <f t="shared" si="133"/>
        <v>16.215731947679625</v>
      </c>
      <c r="S324" s="21">
        <f t="shared" si="133"/>
        <v>32.431463895359251</v>
      </c>
      <c r="T324" s="21">
        <f t="shared" si="133"/>
        <v>64.862927790718501</v>
      </c>
      <c r="U324" s="21">
        <f t="shared" si="133"/>
        <v>129.725855581437</v>
      </c>
      <c r="V324" s="21">
        <f t="shared" si="133"/>
        <v>259.45171116287401</v>
      </c>
      <c r="W324" s="21">
        <f t="shared" si="133"/>
        <v>518.90342232574801</v>
      </c>
      <c r="X324" s="21">
        <f t="shared" si="133"/>
        <v>1037.806844651496</v>
      </c>
      <c r="Y324" s="21">
        <f t="shared" si="133"/>
        <v>2075.613689302992</v>
      </c>
      <c r="Z324" s="21">
        <f t="shared" si="133"/>
        <v>4151.2273786059841</v>
      </c>
      <c r="AA324" s="21">
        <f t="shared" si="133"/>
        <v>8302.4547572119682</v>
      </c>
      <c r="AB324" s="21">
        <f t="shared" si="133"/>
        <v>16604.909514423936</v>
      </c>
      <c r="AC324" s="21">
        <f t="shared" si="133"/>
        <v>33209.819028847873</v>
      </c>
      <c r="AD324" s="21">
        <f t="shared" si="133"/>
        <v>66419.638057695745</v>
      </c>
      <c r="AE324" s="21">
        <f t="shared" si="133"/>
        <v>83024.547572119685</v>
      </c>
      <c r="AF324" s="21">
        <f t="shared" si="133"/>
        <v>99629.457086543625</v>
      </c>
      <c r="AG324" s="21">
        <f t="shared" si="133"/>
        <v>116234.36660096757</v>
      </c>
      <c r="AH324" s="21">
        <f t="shared" si="133"/>
        <v>132839.27611539149</v>
      </c>
      <c r="AI324" s="21">
        <f t="shared" si="133"/>
        <v>170034.27342770112</v>
      </c>
      <c r="AJ324" s="21">
        <f t="shared" si="133"/>
        <v>199258.91417308725</v>
      </c>
      <c r="AK324" s="21">
        <f t="shared" si="133"/>
        <v>232468.73320193513</v>
      </c>
      <c r="AL324" s="21">
        <f t="shared" si="133"/>
        <v>265678.55223078298</v>
      </c>
      <c r="AM324" s="21">
        <f t="shared" si="133"/>
        <v>318814.2626769396</v>
      </c>
      <c r="AN324" s="21">
        <f t="shared" si="133"/>
        <v>371949.97312309622</v>
      </c>
      <c r="AO324" s="21">
        <f t="shared" si="133"/>
        <v>425085.68356925278</v>
      </c>
      <c r="AP324" s="21">
        <f t="shared" si="133"/>
        <v>478221.3940154094</v>
      </c>
      <c r="AQ324" s="21">
        <f t="shared" si="133"/>
        <v>531357.10446156596</v>
      </c>
      <c r="AR324" s="21">
        <f t="shared" si="133"/>
        <v>637628.5253538792</v>
      </c>
      <c r="AS324" s="21">
        <f t="shared" si="133"/>
        <v>743899.94624619244</v>
      </c>
      <c r="AT324" s="21">
        <f t="shared" si="133"/>
        <v>850171.36713850556</v>
      </c>
      <c r="AU324" s="21">
        <f t="shared" si="133"/>
        <v>956442.7880308188</v>
      </c>
      <c r="AV324" s="21">
        <f t="shared" si="133"/>
        <v>1062714.2089231319</v>
      </c>
      <c r="AW324" s="21">
        <f t="shared" si="133"/>
        <v>1275257.0507077584</v>
      </c>
      <c r="AX324" s="21">
        <f t="shared" si="133"/>
        <v>1487799.8924923849</v>
      </c>
      <c r="AY324" s="21">
        <f t="shared" si="133"/>
        <v>1700342.7342770111</v>
      </c>
      <c r="AZ324" s="21">
        <f t="shared" si="133"/>
        <v>1912885.5760616376</v>
      </c>
      <c r="BA324" s="21">
        <f t="shared" si="133"/>
        <v>2125428.4178462639</v>
      </c>
      <c r="BB324" s="20">
        <f t="shared" si="133"/>
        <v>4250856.8356925277</v>
      </c>
      <c r="BC324" s="21">
        <f t="shared" si="133"/>
        <v>8501713.6713850554</v>
      </c>
      <c r="BD324" s="21">
        <f t="shared" si="133"/>
        <v>17003427.342770111</v>
      </c>
      <c r="BE324" s="21">
        <f t="shared" si="133"/>
        <v>34006854.685540222</v>
      </c>
      <c r="BF324" s="21">
        <f t="shared" si="133"/>
        <v>42882892.313205518</v>
      </c>
      <c r="BG324" s="72">
        <f t="shared" si="133"/>
        <v>42882892.313205518</v>
      </c>
      <c r="BH324" s="45"/>
    </row>
    <row r="325" spans="1:60" x14ac:dyDescent="0.25">
      <c r="A325" s="41"/>
      <c r="B325" s="6"/>
      <c r="C325" s="10"/>
      <c r="D325" s="8"/>
      <c r="E325" s="27">
        <v>4.0000000000000001E-3</v>
      </c>
      <c r="F325" s="10"/>
      <c r="G325" s="10"/>
      <c r="H325" s="10"/>
      <c r="I325" s="10"/>
      <c r="J325" s="10"/>
      <c r="K325" s="10"/>
      <c r="L325" s="10"/>
      <c r="M325" s="10"/>
      <c r="N325" s="10"/>
      <c r="O325" s="10"/>
      <c r="P325" s="29">
        <f t="shared" ref="P325:BG325" si="134">P$284*$D$324*$E$325</f>
        <v>1.6215731947679626E-2</v>
      </c>
      <c r="Q325" s="30">
        <f t="shared" si="134"/>
        <v>3.2431463895359253E-2</v>
      </c>
      <c r="R325" s="30">
        <f t="shared" si="134"/>
        <v>6.4862927790718505E-2</v>
      </c>
      <c r="S325" s="30">
        <f t="shared" si="134"/>
        <v>0.12972585558143701</v>
      </c>
      <c r="T325" s="30">
        <f t="shared" si="134"/>
        <v>0.25945171116287402</v>
      </c>
      <c r="U325" s="30">
        <f t="shared" si="134"/>
        <v>0.51890342232574804</v>
      </c>
      <c r="V325" s="30">
        <f t="shared" si="134"/>
        <v>1.0378068446514961</v>
      </c>
      <c r="W325" s="30">
        <f t="shared" si="134"/>
        <v>2.0756136893029922</v>
      </c>
      <c r="X325" s="30">
        <f t="shared" si="134"/>
        <v>4.1512273786059843</v>
      </c>
      <c r="Y325" s="30">
        <f t="shared" si="134"/>
        <v>8.3024547572119687</v>
      </c>
      <c r="Z325" s="30">
        <f t="shared" si="134"/>
        <v>16.604909514423937</v>
      </c>
      <c r="AA325" s="30">
        <f t="shared" si="134"/>
        <v>33.209819028847875</v>
      </c>
      <c r="AB325" s="30">
        <f t="shared" si="134"/>
        <v>66.419638057695749</v>
      </c>
      <c r="AC325" s="30">
        <f t="shared" si="134"/>
        <v>132.8392761153915</v>
      </c>
      <c r="AD325" s="30">
        <f t="shared" si="134"/>
        <v>265.678552230783</v>
      </c>
      <c r="AE325" s="30">
        <f t="shared" si="134"/>
        <v>332.09819028847875</v>
      </c>
      <c r="AF325" s="30">
        <f t="shared" si="134"/>
        <v>398.5178283461745</v>
      </c>
      <c r="AG325" s="30">
        <f t="shared" si="134"/>
        <v>464.93746640387025</v>
      </c>
      <c r="AH325" s="30">
        <f t="shared" si="134"/>
        <v>531.357104461566</v>
      </c>
      <c r="AI325" s="30">
        <f t="shared" si="134"/>
        <v>680.13709371080449</v>
      </c>
      <c r="AJ325" s="30">
        <f t="shared" si="134"/>
        <v>797.03565669234899</v>
      </c>
      <c r="AK325" s="30">
        <f t="shared" si="134"/>
        <v>929.87493280774049</v>
      </c>
      <c r="AL325" s="30">
        <f t="shared" si="134"/>
        <v>1062.714208923132</v>
      </c>
      <c r="AM325" s="30">
        <f t="shared" si="134"/>
        <v>1275.2570507077585</v>
      </c>
      <c r="AN325" s="30">
        <f t="shared" si="134"/>
        <v>1487.799892492385</v>
      </c>
      <c r="AO325" s="30">
        <f t="shared" si="134"/>
        <v>1700.3427342770112</v>
      </c>
      <c r="AP325" s="30">
        <f t="shared" si="134"/>
        <v>1912.8855760616377</v>
      </c>
      <c r="AQ325" s="30">
        <f t="shared" si="134"/>
        <v>2125.428417846264</v>
      </c>
      <c r="AR325" s="30">
        <f t="shared" si="134"/>
        <v>2550.514101415517</v>
      </c>
      <c r="AS325" s="30">
        <f t="shared" si="134"/>
        <v>2975.5997849847699</v>
      </c>
      <c r="AT325" s="30">
        <f t="shared" si="134"/>
        <v>3400.6854685540225</v>
      </c>
      <c r="AU325" s="30">
        <f t="shared" si="134"/>
        <v>3825.7711521232754</v>
      </c>
      <c r="AV325" s="30">
        <f t="shared" si="134"/>
        <v>4250.856835692528</v>
      </c>
      <c r="AW325" s="30">
        <f t="shared" si="134"/>
        <v>5101.0282028310339</v>
      </c>
      <c r="AX325" s="30">
        <f t="shared" si="134"/>
        <v>5951.1995699695399</v>
      </c>
      <c r="AY325" s="30">
        <f t="shared" si="134"/>
        <v>6801.3709371080449</v>
      </c>
      <c r="AZ325" s="30">
        <f t="shared" si="134"/>
        <v>7651.5423042465509</v>
      </c>
      <c r="BA325" s="30">
        <f t="shared" si="134"/>
        <v>8501.7136713850559</v>
      </c>
      <c r="BB325" s="29">
        <f t="shared" si="134"/>
        <v>17003.427342770112</v>
      </c>
      <c r="BC325" s="30">
        <f t="shared" si="134"/>
        <v>34006.854685540224</v>
      </c>
      <c r="BD325" s="30">
        <f t="shared" si="134"/>
        <v>68013.709371080447</v>
      </c>
      <c r="BE325" s="30">
        <f t="shared" si="134"/>
        <v>136027.41874216089</v>
      </c>
      <c r="BF325" s="30">
        <f t="shared" si="134"/>
        <v>171531.56925282208</v>
      </c>
      <c r="BG325" s="71">
        <f t="shared" si="134"/>
        <v>171531.56925282208</v>
      </c>
      <c r="BH325" s="45"/>
    </row>
    <row r="326" spans="1:60" x14ac:dyDescent="0.25">
      <c r="A326" s="41" t="s">
        <v>17</v>
      </c>
      <c r="B326" s="6">
        <f>'Population by Age - Wikipedia'!D21</f>
        <v>0.13001561499489589</v>
      </c>
      <c r="C326" s="10">
        <f t="shared" si="126"/>
        <v>42978676.778595254</v>
      </c>
      <c r="D326" s="23">
        <f>'AU Infection Rate by Age'!C9</f>
        <v>0.15731947679627306</v>
      </c>
      <c r="E326" s="17"/>
      <c r="F326" s="10"/>
      <c r="G326" s="14"/>
      <c r="H326" s="14"/>
      <c r="I326" s="14"/>
      <c r="J326" s="14"/>
      <c r="K326" s="14"/>
      <c r="L326" s="14"/>
      <c r="M326" s="14"/>
      <c r="N326" s="10"/>
      <c r="O326" s="10"/>
      <c r="P326" s="20">
        <f t="shared" ref="P326:BG326" si="135">P$284*$D$326</f>
        <v>4.9162336498835328</v>
      </c>
      <c r="Q326" s="21">
        <f t="shared" si="135"/>
        <v>9.8324672997670657</v>
      </c>
      <c r="R326" s="21">
        <f t="shared" si="135"/>
        <v>19.664934599534131</v>
      </c>
      <c r="S326" s="21">
        <f t="shared" si="135"/>
        <v>39.329869199068263</v>
      </c>
      <c r="T326" s="21">
        <f t="shared" si="135"/>
        <v>78.659738398136525</v>
      </c>
      <c r="U326" s="21">
        <f t="shared" si="135"/>
        <v>157.31947679627305</v>
      </c>
      <c r="V326" s="21">
        <f t="shared" si="135"/>
        <v>314.6389535925461</v>
      </c>
      <c r="W326" s="21">
        <f t="shared" si="135"/>
        <v>629.2779071850922</v>
      </c>
      <c r="X326" s="21">
        <f t="shared" si="135"/>
        <v>1258.5558143701844</v>
      </c>
      <c r="Y326" s="21">
        <f t="shared" si="135"/>
        <v>2517.1116287403688</v>
      </c>
      <c r="Z326" s="21">
        <f t="shared" si="135"/>
        <v>5034.2232574807376</v>
      </c>
      <c r="AA326" s="21">
        <f t="shared" si="135"/>
        <v>10068.446514961475</v>
      </c>
      <c r="AB326" s="21">
        <f t="shared" si="135"/>
        <v>20136.893029922951</v>
      </c>
      <c r="AC326" s="21">
        <f t="shared" si="135"/>
        <v>40273.786059845901</v>
      </c>
      <c r="AD326" s="21">
        <f t="shared" si="135"/>
        <v>80547.572119691802</v>
      </c>
      <c r="AE326" s="21">
        <f t="shared" si="135"/>
        <v>100684.46514961476</v>
      </c>
      <c r="AF326" s="21">
        <f t="shared" si="135"/>
        <v>120821.35817953771</v>
      </c>
      <c r="AG326" s="21">
        <f t="shared" si="135"/>
        <v>140958.25120946066</v>
      </c>
      <c r="AH326" s="21">
        <f t="shared" si="135"/>
        <v>161095.1442393836</v>
      </c>
      <c r="AI326" s="21">
        <f t="shared" si="135"/>
        <v>206201.78462641104</v>
      </c>
      <c r="AJ326" s="21">
        <f t="shared" si="135"/>
        <v>241642.71635907542</v>
      </c>
      <c r="AK326" s="21">
        <f t="shared" si="135"/>
        <v>281916.50241892133</v>
      </c>
      <c r="AL326" s="21">
        <f t="shared" si="135"/>
        <v>322190.28847876721</v>
      </c>
      <c r="AM326" s="21">
        <f t="shared" si="135"/>
        <v>386628.34617452067</v>
      </c>
      <c r="AN326" s="21">
        <f t="shared" si="135"/>
        <v>451066.40387027414</v>
      </c>
      <c r="AO326" s="21">
        <f t="shared" si="135"/>
        <v>515504.46156602754</v>
      </c>
      <c r="AP326" s="21">
        <f t="shared" si="135"/>
        <v>579942.51926178101</v>
      </c>
      <c r="AQ326" s="21">
        <f t="shared" si="135"/>
        <v>644380.57695753442</v>
      </c>
      <c r="AR326" s="21">
        <f t="shared" si="135"/>
        <v>773256.69234904135</v>
      </c>
      <c r="AS326" s="21">
        <f t="shared" si="135"/>
        <v>902132.80774054828</v>
      </c>
      <c r="AT326" s="21">
        <f t="shared" si="135"/>
        <v>1031008.9231320551</v>
      </c>
      <c r="AU326" s="21">
        <f t="shared" si="135"/>
        <v>1159885.038523562</v>
      </c>
      <c r="AV326" s="21">
        <f t="shared" si="135"/>
        <v>1288761.1539150688</v>
      </c>
      <c r="AW326" s="21">
        <f t="shared" si="135"/>
        <v>1546513.3846980827</v>
      </c>
      <c r="AX326" s="21">
        <f t="shared" si="135"/>
        <v>1804265.6154810966</v>
      </c>
      <c r="AY326" s="21">
        <f t="shared" si="135"/>
        <v>2062017.8462641102</v>
      </c>
      <c r="AZ326" s="21">
        <f t="shared" si="135"/>
        <v>2319770.077047124</v>
      </c>
      <c r="BA326" s="21">
        <f t="shared" si="135"/>
        <v>2577522.3078301377</v>
      </c>
      <c r="BB326" s="20">
        <f t="shared" si="135"/>
        <v>5155044.6156602753</v>
      </c>
      <c r="BC326" s="21">
        <f t="shared" si="135"/>
        <v>10310089.231320551</v>
      </c>
      <c r="BD326" s="21">
        <f t="shared" si="135"/>
        <v>20620178.462641101</v>
      </c>
      <c r="BE326" s="21">
        <f t="shared" si="135"/>
        <v>41240356.925282203</v>
      </c>
      <c r="BF326" s="21">
        <f t="shared" si="135"/>
        <v>52004391.506898403</v>
      </c>
      <c r="BG326" s="72">
        <f t="shared" si="135"/>
        <v>52004391.506898403</v>
      </c>
      <c r="BH326" s="45"/>
    </row>
    <row r="327" spans="1:60" x14ac:dyDescent="0.25">
      <c r="A327" s="41"/>
      <c r="B327" s="6"/>
      <c r="C327" s="10"/>
      <c r="D327" s="8"/>
      <c r="E327" s="27">
        <v>2E-3</v>
      </c>
      <c r="F327" s="10"/>
      <c r="G327" s="10"/>
      <c r="H327" s="10"/>
      <c r="I327" s="10"/>
      <c r="J327" s="10"/>
      <c r="K327" s="10"/>
      <c r="L327" s="10"/>
      <c r="M327" s="10"/>
      <c r="N327" s="10"/>
      <c r="O327" s="10"/>
      <c r="P327" s="29">
        <f t="shared" ref="P327:BG327" si="136">P$284*$D$326*$E$327</f>
        <v>9.8324672997670663E-3</v>
      </c>
      <c r="Q327" s="30">
        <f t="shared" si="136"/>
        <v>1.9664934599534133E-2</v>
      </c>
      <c r="R327" s="30">
        <f t="shared" si="136"/>
        <v>3.9329869199068265E-2</v>
      </c>
      <c r="S327" s="30">
        <f t="shared" si="136"/>
        <v>7.8659738398136531E-2</v>
      </c>
      <c r="T327" s="30">
        <f t="shared" si="136"/>
        <v>0.15731947679627306</v>
      </c>
      <c r="U327" s="30">
        <f t="shared" si="136"/>
        <v>0.31463895359254612</v>
      </c>
      <c r="V327" s="30">
        <f t="shared" si="136"/>
        <v>0.62927790718509224</v>
      </c>
      <c r="W327" s="30">
        <f t="shared" si="136"/>
        <v>1.2585558143701845</v>
      </c>
      <c r="X327" s="30">
        <f t="shared" si="136"/>
        <v>2.517111628740369</v>
      </c>
      <c r="Y327" s="30">
        <f t="shared" si="136"/>
        <v>5.034223257480738</v>
      </c>
      <c r="Z327" s="30">
        <f t="shared" si="136"/>
        <v>10.068446514961476</v>
      </c>
      <c r="AA327" s="30">
        <f t="shared" si="136"/>
        <v>20.136893029922952</v>
      </c>
      <c r="AB327" s="30">
        <f t="shared" si="136"/>
        <v>40.273786059845904</v>
      </c>
      <c r="AC327" s="30">
        <f t="shared" si="136"/>
        <v>80.547572119691807</v>
      </c>
      <c r="AD327" s="30">
        <f t="shared" si="136"/>
        <v>161.09514423938361</v>
      </c>
      <c r="AE327" s="30">
        <f t="shared" si="136"/>
        <v>201.3689302992295</v>
      </c>
      <c r="AF327" s="30">
        <f t="shared" si="136"/>
        <v>241.64271635907542</v>
      </c>
      <c r="AG327" s="30">
        <f t="shared" si="136"/>
        <v>281.91650241892131</v>
      </c>
      <c r="AH327" s="30">
        <f t="shared" si="136"/>
        <v>322.19028847876723</v>
      </c>
      <c r="AI327" s="30">
        <f t="shared" si="136"/>
        <v>412.40356925282208</v>
      </c>
      <c r="AJ327" s="30">
        <f t="shared" si="136"/>
        <v>483.28543271815084</v>
      </c>
      <c r="AK327" s="30">
        <f t="shared" si="136"/>
        <v>563.83300483784262</v>
      </c>
      <c r="AL327" s="30">
        <f t="shared" si="136"/>
        <v>644.38057695753446</v>
      </c>
      <c r="AM327" s="30">
        <f t="shared" si="136"/>
        <v>773.25669234904137</v>
      </c>
      <c r="AN327" s="30">
        <f t="shared" si="136"/>
        <v>902.13280774054829</v>
      </c>
      <c r="AO327" s="30">
        <f t="shared" si="136"/>
        <v>1031.0089231320551</v>
      </c>
      <c r="AP327" s="30">
        <f t="shared" si="136"/>
        <v>1159.8850385235621</v>
      </c>
      <c r="AQ327" s="30">
        <f t="shared" si="136"/>
        <v>1288.7611539150689</v>
      </c>
      <c r="AR327" s="30">
        <f t="shared" si="136"/>
        <v>1546.5133846980827</v>
      </c>
      <c r="AS327" s="30">
        <f t="shared" si="136"/>
        <v>1804.2656154810966</v>
      </c>
      <c r="AT327" s="30">
        <f t="shared" si="136"/>
        <v>2062.0178462641102</v>
      </c>
      <c r="AU327" s="30">
        <f t="shared" si="136"/>
        <v>2319.7700770471242</v>
      </c>
      <c r="AV327" s="30">
        <f t="shared" si="136"/>
        <v>2577.5223078301378</v>
      </c>
      <c r="AW327" s="30">
        <f t="shared" si="136"/>
        <v>3093.0267693961655</v>
      </c>
      <c r="AX327" s="30">
        <f t="shared" si="136"/>
        <v>3608.5312309621931</v>
      </c>
      <c r="AY327" s="30">
        <f t="shared" si="136"/>
        <v>4124.0356925282204</v>
      </c>
      <c r="AZ327" s="30">
        <f t="shared" si="136"/>
        <v>4639.5401540942485</v>
      </c>
      <c r="BA327" s="30">
        <f t="shared" si="136"/>
        <v>5155.0446156602757</v>
      </c>
      <c r="BB327" s="29">
        <f t="shared" si="136"/>
        <v>10310.089231320551</v>
      </c>
      <c r="BC327" s="30">
        <f t="shared" si="136"/>
        <v>20620.178462641103</v>
      </c>
      <c r="BD327" s="30">
        <f t="shared" si="136"/>
        <v>41240.356925282205</v>
      </c>
      <c r="BE327" s="30">
        <f t="shared" si="136"/>
        <v>82480.713850564411</v>
      </c>
      <c r="BF327" s="30">
        <f t="shared" si="136"/>
        <v>104008.78301379681</v>
      </c>
      <c r="BG327" s="71">
        <f t="shared" si="136"/>
        <v>104008.78301379681</v>
      </c>
      <c r="BH327" s="45"/>
    </row>
    <row r="328" spans="1:60" x14ac:dyDescent="0.25">
      <c r="A328" s="41" t="s">
        <v>18</v>
      </c>
      <c r="B328" s="6">
        <f>'Population by Age - Wikipedia'!D17</f>
        <v>0.13826223457843137</v>
      </c>
      <c r="C328" s="10">
        <f t="shared" si="126"/>
        <v>45704724.704536453</v>
      </c>
      <c r="D328" s="23">
        <f>'AU Infection Rate by Age'!C10</f>
        <v>0.2160903063967031</v>
      </c>
      <c r="E328" s="17"/>
      <c r="F328" s="10"/>
      <c r="G328" s="10"/>
      <c r="H328" s="10"/>
      <c r="I328" s="10"/>
      <c r="J328" s="10"/>
      <c r="K328" s="10"/>
      <c r="L328" s="10"/>
      <c r="M328" s="10"/>
      <c r="N328" s="10"/>
      <c r="O328" s="10"/>
      <c r="P328" s="20">
        <f t="shared" ref="P328:BG328" si="137">P$284*$D$328</f>
        <v>6.7528220748969714</v>
      </c>
      <c r="Q328" s="21">
        <f t="shared" si="137"/>
        <v>13.505644149793943</v>
      </c>
      <c r="R328" s="21">
        <f t="shared" si="137"/>
        <v>27.011288299587886</v>
      </c>
      <c r="S328" s="21">
        <f t="shared" si="137"/>
        <v>54.022576599175771</v>
      </c>
      <c r="T328" s="21">
        <f t="shared" si="137"/>
        <v>108.04515319835154</v>
      </c>
      <c r="U328" s="21">
        <f t="shared" si="137"/>
        <v>216.09030639670308</v>
      </c>
      <c r="V328" s="21">
        <f t="shared" si="137"/>
        <v>432.18061279340617</v>
      </c>
      <c r="W328" s="21">
        <f t="shared" si="137"/>
        <v>864.36122558681234</v>
      </c>
      <c r="X328" s="21">
        <f t="shared" si="137"/>
        <v>1728.7224511736247</v>
      </c>
      <c r="Y328" s="21">
        <f t="shared" si="137"/>
        <v>3457.4449023472494</v>
      </c>
      <c r="Z328" s="21">
        <f t="shared" si="137"/>
        <v>6914.8898046944987</v>
      </c>
      <c r="AA328" s="21">
        <f t="shared" si="137"/>
        <v>13829.779609388997</v>
      </c>
      <c r="AB328" s="21">
        <f t="shared" si="137"/>
        <v>27659.559218777995</v>
      </c>
      <c r="AC328" s="21">
        <f t="shared" si="137"/>
        <v>55319.11843755599</v>
      </c>
      <c r="AD328" s="21">
        <f t="shared" si="137"/>
        <v>110638.23687511198</v>
      </c>
      <c r="AE328" s="21">
        <f t="shared" si="137"/>
        <v>138297.79609388998</v>
      </c>
      <c r="AF328" s="21">
        <f t="shared" si="137"/>
        <v>165957.35531266799</v>
      </c>
      <c r="AG328" s="21">
        <f t="shared" si="137"/>
        <v>193616.91453144597</v>
      </c>
      <c r="AH328" s="21">
        <f t="shared" si="137"/>
        <v>221276.47375022396</v>
      </c>
      <c r="AI328" s="21">
        <f t="shared" si="137"/>
        <v>283233.88640028669</v>
      </c>
      <c r="AJ328" s="21">
        <f t="shared" si="137"/>
        <v>331914.71062533598</v>
      </c>
      <c r="AK328" s="21">
        <f t="shared" si="137"/>
        <v>387233.82906289195</v>
      </c>
      <c r="AL328" s="21">
        <f t="shared" si="137"/>
        <v>442552.94750044792</v>
      </c>
      <c r="AM328" s="21">
        <f t="shared" si="137"/>
        <v>531063.5370005375</v>
      </c>
      <c r="AN328" s="21">
        <f t="shared" si="137"/>
        <v>619574.12650062714</v>
      </c>
      <c r="AO328" s="21">
        <f t="shared" si="137"/>
        <v>708084.71600071667</v>
      </c>
      <c r="AP328" s="21">
        <f t="shared" si="137"/>
        <v>796595.30550080631</v>
      </c>
      <c r="AQ328" s="21">
        <f t="shared" si="137"/>
        <v>885105.89500089583</v>
      </c>
      <c r="AR328" s="21">
        <f t="shared" si="137"/>
        <v>1062127.074001075</v>
      </c>
      <c r="AS328" s="21">
        <f t="shared" si="137"/>
        <v>1239148.2530012543</v>
      </c>
      <c r="AT328" s="21">
        <f t="shared" si="137"/>
        <v>1416169.4320014333</v>
      </c>
      <c r="AU328" s="21">
        <f t="shared" si="137"/>
        <v>1593190.6110016126</v>
      </c>
      <c r="AV328" s="21">
        <f t="shared" si="137"/>
        <v>1770211.7900017917</v>
      </c>
      <c r="AW328" s="21">
        <f t="shared" si="137"/>
        <v>2124254.14800215</v>
      </c>
      <c r="AX328" s="21">
        <f t="shared" si="137"/>
        <v>2478296.5060025086</v>
      </c>
      <c r="AY328" s="21">
        <f t="shared" si="137"/>
        <v>2832338.8640028667</v>
      </c>
      <c r="AZ328" s="21">
        <f t="shared" si="137"/>
        <v>3186381.2220032252</v>
      </c>
      <c r="BA328" s="21">
        <f t="shared" si="137"/>
        <v>3540423.5800035833</v>
      </c>
      <c r="BB328" s="20">
        <f t="shared" si="137"/>
        <v>7080847.1600071667</v>
      </c>
      <c r="BC328" s="21">
        <f t="shared" si="137"/>
        <v>14161694.320014333</v>
      </c>
      <c r="BD328" s="21">
        <f t="shared" si="137"/>
        <v>28323388.640028667</v>
      </c>
      <c r="BE328" s="21">
        <f t="shared" si="137"/>
        <v>56646777.280057333</v>
      </c>
      <c r="BF328" s="21">
        <f t="shared" si="137"/>
        <v>71432000.179179356</v>
      </c>
      <c r="BG328" s="72">
        <f t="shared" si="137"/>
        <v>71432000.179179356</v>
      </c>
      <c r="BH328" s="45"/>
    </row>
    <row r="329" spans="1:60" x14ac:dyDescent="0.25">
      <c r="A329" s="41"/>
      <c r="B329" s="6"/>
      <c r="C329" s="10"/>
      <c r="D329" s="8"/>
      <c r="E329" s="27">
        <v>2E-3</v>
      </c>
      <c r="F329" s="10"/>
      <c r="G329" s="10"/>
      <c r="H329" s="10"/>
      <c r="I329" s="10"/>
      <c r="J329" s="10"/>
      <c r="K329" s="10"/>
      <c r="L329" s="10"/>
      <c r="M329" s="10"/>
      <c r="N329" s="10"/>
      <c r="O329" s="10"/>
      <c r="P329" s="29">
        <f t="shared" ref="P329:BG329" si="138">P$284*$D$328*$E$329</f>
        <v>1.3505644149793944E-2</v>
      </c>
      <c r="Q329" s="30">
        <f t="shared" si="138"/>
        <v>2.7011288299587887E-2</v>
      </c>
      <c r="R329" s="30">
        <f t="shared" si="138"/>
        <v>5.4022576599175774E-2</v>
      </c>
      <c r="S329" s="30">
        <f t="shared" si="138"/>
        <v>0.10804515319835155</v>
      </c>
      <c r="T329" s="30">
        <f t="shared" si="138"/>
        <v>0.2160903063967031</v>
      </c>
      <c r="U329" s="30">
        <f t="shared" si="138"/>
        <v>0.43218061279340619</v>
      </c>
      <c r="V329" s="30">
        <f t="shared" si="138"/>
        <v>0.86436122558681239</v>
      </c>
      <c r="W329" s="30">
        <f t="shared" si="138"/>
        <v>1.7287224511736248</v>
      </c>
      <c r="X329" s="30">
        <f t="shared" si="138"/>
        <v>3.4574449023472495</v>
      </c>
      <c r="Y329" s="30">
        <f t="shared" si="138"/>
        <v>6.9148898046944991</v>
      </c>
      <c r="Z329" s="30">
        <f t="shared" si="138"/>
        <v>13.829779609388998</v>
      </c>
      <c r="AA329" s="30">
        <f t="shared" si="138"/>
        <v>27.659559218777996</v>
      </c>
      <c r="AB329" s="30">
        <f t="shared" si="138"/>
        <v>55.319118437555993</v>
      </c>
      <c r="AC329" s="30">
        <f t="shared" si="138"/>
        <v>110.63823687511199</v>
      </c>
      <c r="AD329" s="30">
        <f t="shared" si="138"/>
        <v>221.27647375022397</v>
      </c>
      <c r="AE329" s="30">
        <f t="shared" si="138"/>
        <v>276.59559218777997</v>
      </c>
      <c r="AF329" s="30">
        <f t="shared" si="138"/>
        <v>331.914710625336</v>
      </c>
      <c r="AG329" s="30">
        <f t="shared" si="138"/>
        <v>387.23382906289197</v>
      </c>
      <c r="AH329" s="30">
        <f t="shared" si="138"/>
        <v>442.55294750044794</v>
      </c>
      <c r="AI329" s="30">
        <f t="shared" si="138"/>
        <v>566.46777280057336</v>
      </c>
      <c r="AJ329" s="30">
        <f t="shared" si="138"/>
        <v>663.829421250672</v>
      </c>
      <c r="AK329" s="30">
        <f t="shared" si="138"/>
        <v>774.46765812578394</v>
      </c>
      <c r="AL329" s="30">
        <f t="shared" si="138"/>
        <v>885.10589500089588</v>
      </c>
      <c r="AM329" s="30">
        <f t="shared" si="138"/>
        <v>1062.127074001075</v>
      </c>
      <c r="AN329" s="30">
        <f t="shared" si="138"/>
        <v>1239.1482530012543</v>
      </c>
      <c r="AO329" s="30">
        <f t="shared" si="138"/>
        <v>1416.1694320014333</v>
      </c>
      <c r="AP329" s="30">
        <f t="shared" si="138"/>
        <v>1593.1906110016128</v>
      </c>
      <c r="AQ329" s="30">
        <f t="shared" si="138"/>
        <v>1770.2117900017918</v>
      </c>
      <c r="AR329" s="30">
        <f t="shared" si="138"/>
        <v>2124.25414800215</v>
      </c>
      <c r="AS329" s="30">
        <f t="shared" si="138"/>
        <v>2478.2965060025085</v>
      </c>
      <c r="AT329" s="30">
        <f t="shared" si="138"/>
        <v>2832.3388640028666</v>
      </c>
      <c r="AU329" s="30">
        <f t="shared" si="138"/>
        <v>3186.3812220032255</v>
      </c>
      <c r="AV329" s="30">
        <f t="shared" si="138"/>
        <v>3540.4235800035835</v>
      </c>
      <c r="AW329" s="30">
        <f t="shared" si="138"/>
        <v>4248.5082960043001</v>
      </c>
      <c r="AX329" s="30">
        <f t="shared" si="138"/>
        <v>4956.593012005017</v>
      </c>
      <c r="AY329" s="30">
        <f t="shared" si="138"/>
        <v>5664.6777280057331</v>
      </c>
      <c r="AZ329" s="30">
        <f t="shared" si="138"/>
        <v>6372.762444006451</v>
      </c>
      <c r="BA329" s="30">
        <f t="shared" si="138"/>
        <v>7080.8471600071671</v>
      </c>
      <c r="BB329" s="29">
        <f t="shared" si="138"/>
        <v>14161.694320014334</v>
      </c>
      <c r="BC329" s="30">
        <f t="shared" si="138"/>
        <v>28323.388640028668</v>
      </c>
      <c r="BD329" s="30">
        <f t="shared" si="138"/>
        <v>56646.777280057337</v>
      </c>
      <c r="BE329" s="30">
        <f t="shared" si="138"/>
        <v>113293.55456011467</v>
      </c>
      <c r="BF329" s="30">
        <f t="shared" si="138"/>
        <v>142864.00035835872</v>
      </c>
      <c r="BG329" s="71">
        <f t="shared" si="138"/>
        <v>142864.00035835872</v>
      </c>
      <c r="BH329" s="45"/>
    </row>
    <row r="330" spans="1:60" x14ac:dyDescent="0.25">
      <c r="A330" s="42" t="s">
        <v>19</v>
      </c>
      <c r="B330" s="6">
        <f>'Population by Age - Wikipedia'!D13</f>
        <v>0.13835839467257338</v>
      </c>
      <c r="C330" s="10">
        <f t="shared" si="126"/>
        <v>45736511.914136559</v>
      </c>
      <c r="D330" s="23">
        <f>'AU Infection Rate by Age'!C11</f>
        <v>2.8847876724601325E-2</v>
      </c>
      <c r="E330" s="17"/>
      <c r="F330" s="10"/>
      <c r="G330" s="10"/>
      <c r="H330" s="10"/>
      <c r="I330" s="10"/>
      <c r="J330" s="10"/>
      <c r="K330" s="10"/>
      <c r="L330" s="10"/>
      <c r="M330" s="10"/>
      <c r="N330" s="10"/>
      <c r="O330" s="10"/>
      <c r="P330" s="20">
        <f t="shared" ref="P330:BG330" si="139">P$284*$D$330</f>
        <v>0.90149614764379138</v>
      </c>
      <c r="Q330" s="21">
        <f t="shared" si="139"/>
        <v>1.8029922952875828</v>
      </c>
      <c r="R330" s="21">
        <f t="shared" si="139"/>
        <v>3.6059845905751655</v>
      </c>
      <c r="S330" s="21">
        <f t="shared" si="139"/>
        <v>7.211969181150331</v>
      </c>
      <c r="T330" s="21">
        <f t="shared" si="139"/>
        <v>14.423938362300662</v>
      </c>
      <c r="U330" s="21">
        <f t="shared" si="139"/>
        <v>28.847876724601324</v>
      </c>
      <c r="V330" s="21">
        <f t="shared" si="139"/>
        <v>57.695753449202648</v>
      </c>
      <c r="W330" s="21">
        <f t="shared" si="139"/>
        <v>115.3915068984053</v>
      </c>
      <c r="X330" s="21">
        <f t="shared" si="139"/>
        <v>230.78301379681059</v>
      </c>
      <c r="Y330" s="21">
        <f t="shared" si="139"/>
        <v>461.56602759362119</v>
      </c>
      <c r="Z330" s="21">
        <f t="shared" si="139"/>
        <v>923.13205518724237</v>
      </c>
      <c r="AA330" s="21">
        <f t="shared" si="139"/>
        <v>1846.2641103744847</v>
      </c>
      <c r="AB330" s="21">
        <f t="shared" si="139"/>
        <v>3692.5282207489695</v>
      </c>
      <c r="AC330" s="21">
        <f t="shared" si="139"/>
        <v>7385.056441497939</v>
      </c>
      <c r="AD330" s="21">
        <f t="shared" si="139"/>
        <v>14770.112882995878</v>
      </c>
      <c r="AE330" s="21">
        <f t="shared" si="139"/>
        <v>18462.641103744849</v>
      </c>
      <c r="AF330" s="21">
        <f t="shared" si="139"/>
        <v>22155.169324493818</v>
      </c>
      <c r="AG330" s="21">
        <f t="shared" si="139"/>
        <v>25847.697545242787</v>
      </c>
      <c r="AH330" s="21">
        <f t="shared" si="139"/>
        <v>29540.225765991756</v>
      </c>
      <c r="AI330" s="21">
        <f t="shared" si="139"/>
        <v>37811.488980469447</v>
      </c>
      <c r="AJ330" s="21">
        <f t="shared" si="139"/>
        <v>44310.338648987636</v>
      </c>
      <c r="AK330" s="21">
        <f t="shared" si="139"/>
        <v>51695.395090485574</v>
      </c>
      <c r="AL330" s="21">
        <f t="shared" si="139"/>
        <v>59080.451531983512</v>
      </c>
      <c r="AM330" s="21">
        <f t="shared" si="139"/>
        <v>70896.541838380217</v>
      </c>
      <c r="AN330" s="21">
        <f t="shared" si="139"/>
        <v>82712.632144776915</v>
      </c>
      <c r="AO330" s="21">
        <f t="shared" si="139"/>
        <v>94528.722451173628</v>
      </c>
      <c r="AP330" s="21">
        <f t="shared" si="139"/>
        <v>106344.81275757033</v>
      </c>
      <c r="AQ330" s="21">
        <f t="shared" si="139"/>
        <v>118160.90306396702</v>
      </c>
      <c r="AR330" s="21">
        <f t="shared" si="139"/>
        <v>141793.08367676043</v>
      </c>
      <c r="AS330" s="21">
        <f t="shared" si="139"/>
        <v>165425.26428955383</v>
      </c>
      <c r="AT330" s="21">
        <f t="shared" si="139"/>
        <v>189057.44490234726</v>
      </c>
      <c r="AU330" s="21">
        <f t="shared" si="139"/>
        <v>212689.62551514065</v>
      </c>
      <c r="AV330" s="21">
        <f t="shared" si="139"/>
        <v>236321.80612793405</v>
      </c>
      <c r="AW330" s="21">
        <f t="shared" si="139"/>
        <v>283586.16735352087</v>
      </c>
      <c r="AX330" s="21">
        <f t="shared" si="139"/>
        <v>330850.52857910766</v>
      </c>
      <c r="AY330" s="21">
        <f t="shared" si="139"/>
        <v>378114.88980469451</v>
      </c>
      <c r="AZ330" s="21">
        <f t="shared" si="139"/>
        <v>425379.2510302813</v>
      </c>
      <c r="BA330" s="21">
        <f t="shared" si="139"/>
        <v>472643.61225586809</v>
      </c>
      <c r="BB330" s="20">
        <f t="shared" si="139"/>
        <v>945287.22451173619</v>
      </c>
      <c r="BC330" s="21">
        <f t="shared" si="139"/>
        <v>1890574.4490234724</v>
      </c>
      <c r="BD330" s="21">
        <f t="shared" si="139"/>
        <v>3781148.8980469448</v>
      </c>
      <c r="BE330" s="21">
        <f t="shared" si="139"/>
        <v>7562297.7960938895</v>
      </c>
      <c r="BF330" s="21">
        <f t="shared" si="139"/>
        <v>9536112.7934061997</v>
      </c>
      <c r="BG330" s="72">
        <f t="shared" si="139"/>
        <v>9536112.7934061997</v>
      </c>
      <c r="BH330" s="45"/>
    </row>
    <row r="331" spans="1:60" x14ac:dyDescent="0.25">
      <c r="A331" s="42"/>
      <c r="B331" s="6"/>
      <c r="C331" s="10"/>
      <c r="D331" s="8"/>
      <c r="E331" s="27">
        <v>2E-3</v>
      </c>
      <c r="F331" s="10"/>
      <c r="G331" s="10"/>
      <c r="H331" s="10"/>
      <c r="I331" s="10"/>
      <c r="J331" s="10"/>
      <c r="K331" s="10"/>
      <c r="L331" s="10"/>
      <c r="M331" s="10"/>
      <c r="N331" s="10"/>
      <c r="O331" s="10"/>
      <c r="P331" s="29">
        <f t="shared" ref="P331:BG331" si="140">P$284*$D$330*$E$331</f>
        <v>1.8029922952875828E-3</v>
      </c>
      <c r="Q331" s="30">
        <f t="shared" si="140"/>
        <v>3.6059845905751656E-3</v>
      </c>
      <c r="R331" s="30">
        <f t="shared" si="140"/>
        <v>7.2119691811503312E-3</v>
      </c>
      <c r="S331" s="30">
        <f t="shared" si="140"/>
        <v>1.4423938362300662E-2</v>
      </c>
      <c r="T331" s="30">
        <f t="shared" si="140"/>
        <v>2.8847876724601325E-2</v>
      </c>
      <c r="U331" s="30">
        <f t="shared" si="140"/>
        <v>5.769575344920265E-2</v>
      </c>
      <c r="V331" s="30">
        <f t="shared" si="140"/>
        <v>0.1153915068984053</v>
      </c>
      <c r="W331" s="30">
        <f t="shared" si="140"/>
        <v>0.2307830137968106</v>
      </c>
      <c r="X331" s="30">
        <f t="shared" si="140"/>
        <v>0.4615660275936212</v>
      </c>
      <c r="Y331" s="30">
        <f t="shared" si="140"/>
        <v>0.9231320551872424</v>
      </c>
      <c r="Z331" s="30">
        <f t="shared" si="140"/>
        <v>1.8462641103744848</v>
      </c>
      <c r="AA331" s="30">
        <f t="shared" si="140"/>
        <v>3.6925282207489696</v>
      </c>
      <c r="AB331" s="30">
        <f t="shared" si="140"/>
        <v>7.3850564414979392</v>
      </c>
      <c r="AC331" s="30">
        <f t="shared" si="140"/>
        <v>14.770112882995878</v>
      </c>
      <c r="AD331" s="30">
        <f t="shared" si="140"/>
        <v>29.540225765991757</v>
      </c>
      <c r="AE331" s="30">
        <f t="shared" si="140"/>
        <v>36.925282207489701</v>
      </c>
      <c r="AF331" s="30">
        <f t="shared" si="140"/>
        <v>44.310338648987639</v>
      </c>
      <c r="AG331" s="30">
        <f t="shared" si="140"/>
        <v>51.695395090485576</v>
      </c>
      <c r="AH331" s="30">
        <f t="shared" si="140"/>
        <v>59.080451531983513</v>
      </c>
      <c r="AI331" s="30">
        <f t="shared" si="140"/>
        <v>75.622977960938897</v>
      </c>
      <c r="AJ331" s="30">
        <f t="shared" si="140"/>
        <v>88.620677297975277</v>
      </c>
      <c r="AK331" s="30">
        <f t="shared" si="140"/>
        <v>103.39079018097115</v>
      </c>
      <c r="AL331" s="30">
        <f t="shared" si="140"/>
        <v>118.16090306396703</v>
      </c>
      <c r="AM331" s="30">
        <f t="shared" si="140"/>
        <v>141.79308367676043</v>
      </c>
      <c r="AN331" s="30">
        <f t="shared" si="140"/>
        <v>165.42526428955384</v>
      </c>
      <c r="AO331" s="30">
        <f t="shared" si="140"/>
        <v>189.05744490234727</v>
      </c>
      <c r="AP331" s="30">
        <f t="shared" si="140"/>
        <v>212.68962551514065</v>
      </c>
      <c r="AQ331" s="30">
        <f t="shared" si="140"/>
        <v>236.32180612793405</v>
      </c>
      <c r="AR331" s="30">
        <f t="shared" si="140"/>
        <v>283.58616735352086</v>
      </c>
      <c r="AS331" s="30">
        <f t="shared" si="140"/>
        <v>330.85052857910767</v>
      </c>
      <c r="AT331" s="30">
        <f t="shared" si="140"/>
        <v>378.11488980469454</v>
      </c>
      <c r="AU331" s="30">
        <f t="shared" si="140"/>
        <v>425.3792510302813</v>
      </c>
      <c r="AV331" s="30">
        <f t="shared" si="140"/>
        <v>472.64361225586811</v>
      </c>
      <c r="AW331" s="30">
        <f t="shared" si="140"/>
        <v>567.17233470704173</v>
      </c>
      <c r="AX331" s="30">
        <f t="shared" si="140"/>
        <v>661.70105715821535</v>
      </c>
      <c r="AY331" s="30">
        <f t="shared" si="140"/>
        <v>756.22977960938908</v>
      </c>
      <c r="AZ331" s="30">
        <f t="shared" si="140"/>
        <v>850.75850206056259</v>
      </c>
      <c r="BA331" s="30">
        <f t="shared" si="140"/>
        <v>945.28722451173621</v>
      </c>
      <c r="BB331" s="29">
        <f t="shared" si="140"/>
        <v>1890.5744490234724</v>
      </c>
      <c r="BC331" s="30">
        <f t="shared" si="140"/>
        <v>3781.1488980469449</v>
      </c>
      <c r="BD331" s="30">
        <f t="shared" si="140"/>
        <v>7562.2977960938897</v>
      </c>
      <c r="BE331" s="30">
        <f t="shared" si="140"/>
        <v>15124.595592187779</v>
      </c>
      <c r="BF331" s="30">
        <f t="shared" si="140"/>
        <v>19072.225586812401</v>
      </c>
      <c r="BG331" s="71">
        <f t="shared" si="140"/>
        <v>19072.225586812401</v>
      </c>
      <c r="BH331" s="45"/>
    </row>
    <row r="332" spans="1:60" x14ac:dyDescent="0.25">
      <c r="A332" s="42" t="s">
        <v>20</v>
      </c>
      <c r="B332" s="6">
        <f>'Population by Age - Wikipedia'!D9</f>
        <v>0.13133799200038965</v>
      </c>
      <c r="C332" s="10">
        <f t="shared" si="126"/>
        <v>43415808.994604804</v>
      </c>
      <c r="D332" s="23">
        <f>'AU Infection Rate by Age'!C12</f>
        <v>9.8548647195843032E-3</v>
      </c>
      <c r="E332" s="17"/>
      <c r="F332" s="10"/>
      <c r="G332" s="10"/>
      <c r="H332" s="10"/>
      <c r="I332" s="10"/>
      <c r="J332" s="10"/>
      <c r="K332" s="10"/>
      <c r="L332" s="10"/>
      <c r="M332" s="10"/>
      <c r="N332" s="10"/>
      <c r="O332" s="10"/>
      <c r="P332" s="20">
        <f t="shared" ref="P332:BG332" si="141">P$284*$D$332</f>
        <v>0.30796452248700945</v>
      </c>
      <c r="Q332" s="21">
        <f t="shared" si="141"/>
        <v>0.6159290449740189</v>
      </c>
      <c r="R332" s="21">
        <f t="shared" si="141"/>
        <v>1.2318580899480378</v>
      </c>
      <c r="S332" s="21">
        <f t="shared" si="141"/>
        <v>2.4637161798960756</v>
      </c>
      <c r="T332" s="21">
        <f t="shared" si="141"/>
        <v>4.9274323597921512</v>
      </c>
      <c r="U332" s="21">
        <f t="shared" si="141"/>
        <v>9.8548647195843024</v>
      </c>
      <c r="V332" s="21">
        <f t="shared" si="141"/>
        <v>19.709729439168605</v>
      </c>
      <c r="W332" s="21">
        <f t="shared" si="141"/>
        <v>39.41945887833721</v>
      </c>
      <c r="X332" s="21">
        <f t="shared" si="141"/>
        <v>78.838917756674419</v>
      </c>
      <c r="Y332" s="21">
        <f t="shared" si="141"/>
        <v>157.67783551334884</v>
      </c>
      <c r="Z332" s="21">
        <f t="shared" si="141"/>
        <v>315.35567102669768</v>
      </c>
      <c r="AA332" s="21">
        <f t="shared" si="141"/>
        <v>630.71134205339536</v>
      </c>
      <c r="AB332" s="21">
        <f t="shared" si="141"/>
        <v>1261.4226841067907</v>
      </c>
      <c r="AC332" s="21">
        <f t="shared" si="141"/>
        <v>2522.8453682135814</v>
      </c>
      <c r="AD332" s="21">
        <f t="shared" si="141"/>
        <v>5045.6907364271628</v>
      </c>
      <c r="AE332" s="21">
        <f t="shared" si="141"/>
        <v>6307.113420533954</v>
      </c>
      <c r="AF332" s="21">
        <f t="shared" si="141"/>
        <v>7568.5361046407452</v>
      </c>
      <c r="AG332" s="21">
        <f t="shared" si="141"/>
        <v>8829.9587887475354</v>
      </c>
      <c r="AH332" s="21">
        <f t="shared" si="141"/>
        <v>10091.381472854326</v>
      </c>
      <c r="AI332" s="21">
        <f t="shared" si="141"/>
        <v>12916.968285253537</v>
      </c>
      <c r="AJ332" s="21">
        <f t="shared" si="141"/>
        <v>15137.07220928149</v>
      </c>
      <c r="AK332" s="21">
        <f t="shared" si="141"/>
        <v>17659.917577495071</v>
      </c>
      <c r="AL332" s="21">
        <f t="shared" si="141"/>
        <v>20182.762945708651</v>
      </c>
      <c r="AM332" s="21">
        <f t="shared" si="141"/>
        <v>24219.315534850382</v>
      </c>
      <c r="AN332" s="21">
        <f t="shared" si="141"/>
        <v>28255.868123992113</v>
      </c>
      <c r="AO332" s="21">
        <f t="shared" si="141"/>
        <v>32292.420713133844</v>
      </c>
      <c r="AP332" s="21">
        <f t="shared" si="141"/>
        <v>36328.973302275575</v>
      </c>
      <c r="AQ332" s="21">
        <f t="shared" si="141"/>
        <v>40365.525891417303</v>
      </c>
      <c r="AR332" s="21">
        <f t="shared" si="141"/>
        <v>48438.631069700765</v>
      </c>
      <c r="AS332" s="21">
        <f t="shared" si="141"/>
        <v>56511.736247984227</v>
      </c>
      <c r="AT332" s="21">
        <f t="shared" si="141"/>
        <v>64584.841426267689</v>
      </c>
      <c r="AU332" s="21">
        <f t="shared" si="141"/>
        <v>72657.946604551151</v>
      </c>
      <c r="AV332" s="21">
        <f t="shared" si="141"/>
        <v>80731.051782834606</v>
      </c>
      <c r="AW332" s="21">
        <f t="shared" si="141"/>
        <v>96877.26213940153</v>
      </c>
      <c r="AX332" s="21">
        <f t="shared" si="141"/>
        <v>113023.47249596845</v>
      </c>
      <c r="AY332" s="21">
        <f t="shared" si="141"/>
        <v>129169.68285253538</v>
      </c>
      <c r="AZ332" s="21">
        <f t="shared" si="141"/>
        <v>145315.8932091023</v>
      </c>
      <c r="BA332" s="21">
        <f t="shared" si="141"/>
        <v>161462.10356566921</v>
      </c>
      <c r="BB332" s="20">
        <f t="shared" si="141"/>
        <v>322924.20713133842</v>
      </c>
      <c r="BC332" s="21">
        <f t="shared" si="141"/>
        <v>645848.41426267684</v>
      </c>
      <c r="BD332" s="21">
        <f t="shared" si="141"/>
        <v>1291696.8285253537</v>
      </c>
      <c r="BE332" s="21">
        <f t="shared" si="141"/>
        <v>2583393.6570507074</v>
      </c>
      <c r="BF332" s="21">
        <f t="shared" si="141"/>
        <v>3257678.2834617449</v>
      </c>
      <c r="BG332" s="72">
        <f t="shared" si="141"/>
        <v>3257678.2834617449</v>
      </c>
      <c r="BH332" s="45"/>
    </row>
    <row r="333" spans="1:60" x14ac:dyDescent="0.25">
      <c r="A333" s="42"/>
      <c r="B333" s="7"/>
      <c r="C333" s="11"/>
      <c r="D333" s="26"/>
      <c r="E333" s="28">
        <v>0</v>
      </c>
      <c r="F333" s="10"/>
      <c r="G333" s="10"/>
      <c r="H333" s="10"/>
      <c r="I333" s="10"/>
      <c r="J333" s="10"/>
      <c r="K333" s="10"/>
      <c r="L333" s="10"/>
      <c r="M333" s="10"/>
      <c r="N333" s="10"/>
      <c r="O333" s="10"/>
      <c r="P333" s="31">
        <f t="shared" ref="P333:BG333" si="142">P$284*$D$332*$E$333</f>
        <v>0</v>
      </c>
      <c r="Q333" s="32">
        <f t="shared" si="142"/>
        <v>0</v>
      </c>
      <c r="R333" s="32">
        <f t="shared" si="142"/>
        <v>0</v>
      </c>
      <c r="S333" s="32">
        <f t="shared" si="142"/>
        <v>0</v>
      </c>
      <c r="T333" s="32">
        <f t="shared" si="142"/>
        <v>0</v>
      </c>
      <c r="U333" s="32">
        <f t="shared" si="142"/>
        <v>0</v>
      </c>
      <c r="V333" s="32">
        <f t="shared" si="142"/>
        <v>0</v>
      </c>
      <c r="W333" s="32">
        <f t="shared" si="142"/>
        <v>0</v>
      </c>
      <c r="X333" s="32">
        <f t="shared" si="142"/>
        <v>0</v>
      </c>
      <c r="Y333" s="32">
        <f t="shared" si="142"/>
        <v>0</v>
      </c>
      <c r="Z333" s="32">
        <f t="shared" si="142"/>
        <v>0</v>
      </c>
      <c r="AA333" s="32">
        <f t="shared" si="142"/>
        <v>0</v>
      </c>
      <c r="AB333" s="32">
        <f t="shared" si="142"/>
        <v>0</v>
      </c>
      <c r="AC333" s="32">
        <f t="shared" si="142"/>
        <v>0</v>
      </c>
      <c r="AD333" s="32">
        <f t="shared" si="142"/>
        <v>0</v>
      </c>
      <c r="AE333" s="32">
        <f t="shared" si="142"/>
        <v>0</v>
      </c>
      <c r="AF333" s="32">
        <f t="shared" si="142"/>
        <v>0</v>
      </c>
      <c r="AG333" s="32">
        <f t="shared" si="142"/>
        <v>0</v>
      </c>
      <c r="AH333" s="32">
        <f t="shared" si="142"/>
        <v>0</v>
      </c>
      <c r="AI333" s="32">
        <f t="shared" si="142"/>
        <v>0</v>
      </c>
      <c r="AJ333" s="32">
        <f t="shared" si="142"/>
        <v>0</v>
      </c>
      <c r="AK333" s="32">
        <f t="shared" si="142"/>
        <v>0</v>
      </c>
      <c r="AL333" s="32">
        <f t="shared" si="142"/>
        <v>0</v>
      </c>
      <c r="AM333" s="32">
        <f t="shared" si="142"/>
        <v>0</v>
      </c>
      <c r="AN333" s="32">
        <f t="shared" si="142"/>
        <v>0</v>
      </c>
      <c r="AO333" s="32">
        <f t="shared" si="142"/>
        <v>0</v>
      </c>
      <c r="AP333" s="32">
        <f t="shared" si="142"/>
        <v>0</v>
      </c>
      <c r="AQ333" s="32">
        <f t="shared" si="142"/>
        <v>0</v>
      </c>
      <c r="AR333" s="32">
        <f t="shared" si="142"/>
        <v>0</v>
      </c>
      <c r="AS333" s="32">
        <f t="shared" si="142"/>
        <v>0</v>
      </c>
      <c r="AT333" s="32">
        <f t="shared" si="142"/>
        <v>0</v>
      </c>
      <c r="AU333" s="32">
        <f t="shared" si="142"/>
        <v>0</v>
      </c>
      <c r="AV333" s="32">
        <f t="shared" si="142"/>
        <v>0</v>
      </c>
      <c r="AW333" s="32">
        <f t="shared" si="142"/>
        <v>0</v>
      </c>
      <c r="AX333" s="32">
        <f t="shared" si="142"/>
        <v>0</v>
      </c>
      <c r="AY333" s="32">
        <f t="shared" si="142"/>
        <v>0</v>
      </c>
      <c r="AZ333" s="32">
        <f t="shared" si="142"/>
        <v>0</v>
      </c>
      <c r="BA333" s="32">
        <f t="shared" si="142"/>
        <v>0</v>
      </c>
      <c r="BB333" s="29">
        <f t="shared" si="142"/>
        <v>0</v>
      </c>
      <c r="BC333" s="30">
        <f t="shared" si="142"/>
        <v>0</v>
      </c>
      <c r="BD333" s="30">
        <f t="shared" si="142"/>
        <v>0</v>
      </c>
      <c r="BE333" s="30">
        <f t="shared" si="142"/>
        <v>0</v>
      </c>
      <c r="BF333" s="30">
        <f t="shared" si="142"/>
        <v>0</v>
      </c>
      <c r="BG333" s="71">
        <f t="shared" si="142"/>
        <v>0</v>
      </c>
      <c r="BH333" s="45"/>
    </row>
    <row r="334" spans="1:60" x14ac:dyDescent="0.25">
      <c r="A334" s="41" t="s">
        <v>39</v>
      </c>
      <c r="B334" s="14"/>
      <c r="C334" s="10"/>
      <c r="D334" s="10"/>
      <c r="E334" s="15"/>
      <c r="F334" s="10"/>
      <c r="G334" s="10"/>
      <c r="H334" s="10"/>
      <c r="I334" s="10"/>
      <c r="J334" s="10"/>
      <c r="K334" s="10"/>
      <c r="L334" s="10"/>
      <c r="M334" s="10"/>
      <c r="N334" s="10"/>
      <c r="O334" s="10"/>
      <c r="P334" s="18">
        <f t="shared" ref="P334:AP334" si="143">SUM(P316,P318,P320,P322,P324,P326,P328,P330,P332)</f>
        <v>31.249999999999996</v>
      </c>
      <c r="Q334" s="19">
        <f t="shared" si="143"/>
        <v>62.499999999999993</v>
      </c>
      <c r="R334" s="19">
        <f t="shared" si="143"/>
        <v>124.99999999999999</v>
      </c>
      <c r="S334" s="19">
        <f t="shared" si="143"/>
        <v>249.99999999999997</v>
      </c>
      <c r="T334" s="19">
        <f t="shared" si="143"/>
        <v>499.99999999999994</v>
      </c>
      <c r="U334" s="19">
        <f>SUM(U316,U318,U320,U322,U324,U326,U328,U330,U332)</f>
        <v>999.99999999999989</v>
      </c>
      <c r="V334" s="19">
        <f t="shared" si="143"/>
        <v>1999.9999999999998</v>
      </c>
      <c r="W334" s="19">
        <f t="shared" si="143"/>
        <v>3999.9999999999995</v>
      </c>
      <c r="X334" s="19">
        <f t="shared" si="143"/>
        <v>7999.9999999999991</v>
      </c>
      <c r="Y334" s="19">
        <f t="shared" si="143"/>
        <v>15999.999999999998</v>
      </c>
      <c r="Z334" s="19">
        <f t="shared" si="143"/>
        <v>31999.999999999996</v>
      </c>
      <c r="AA334" s="19">
        <f t="shared" si="143"/>
        <v>63999.999999999993</v>
      </c>
      <c r="AB334" s="19">
        <f t="shared" si="143"/>
        <v>127999.99999999999</v>
      </c>
      <c r="AC334" s="19">
        <f t="shared" si="143"/>
        <v>255999.99999999997</v>
      </c>
      <c r="AD334" s="19">
        <f t="shared" si="143"/>
        <v>511999.99999999994</v>
      </c>
      <c r="AE334" s="19">
        <f t="shared" ref="AE334:AG334" si="144">SUM(AE316,AE318,AE320,AE322,AE324,AE326,AE328,AE330,AE332)</f>
        <v>640000</v>
      </c>
      <c r="AF334" s="19">
        <f t="shared" si="144"/>
        <v>768000</v>
      </c>
      <c r="AG334" s="19">
        <f t="shared" si="144"/>
        <v>895999.99999999988</v>
      </c>
      <c r="AH334" s="19">
        <f t="shared" si="143"/>
        <v>1023999.9999999999</v>
      </c>
      <c r="AI334" s="19">
        <f t="shared" ref="AI334:AK334" si="145">SUM(AI316,AI318,AI320,AI322,AI324,AI326,AI328,AI330,AI332)</f>
        <v>1310720</v>
      </c>
      <c r="AJ334" s="19">
        <f t="shared" si="145"/>
        <v>1536000</v>
      </c>
      <c r="AK334" s="19">
        <f t="shared" si="145"/>
        <v>1791999.9999999998</v>
      </c>
      <c r="AL334" s="19">
        <f t="shared" si="143"/>
        <v>2047999.9999999998</v>
      </c>
      <c r="AM334" s="19">
        <f t="shared" si="143"/>
        <v>2457600</v>
      </c>
      <c r="AN334" s="19">
        <f t="shared" si="143"/>
        <v>2867200</v>
      </c>
      <c r="AO334" s="19">
        <f t="shared" si="143"/>
        <v>3276799.9999999995</v>
      </c>
      <c r="AP334" s="19">
        <f t="shared" si="143"/>
        <v>3686400</v>
      </c>
      <c r="AQ334" s="19">
        <f t="shared" ref="AQ334:BA335" si="146">SUM(AQ316,AQ318,AQ320,AQ322,AQ324,AQ326,AQ328,AQ330,AQ332)</f>
        <v>4095999.9999999995</v>
      </c>
      <c r="AR334" s="19">
        <f t="shared" ref="AR334:AU334" si="147">SUM(AR316,AR318,AR320,AR322,AR324,AR326,AR328,AR330,AR332)</f>
        <v>4915200</v>
      </c>
      <c r="AS334" s="19">
        <f t="shared" si="147"/>
        <v>5734400</v>
      </c>
      <c r="AT334" s="19">
        <f t="shared" si="147"/>
        <v>6553599.9999999991</v>
      </c>
      <c r="AU334" s="19">
        <f t="shared" si="147"/>
        <v>7372800</v>
      </c>
      <c r="AV334" s="19">
        <f t="shared" si="146"/>
        <v>8191999.9999999991</v>
      </c>
      <c r="AW334" s="19">
        <f t="shared" ref="AW334:AZ334" si="148">SUM(AW316,AW318,AW320,AW322,AW324,AW326,AW328,AW330,AW332)</f>
        <v>9830400</v>
      </c>
      <c r="AX334" s="19">
        <f t="shared" si="148"/>
        <v>11468800</v>
      </c>
      <c r="AY334" s="19">
        <f t="shared" si="148"/>
        <v>13107199.999999998</v>
      </c>
      <c r="AZ334" s="19">
        <f t="shared" si="148"/>
        <v>14745600</v>
      </c>
      <c r="BA334" s="19">
        <f t="shared" si="146"/>
        <v>16383999.999999998</v>
      </c>
      <c r="BB334" s="18">
        <f t="shared" ref="BB334:BG334" si="149">SUM(BB316,BB318,BB320,BB322,BB324,BB326,BB328,BB330,BB332)</f>
        <v>32767999.999999996</v>
      </c>
      <c r="BC334" s="19">
        <f t="shared" si="149"/>
        <v>65535999.999999993</v>
      </c>
      <c r="BD334" s="19">
        <f t="shared" si="149"/>
        <v>131071999.99999999</v>
      </c>
      <c r="BE334" s="19">
        <f t="shared" si="149"/>
        <v>262143999.99999997</v>
      </c>
      <c r="BF334" s="19">
        <f t="shared" si="149"/>
        <v>330565499.99999994</v>
      </c>
      <c r="BG334" s="60">
        <f t="shared" si="149"/>
        <v>330565499.99999994</v>
      </c>
      <c r="BH334" s="45"/>
    </row>
    <row r="335" spans="1:60" x14ac:dyDescent="0.25">
      <c r="A335" s="43" t="s">
        <v>38</v>
      </c>
      <c r="B335" s="44"/>
      <c r="C335" s="11"/>
      <c r="D335" s="11"/>
      <c r="E335" s="38"/>
      <c r="F335" s="11"/>
      <c r="G335" s="11"/>
      <c r="H335" s="11"/>
      <c r="I335" s="11"/>
      <c r="J335" s="11"/>
      <c r="K335" s="11"/>
      <c r="L335" s="11"/>
      <c r="M335" s="11"/>
      <c r="N335" s="11"/>
      <c r="O335" s="11"/>
      <c r="P335" s="31">
        <f>SUM(P317,P319,P321,P323,P325,P327,P329,P331,P333)</f>
        <v>0.69269060204264477</v>
      </c>
      <c r="Q335" s="32">
        <f>SUM(Q317,Q319,Q321,Q323,Q325,Q327,Q329,Q331,Q333)</f>
        <v>1.3853812040852895</v>
      </c>
      <c r="R335" s="32">
        <f t="shared" ref="R335:AP335" si="150">SUM(R317,R319,R321,R323,R325,R327,R329,R331,R333)</f>
        <v>2.7707624081705791</v>
      </c>
      <c r="S335" s="32">
        <f t="shared" si="150"/>
        <v>5.5415248163411581</v>
      </c>
      <c r="T335" s="32">
        <f t="shared" si="150"/>
        <v>11.083049632682316</v>
      </c>
      <c r="U335" s="32">
        <f t="shared" si="150"/>
        <v>22.166099265364632</v>
      </c>
      <c r="V335" s="32">
        <f t="shared" si="150"/>
        <v>44.332198530729265</v>
      </c>
      <c r="W335" s="32">
        <f t="shared" si="150"/>
        <v>88.66439706145853</v>
      </c>
      <c r="X335" s="32">
        <f t="shared" si="150"/>
        <v>177.32879412291706</v>
      </c>
      <c r="Y335" s="32">
        <f t="shared" si="150"/>
        <v>354.65758824583412</v>
      </c>
      <c r="Z335" s="32">
        <f t="shared" si="150"/>
        <v>709.31517649166824</v>
      </c>
      <c r="AA335" s="32">
        <f t="shared" si="150"/>
        <v>1418.6303529833365</v>
      </c>
      <c r="AB335" s="32">
        <f t="shared" si="150"/>
        <v>2837.260705966673</v>
      </c>
      <c r="AC335" s="32">
        <f t="shared" si="150"/>
        <v>5674.5214119333459</v>
      </c>
      <c r="AD335" s="32">
        <f t="shared" si="150"/>
        <v>11349.042823866692</v>
      </c>
      <c r="AE335" s="32">
        <f t="shared" ref="AE335:AG335" si="151">SUM(AE317,AE319,AE321,AE323,AE325,AE327,AE329,AE331,AE333)</f>
        <v>14186.303529833365</v>
      </c>
      <c r="AF335" s="32">
        <f t="shared" si="151"/>
        <v>17023.564235800037</v>
      </c>
      <c r="AG335" s="32">
        <f t="shared" si="151"/>
        <v>19860.824941766703</v>
      </c>
      <c r="AH335" s="32">
        <f t="shared" si="150"/>
        <v>22698.085647733384</v>
      </c>
      <c r="AI335" s="32">
        <f t="shared" ref="AI335:AK335" si="152">SUM(AI317,AI319,AI321,AI323,AI325,AI327,AI329,AI331,AI333)</f>
        <v>29053.549629098728</v>
      </c>
      <c r="AJ335" s="32">
        <f t="shared" si="152"/>
        <v>34047.128471600074</v>
      </c>
      <c r="AK335" s="32">
        <f t="shared" si="152"/>
        <v>39721.649883533406</v>
      </c>
      <c r="AL335" s="32">
        <f t="shared" si="150"/>
        <v>45396.171295466767</v>
      </c>
      <c r="AM335" s="32">
        <f t="shared" si="150"/>
        <v>54475.405554560122</v>
      </c>
      <c r="AN335" s="32">
        <f t="shared" si="150"/>
        <v>63554.639813653455</v>
      </c>
      <c r="AO335" s="32">
        <f t="shared" si="150"/>
        <v>72633.874072746825</v>
      </c>
      <c r="AP335" s="32">
        <f t="shared" si="150"/>
        <v>81713.108331840151</v>
      </c>
      <c r="AQ335" s="32">
        <f t="shared" si="146"/>
        <v>90792.342590933535</v>
      </c>
      <c r="AR335" s="32">
        <f t="shared" ref="AR335:AU335" si="153">SUM(AR317,AR319,AR321,AR323,AR325,AR327,AR329,AR331,AR333)</f>
        <v>108950.81110912024</v>
      </c>
      <c r="AS335" s="32">
        <f t="shared" si="153"/>
        <v>127109.27962730691</v>
      </c>
      <c r="AT335" s="32">
        <f t="shared" si="153"/>
        <v>145267.74814549365</v>
      </c>
      <c r="AU335" s="32">
        <f t="shared" si="153"/>
        <v>163426.2166636803</v>
      </c>
      <c r="AV335" s="32">
        <f t="shared" si="146"/>
        <v>181584.68518186707</v>
      </c>
      <c r="AW335" s="32">
        <f t="shared" ref="AW335:AZ335" si="154">SUM(AW317,AW319,AW321,AW323,AW325,AW327,AW329,AW331,AW333)</f>
        <v>217901.62221824049</v>
      </c>
      <c r="AX335" s="32">
        <f t="shared" si="154"/>
        <v>254218.55925461382</v>
      </c>
      <c r="AY335" s="32">
        <f t="shared" si="154"/>
        <v>290535.4962909873</v>
      </c>
      <c r="AZ335" s="32">
        <f t="shared" si="154"/>
        <v>326852.4333273606</v>
      </c>
      <c r="BA335" s="32">
        <f t="shared" si="146"/>
        <v>363169.37036373414</v>
      </c>
      <c r="BB335" s="31">
        <f t="shared" ref="BB335:BG335" si="155">SUM(BB317,BB319,BB321,BB323,BB325,BB327,BB329,BB331,BB333)</f>
        <v>726338.74072746828</v>
      </c>
      <c r="BC335" s="32">
        <f t="shared" si="155"/>
        <v>1452677.4814549366</v>
      </c>
      <c r="BD335" s="32">
        <f t="shared" si="155"/>
        <v>2905354.9629098731</v>
      </c>
      <c r="BE335" s="32">
        <f t="shared" si="155"/>
        <v>5810709.9258197462</v>
      </c>
      <c r="BF335" s="32">
        <f t="shared" si="155"/>
        <v>7327347.6867048908</v>
      </c>
      <c r="BG335" s="73">
        <f t="shared" si="155"/>
        <v>7327347.6867048908</v>
      </c>
      <c r="BH335" s="45"/>
    </row>
    <row r="336" spans="1:60" x14ac:dyDescent="0.25">
      <c r="A336" s="42"/>
      <c r="B336" s="14"/>
      <c r="C336" s="10"/>
      <c r="D336" s="10"/>
      <c r="E336" s="15"/>
      <c r="F336" s="10"/>
      <c r="G336" s="10"/>
      <c r="H336" s="10"/>
      <c r="I336" s="10"/>
      <c r="J336" s="10"/>
      <c r="K336" s="10"/>
      <c r="L336" s="10"/>
      <c r="M336" s="10"/>
      <c r="N336" s="10"/>
      <c r="O336" s="10"/>
      <c r="P336" s="45"/>
      <c r="Q336" s="45"/>
      <c r="R336" s="45"/>
      <c r="S336" s="45"/>
      <c r="T336" s="45"/>
      <c r="U336" s="45"/>
      <c r="V336" s="45"/>
      <c r="W336" s="45"/>
      <c r="X336" s="45"/>
      <c r="Y336" s="45"/>
      <c r="Z336" s="45"/>
      <c r="AA336" s="45"/>
      <c r="AB336" s="45"/>
      <c r="AC336" s="45"/>
      <c r="AD336" s="45"/>
      <c r="AE336" s="45"/>
      <c r="AF336" s="45"/>
      <c r="AG336" s="45"/>
      <c r="AH336" s="45"/>
      <c r="AI336" s="45"/>
      <c r="AJ336" s="45"/>
      <c r="AK336" s="45"/>
      <c r="AL336" s="45"/>
      <c r="AM336" s="45"/>
      <c r="AN336" s="45"/>
      <c r="AO336" s="45"/>
      <c r="AP336" s="45"/>
      <c r="AQ336" s="45"/>
      <c r="AR336" s="45"/>
      <c r="AS336" s="45"/>
      <c r="AT336" s="45"/>
      <c r="AU336" s="45"/>
    </row>
    <row r="337" spans="1:60" x14ac:dyDescent="0.25">
      <c r="A337" s="54" t="s">
        <v>50</v>
      </c>
      <c r="B337" s="14"/>
      <c r="C337" s="10"/>
      <c r="D337" s="10"/>
      <c r="E337" s="15"/>
      <c r="F337" s="10"/>
      <c r="G337" s="10"/>
      <c r="H337" s="10"/>
      <c r="I337" s="10"/>
      <c r="J337" s="10"/>
      <c r="K337" s="10"/>
      <c r="L337" s="10"/>
      <c r="M337" s="10"/>
      <c r="N337" s="10"/>
      <c r="O337" s="10"/>
      <c r="P337" s="45"/>
      <c r="Q337" s="45"/>
      <c r="R337" s="45"/>
      <c r="S337" s="45"/>
      <c r="T337" s="45"/>
      <c r="U337" s="45"/>
      <c r="V337" s="45"/>
      <c r="W337" s="45"/>
      <c r="X337" s="45"/>
      <c r="Y337" s="45"/>
      <c r="Z337" s="45"/>
      <c r="AA337" s="45"/>
      <c r="AB337" s="45"/>
      <c r="AC337" s="45"/>
      <c r="AD337" s="45"/>
      <c r="AE337" s="45"/>
      <c r="AF337" s="45"/>
      <c r="AG337" s="45"/>
      <c r="AH337" s="45"/>
      <c r="AI337" s="45"/>
      <c r="AJ337" s="45"/>
      <c r="AK337" s="45"/>
      <c r="AL337" s="45"/>
      <c r="AM337" s="45"/>
      <c r="AN337" s="45"/>
      <c r="AO337" s="45"/>
      <c r="AP337" s="45"/>
      <c r="AQ337" s="45"/>
      <c r="AR337" s="45"/>
      <c r="AS337" s="45"/>
      <c r="AT337" s="45"/>
      <c r="AU337" s="45"/>
    </row>
    <row r="338" spans="1:60" x14ac:dyDescent="0.25">
      <c r="A338" s="4"/>
      <c r="B338" s="9" t="s">
        <v>5</v>
      </c>
      <c r="C338" s="9" t="s">
        <v>3</v>
      </c>
      <c r="D338" s="9"/>
      <c r="E338" s="59" t="s">
        <v>2</v>
      </c>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c r="AW338" s="9"/>
      <c r="AX338" s="9"/>
      <c r="AY338" s="9"/>
      <c r="AZ338" s="9"/>
      <c r="BA338" s="9"/>
      <c r="BB338" s="9"/>
      <c r="BC338" s="9"/>
      <c r="BD338" s="9"/>
      <c r="BE338" s="9"/>
      <c r="BF338" s="9"/>
      <c r="BG338" s="5"/>
      <c r="BH338" s="47"/>
    </row>
    <row r="339" spans="1:60" x14ac:dyDescent="0.25">
      <c r="A339" s="48" t="s">
        <v>1</v>
      </c>
      <c r="B339" s="24">
        <v>0.36799999999999999</v>
      </c>
      <c r="C339" s="10">
        <f>$B$267 * B339</f>
        <v>121648104</v>
      </c>
      <c r="D339" s="16"/>
      <c r="E339" s="16"/>
      <c r="F339" s="16"/>
      <c r="G339" s="16"/>
      <c r="H339" s="16"/>
      <c r="I339" s="16"/>
      <c r="J339" s="16"/>
      <c r="K339" s="16"/>
      <c r="L339" s="16"/>
      <c r="M339" s="16"/>
      <c r="N339" s="16"/>
      <c r="O339" s="16"/>
      <c r="P339" s="18">
        <f t="shared" ref="P339:BG339" si="156">P$284*$B$339</f>
        <v>11.5</v>
      </c>
      <c r="Q339" s="19">
        <f t="shared" si="156"/>
        <v>23</v>
      </c>
      <c r="R339" s="19">
        <f t="shared" si="156"/>
        <v>46</v>
      </c>
      <c r="S339" s="19">
        <f t="shared" si="156"/>
        <v>92</v>
      </c>
      <c r="T339" s="19">
        <f t="shared" si="156"/>
        <v>184</v>
      </c>
      <c r="U339" s="19">
        <f t="shared" si="156"/>
        <v>368</v>
      </c>
      <c r="V339" s="19">
        <f t="shared" si="156"/>
        <v>736</v>
      </c>
      <c r="W339" s="19">
        <f t="shared" si="156"/>
        <v>1472</v>
      </c>
      <c r="X339" s="19">
        <f t="shared" si="156"/>
        <v>2944</v>
      </c>
      <c r="Y339" s="19">
        <f t="shared" si="156"/>
        <v>5888</v>
      </c>
      <c r="Z339" s="19">
        <f t="shared" si="156"/>
        <v>11776</v>
      </c>
      <c r="AA339" s="19">
        <f t="shared" si="156"/>
        <v>23552</v>
      </c>
      <c r="AB339" s="19">
        <f t="shared" si="156"/>
        <v>47104</v>
      </c>
      <c r="AC339" s="19">
        <f t="shared" si="156"/>
        <v>94208</v>
      </c>
      <c r="AD339" s="19">
        <f t="shared" si="156"/>
        <v>188416</v>
      </c>
      <c r="AE339" s="19">
        <f t="shared" si="156"/>
        <v>235520</v>
      </c>
      <c r="AF339" s="19">
        <f t="shared" si="156"/>
        <v>282624</v>
      </c>
      <c r="AG339" s="19">
        <f t="shared" si="156"/>
        <v>329728</v>
      </c>
      <c r="AH339" s="19">
        <f t="shared" si="156"/>
        <v>376832</v>
      </c>
      <c r="AI339" s="19">
        <f t="shared" si="156"/>
        <v>482344.95999999996</v>
      </c>
      <c r="AJ339" s="19">
        <f t="shared" si="156"/>
        <v>565248</v>
      </c>
      <c r="AK339" s="19">
        <f t="shared" si="156"/>
        <v>659456</v>
      </c>
      <c r="AL339" s="19">
        <f t="shared" si="156"/>
        <v>753664</v>
      </c>
      <c r="AM339" s="19">
        <f t="shared" si="156"/>
        <v>904396.79999999993</v>
      </c>
      <c r="AN339" s="19">
        <f t="shared" si="156"/>
        <v>1055129.6000000001</v>
      </c>
      <c r="AO339" s="19">
        <f t="shared" si="156"/>
        <v>1205862.3999999999</v>
      </c>
      <c r="AP339" s="19">
        <f t="shared" si="156"/>
        <v>1356595.2</v>
      </c>
      <c r="AQ339" s="19">
        <f t="shared" si="156"/>
        <v>1507328</v>
      </c>
      <c r="AR339" s="19">
        <f t="shared" si="156"/>
        <v>1808793.5999999999</v>
      </c>
      <c r="AS339" s="19">
        <f t="shared" si="156"/>
        <v>2110259.2000000002</v>
      </c>
      <c r="AT339" s="19">
        <f t="shared" si="156"/>
        <v>2411724.7999999998</v>
      </c>
      <c r="AU339" s="19">
        <f t="shared" si="156"/>
        <v>2713190.3999999999</v>
      </c>
      <c r="AV339" s="19">
        <f t="shared" si="156"/>
        <v>3014656</v>
      </c>
      <c r="AW339" s="19">
        <f t="shared" si="156"/>
        <v>3617587.1999999997</v>
      </c>
      <c r="AX339" s="19">
        <f t="shared" si="156"/>
        <v>4220518.4000000004</v>
      </c>
      <c r="AY339" s="19">
        <f t="shared" si="156"/>
        <v>4823449.5999999996</v>
      </c>
      <c r="AZ339" s="19">
        <f t="shared" si="156"/>
        <v>5426380.7999999998</v>
      </c>
      <c r="BA339" s="19">
        <f t="shared" si="156"/>
        <v>6029312</v>
      </c>
      <c r="BB339" s="18">
        <f t="shared" si="156"/>
        <v>12058624</v>
      </c>
      <c r="BC339" s="19">
        <f t="shared" si="156"/>
        <v>24117248</v>
      </c>
      <c r="BD339" s="19">
        <f t="shared" si="156"/>
        <v>48234496</v>
      </c>
      <c r="BE339" s="19">
        <f t="shared" si="156"/>
        <v>96468992</v>
      </c>
      <c r="BF339" s="19">
        <f t="shared" si="156"/>
        <v>121648104</v>
      </c>
      <c r="BG339" s="60">
        <f t="shared" si="156"/>
        <v>121648104</v>
      </c>
      <c r="BH339" s="45"/>
    </row>
    <row r="340" spans="1:60" x14ac:dyDescent="0.25">
      <c r="A340" s="48"/>
      <c r="B340" s="16"/>
      <c r="C340" s="16"/>
      <c r="D340" s="25"/>
      <c r="E340" s="46">
        <v>0.105</v>
      </c>
      <c r="F340" s="16"/>
      <c r="G340" s="16"/>
      <c r="H340" s="16"/>
      <c r="I340" s="16"/>
      <c r="J340" s="16"/>
      <c r="K340" s="16"/>
      <c r="L340" s="16"/>
      <c r="M340" s="16"/>
      <c r="N340" s="16"/>
      <c r="O340" s="16"/>
      <c r="P340" s="29">
        <f>P339*$E$340</f>
        <v>1.2075</v>
      </c>
      <c r="Q340" s="30">
        <f t="shared" ref="Q340:AP340" si="157">Q339*$E$340</f>
        <v>2.415</v>
      </c>
      <c r="R340" s="30">
        <f t="shared" si="157"/>
        <v>4.83</v>
      </c>
      <c r="S340" s="30">
        <f t="shared" si="157"/>
        <v>9.66</v>
      </c>
      <c r="T340" s="30">
        <f t="shared" si="157"/>
        <v>19.32</v>
      </c>
      <c r="U340" s="30">
        <f t="shared" si="157"/>
        <v>38.64</v>
      </c>
      <c r="V340" s="30">
        <f t="shared" si="157"/>
        <v>77.28</v>
      </c>
      <c r="W340" s="30">
        <f t="shared" si="157"/>
        <v>154.56</v>
      </c>
      <c r="X340" s="30">
        <f t="shared" si="157"/>
        <v>309.12</v>
      </c>
      <c r="Y340" s="30">
        <f t="shared" si="157"/>
        <v>618.24</v>
      </c>
      <c r="Z340" s="30">
        <f t="shared" si="157"/>
        <v>1236.48</v>
      </c>
      <c r="AA340" s="30">
        <f t="shared" si="157"/>
        <v>2472.96</v>
      </c>
      <c r="AB340" s="30">
        <f t="shared" si="157"/>
        <v>4945.92</v>
      </c>
      <c r="AC340" s="30">
        <f t="shared" si="157"/>
        <v>9891.84</v>
      </c>
      <c r="AD340" s="30">
        <f t="shared" si="157"/>
        <v>19783.68</v>
      </c>
      <c r="AE340" s="30">
        <f t="shared" ref="AE340:AG340" si="158">AE339*$E$340</f>
        <v>24729.599999999999</v>
      </c>
      <c r="AF340" s="30">
        <f t="shared" si="158"/>
        <v>29675.52</v>
      </c>
      <c r="AG340" s="30">
        <f t="shared" si="158"/>
        <v>34621.440000000002</v>
      </c>
      <c r="AH340" s="30">
        <f t="shared" si="157"/>
        <v>39567.360000000001</v>
      </c>
      <c r="AI340" s="30">
        <f t="shared" ref="AI340:AK340" si="159">AI339*$E$340</f>
        <v>50646.220799999996</v>
      </c>
      <c r="AJ340" s="30">
        <f t="shared" si="159"/>
        <v>59351.040000000001</v>
      </c>
      <c r="AK340" s="30">
        <f t="shared" si="159"/>
        <v>69242.880000000005</v>
      </c>
      <c r="AL340" s="30">
        <f t="shared" si="157"/>
        <v>79134.720000000001</v>
      </c>
      <c r="AM340" s="30">
        <f t="shared" si="157"/>
        <v>94961.66399999999</v>
      </c>
      <c r="AN340" s="30">
        <f t="shared" si="157"/>
        <v>110788.60800000001</v>
      </c>
      <c r="AO340" s="30">
        <f t="shared" si="157"/>
        <v>126615.55199999998</v>
      </c>
      <c r="AP340" s="30">
        <f t="shared" si="157"/>
        <v>142442.49599999998</v>
      </c>
      <c r="AQ340" s="30">
        <f>AQ339*$E$340</f>
        <v>158269.44</v>
      </c>
      <c r="AR340" s="30">
        <f t="shared" ref="AR340:AU340" si="160">AR339*$E$340</f>
        <v>189923.32799999998</v>
      </c>
      <c r="AS340" s="30">
        <f t="shared" si="160"/>
        <v>221577.21600000001</v>
      </c>
      <c r="AT340" s="30">
        <f t="shared" si="160"/>
        <v>253231.10399999996</v>
      </c>
      <c r="AU340" s="30">
        <f t="shared" si="160"/>
        <v>284884.99199999997</v>
      </c>
      <c r="AV340" s="30">
        <f>AV339*$E$340</f>
        <v>316538.88</v>
      </c>
      <c r="AW340" s="30">
        <f t="shared" ref="AW340:AZ340" si="161">AW339*$E$340</f>
        <v>379846.65599999996</v>
      </c>
      <c r="AX340" s="30">
        <f t="shared" si="161"/>
        <v>443154.43200000003</v>
      </c>
      <c r="AY340" s="30">
        <f t="shared" si="161"/>
        <v>506462.20799999993</v>
      </c>
      <c r="AZ340" s="30">
        <f t="shared" si="161"/>
        <v>569769.98399999994</v>
      </c>
      <c r="BA340" s="30">
        <f>BA339*$E$340</f>
        <v>633077.76000000001</v>
      </c>
      <c r="BB340" s="29">
        <f t="shared" ref="BB340:BG340" si="162">BB339*$E$340</f>
        <v>1266155.52</v>
      </c>
      <c r="BC340" s="30">
        <f t="shared" si="162"/>
        <v>2532311.04</v>
      </c>
      <c r="BD340" s="30">
        <f t="shared" si="162"/>
        <v>5064622.0800000001</v>
      </c>
      <c r="BE340" s="30">
        <f t="shared" si="162"/>
        <v>10129244.16</v>
      </c>
      <c r="BF340" s="30">
        <f t="shared" si="162"/>
        <v>12773050.92</v>
      </c>
      <c r="BG340" s="71">
        <f t="shared" si="162"/>
        <v>12773050.92</v>
      </c>
      <c r="BH340" s="45"/>
    </row>
    <row r="341" spans="1:60" x14ac:dyDescent="0.25">
      <c r="A341" s="48" t="s">
        <v>4</v>
      </c>
      <c r="B341" s="24">
        <v>9.8000000000000004E-2</v>
      </c>
      <c r="C341" s="10">
        <f>$B$267 * B341</f>
        <v>32395419</v>
      </c>
      <c r="D341" s="47"/>
      <c r="E341" s="16"/>
      <c r="F341" s="16"/>
      <c r="G341" s="16"/>
      <c r="H341" s="16"/>
      <c r="I341" s="16"/>
      <c r="J341" s="16"/>
      <c r="K341" s="16"/>
      <c r="L341" s="16"/>
      <c r="M341" s="16"/>
      <c r="N341" s="16"/>
      <c r="O341" s="16"/>
      <c r="P341" s="20">
        <f t="shared" ref="P341:BG341" si="163">P$284*$B$341</f>
        <v>3.0625</v>
      </c>
      <c r="Q341" s="21">
        <f t="shared" si="163"/>
        <v>6.125</v>
      </c>
      <c r="R341" s="21">
        <f t="shared" si="163"/>
        <v>12.25</v>
      </c>
      <c r="S341" s="21">
        <f t="shared" si="163"/>
        <v>24.5</v>
      </c>
      <c r="T341" s="21">
        <f t="shared" si="163"/>
        <v>49</v>
      </c>
      <c r="U341" s="21">
        <f t="shared" si="163"/>
        <v>98</v>
      </c>
      <c r="V341" s="21">
        <f t="shared" si="163"/>
        <v>196</v>
      </c>
      <c r="W341" s="21">
        <f t="shared" si="163"/>
        <v>392</v>
      </c>
      <c r="X341" s="21">
        <f t="shared" si="163"/>
        <v>784</v>
      </c>
      <c r="Y341" s="21">
        <f t="shared" si="163"/>
        <v>1568</v>
      </c>
      <c r="Z341" s="21">
        <f t="shared" si="163"/>
        <v>3136</v>
      </c>
      <c r="AA341" s="21">
        <f t="shared" si="163"/>
        <v>6272</v>
      </c>
      <c r="AB341" s="21">
        <f t="shared" si="163"/>
        <v>12544</v>
      </c>
      <c r="AC341" s="21">
        <f t="shared" si="163"/>
        <v>25088</v>
      </c>
      <c r="AD341" s="21">
        <f t="shared" si="163"/>
        <v>50176</v>
      </c>
      <c r="AE341" s="21">
        <f t="shared" si="163"/>
        <v>62720</v>
      </c>
      <c r="AF341" s="21">
        <f t="shared" si="163"/>
        <v>75264</v>
      </c>
      <c r="AG341" s="21">
        <f t="shared" si="163"/>
        <v>87808</v>
      </c>
      <c r="AH341" s="21">
        <f t="shared" si="163"/>
        <v>100352</v>
      </c>
      <c r="AI341" s="21">
        <f t="shared" si="163"/>
        <v>128450.56</v>
      </c>
      <c r="AJ341" s="21">
        <f t="shared" si="163"/>
        <v>150528</v>
      </c>
      <c r="AK341" s="21">
        <f t="shared" si="163"/>
        <v>175616</v>
      </c>
      <c r="AL341" s="21">
        <f t="shared" si="163"/>
        <v>200704</v>
      </c>
      <c r="AM341" s="21">
        <f t="shared" si="163"/>
        <v>240844.80000000002</v>
      </c>
      <c r="AN341" s="21">
        <f t="shared" si="163"/>
        <v>280985.60000000003</v>
      </c>
      <c r="AO341" s="21">
        <f t="shared" si="163"/>
        <v>321126.40000000002</v>
      </c>
      <c r="AP341" s="21">
        <f t="shared" si="163"/>
        <v>361267.20000000001</v>
      </c>
      <c r="AQ341" s="21">
        <f t="shared" si="163"/>
        <v>401408</v>
      </c>
      <c r="AR341" s="21">
        <f t="shared" si="163"/>
        <v>481689.60000000003</v>
      </c>
      <c r="AS341" s="21">
        <f t="shared" si="163"/>
        <v>561971.20000000007</v>
      </c>
      <c r="AT341" s="21">
        <f t="shared" si="163"/>
        <v>642252.80000000005</v>
      </c>
      <c r="AU341" s="21">
        <f t="shared" si="163"/>
        <v>722534.40000000002</v>
      </c>
      <c r="AV341" s="21">
        <f t="shared" si="163"/>
        <v>802816</v>
      </c>
      <c r="AW341" s="21">
        <f t="shared" si="163"/>
        <v>963379.20000000007</v>
      </c>
      <c r="AX341" s="21">
        <f t="shared" si="163"/>
        <v>1123942.4000000001</v>
      </c>
      <c r="AY341" s="21">
        <f t="shared" si="163"/>
        <v>1284505.6000000001</v>
      </c>
      <c r="AZ341" s="21">
        <f t="shared" si="163"/>
        <v>1445068.8</v>
      </c>
      <c r="BA341" s="21">
        <f t="shared" si="163"/>
        <v>1605632</v>
      </c>
      <c r="BB341" s="20">
        <f t="shared" si="163"/>
        <v>3211264</v>
      </c>
      <c r="BC341" s="21">
        <f t="shared" si="163"/>
        <v>6422528</v>
      </c>
      <c r="BD341" s="21">
        <f t="shared" si="163"/>
        <v>12845056</v>
      </c>
      <c r="BE341" s="21">
        <f t="shared" si="163"/>
        <v>25690112</v>
      </c>
      <c r="BF341" s="21">
        <f t="shared" si="163"/>
        <v>32395419</v>
      </c>
      <c r="BG341" s="72">
        <f t="shared" si="163"/>
        <v>32395419</v>
      </c>
      <c r="BH341" s="45"/>
    </row>
    <row r="342" spans="1:60" x14ac:dyDescent="0.25">
      <c r="A342" s="48"/>
      <c r="B342" s="16"/>
      <c r="C342" s="16"/>
      <c r="D342" s="25"/>
      <c r="E342" s="46">
        <v>7.2999999999999995E-2</v>
      </c>
      <c r="F342" s="16"/>
      <c r="G342" s="16"/>
      <c r="H342" s="16"/>
      <c r="I342" s="16"/>
      <c r="J342" s="16"/>
      <c r="K342" s="16"/>
      <c r="L342" s="16"/>
      <c r="M342" s="16"/>
      <c r="N342" s="16"/>
      <c r="O342" s="16"/>
      <c r="P342" s="29">
        <f t="shared" ref="P342:AP342" si="164">P341*$E$342</f>
        <v>0.2235625</v>
      </c>
      <c r="Q342" s="30">
        <f t="shared" si="164"/>
        <v>0.44712499999999999</v>
      </c>
      <c r="R342" s="30">
        <f t="shared" si="164"/>
        <v>0.89424999999999999</v>
      </c>
      <c r="S342" s="30">
        <f t="shared" si="164"/>
        <v>1.7885</v>
      </c>
      <c r="T342" s="30">
        <f t="shared" si="164"/>
        <v>3.577</v>
      </c>
      <c r="U342" s="30">
        <f t="shared" si="164"/>
        <v>7.1539999999999999</v>
      </c>
      <c r="V342" s="30">
        <f t="shared" si="164"/>
        <v>14.308</v>
      </c>
      <c r="W342" s="30">
        <f t="shared" si="164"/>
        <v>28.616</v>
      </c>
      <c r="X342" s="30">
        <f t="shared" si="164"/>
        <v>57.231999999999999</v>
      </c>
      <c r="Y342" s="30">
        <f t="shared" si="164"/>
        <v>114.464</v>
      </c>
      <c r="Z342" s="30">
        <f t="shared" si="164"/>
        <v>228.928</v>
      </c>
      <c r="AA342" s="30">
        <f t="shared" si="164"/>
        <v>457.85599999999999</v>
      </c>
      <c r="AB342" s="30">
        <f t="shared" si="164"/>
        <v>915.71199999999999</v>
      </c>
      <c r="AC342" s="30">
        <f t="shared" si="164"/>
        <v>1831.424</v>
      </c>
      <c r="AD342" s="30">
        <f t="shared" si="164"/>
        <v>3662.848</v>
      </c>
      <c r="AE342" s="30">
        <f t="shared" ref="AE342:AG342" si="165">AE341*$E$342</f>
        <v>4578.5599999999995</v>
      </c>
      <c r="AF342" s="30">
        <f t="shared" si="165"/>
        <v>5494.2719999999999</v>
      </c>
      <c r="AG342" s="30">
        <f t="shared" si="165"/>
        <v>6409.9839999999995</v>
      </c>
      <c r="AH342" s="30">
        <f t="shared" si="164"/>
        <v>7325.6959999999999</v>
      </c>
      <c r="AI342" s="30">
        <f t="shared" ref="AI342:AK342" si="166">AI341*$E$342</f>
        <v>9376.890879999999</v>
      </c>
      <c r="AJ342" s="30">
        <f t="shared" si="166"/>
        <v>10988.544</v>
      </c>
      <c r="AK342" s="30">
        <f t="shared" si="166"/>
        <v>12819.967999999999</v>
      </c>
      <c r="AL342" s="30">
        <f t="shared" si="164"/>
        <v>14651.392</v>
      </c>
      <c r="AM342" s="30">
        <f t="shared" si="164"/>
        <v>17581.670399999999</v>
      </c>
      <c r="AN342" s="30">
        <f t="shared" si="164"/>
        <v>20511.948800000002</v>
      </c>
      <c r="AO342" s="30">
        <f t="shared" si="164"/>
        <v>23442.227200000001</v>
      </c>
      <c r="AP342" s="30">
        <f t="shared" si="164"/>
        <v>26372.5056</v>
      </c>
      <c r="AQ342" s="30">
        <f>AQ341*$E$342</f>
        <v>29302.784</v>
      </c>
      <c r="AR342" s="30">
        <f t="shared" ref="AR342:AU342" si="167">AR341*$E$342</f>
        <v>35163.340799999998</v>
      </c>
      <c r="AS342" s="30">
        <f t="shared" si="167"/>
        <v>41023.897600000004</v>
      </c>
      <c r="AT342" s="30">
        <f t="shared" si="167"/>
        <v>46884.454400000002</v>
      </c>
      <c r="AU342" s="30">
        <f t="shared" si="167"/>
        <v>52745.011200000001</v>
      </c>
      <c r="AV342" s="30">
        <f>AV341*$E$342</f>
        <v>58605.567999999999</v>
      </c>
      <c r="AW342" s="30">
        <f t="shared" ref="AW342:AZ342" si="168">AW341*$E$342</f>
        <v>70326.681599999996</v>
      </c>
      <c r="AX342" s="30">
        <f t="shared" si="168"/>
        <v>82047.795200000008</v>
      </c>
      <c r="AY342" s="30">
        <f t="shared" si="168"/>
        <v>93768.908800000005</v>
      </c>
      <c r="AZ342" s="30">
        <f t="shared" si="168"/>
        <v>105490.0224</v>
      </c>
      <c r="BA342" s="30">
        <f>BA341*$E$342</f>
        <v>117211.136</v>
      </c>
      <c r="BB342" s="29">
        <f t="shared" ref="BB342:BG342" si="169">BB341*$E$342</f>
        <v>234422.272</v>
      </c>
      <c r="BC342" s="30">
        <f t="shared" si="169"/>
        <v>468844.54399999999</v>
      </c>
      <c r="BD342" s="30">
        <f t="shared" si="169"/>
        <v>937689.08799999999</v>
      </c>
      <c r="BE342" s="30">
        <f t="shared" si="169"/>
        <v>1875378.176</v>
      </c>
      <c r="BF342" s="30">
        <f t="shared" si="169"/>
        <v>2364865.5869999998</v>
      </c>
      <c r="BG342" s="71">
        <f t="shared" si="169"/>
        <v>2364865.5869999998</v>
      </c>
      <c r="BH342" s="45"/>
    </row>
    <row r="343" spans="1:60" x14ac:dyDescent="0.25">
      <c r="A343" s="48" t="s">
        <v>6</v>
      </c>
      <c r="B343" s="24">
        <v>0.13400000000000001</v>
      </c>
      <c r="C343" s="10">
        <f>$B$267 * B343</f>
        <v>44295777</v>
      </c>
      <c r="D343" s="47"/>
      <c r="E343" s="16"/>
      <c r="F343" s="16"/>
      <c r="G343" s="16"/>
      <c r="H343" s="16"/>
      <c r="I343" s="16"/>
      <c r="J343" s="16"/>
      <c r="K343" s="16"/>
      <c r="L343" s="16"/>
      <c r="M343" s="16"/>
      <c r="N343" s="16"/>
      <c r="O343" s="16"/>
      <c r="P343" s="20">
        <f t="shared" ref="P343:BG343" si="170">P$284*$B$343</f>
        <v>4.1875</v>
      </c>
      <c r="Q343" s="21">
        <f t="shared" si="170"/>
        <v>8.375</v>
      </c>
      <c r="R343" s="21">
        <f t="shared" si="170"/>
        <v>16.75</v>
      </c>
      <c r="S343" s="21">
        <f t="shared" si="170"/>
        <v>33.5</v>
      </c>
      <c r="T343" s="21">
        <f t="shared" si="170"/>
        <v>67</v>
      </c>
      <c r="U343" s="21">
        <f t="shared" si="170"/>
        <v>134</v>
      </c>
      <c r="V343" s="21">
        <f t="shared" si="170"/>
        <v>268</v>
      </c>
      <c r="W343" s="21">
        <f t="shared" si="170"/>
        <v>536</v>
      </c>
      <c r="X343" s="21">
        <f t="shared" si="170"/>
        <v>1072</v>
      </c>
      <c r="Y343" s="21">
        <f t="shared" si="170"/>
        <v>2144</v>
      </c>
      <c r="Z343" s="21">
        <f t="shared" si="170"/>
        <v>4288</v>
      </c>
      <c r="AA343" s="21">
        <f t="shared" si="170"/>
        <v>8576</v>
      </c>
      <c r="AB343" s="21">
        <f t="shared" si="170"/>
        <v>17152</v>
      </c>
      <c r="AC343" s="21">
        <f t="shared" si="170"/>
        <v>34304</v>
      </c>
      <c r="AD343" s="21">
        <f t="shared" si="170"/>
        <v>68608</v>
      </c>
      <c r="AE343" s="21">
        <f t="shared" si="170"/>
        <v>85760</v>
      </c>
      <c r="AF343" s="21">
        <f t="shared" si="170"/>
        <v>102912</v>
      </c>
      <c r="AG343" s="21">
        <f t="shared" si="170"/>
        <v>120064</v>
      </c>
      <c r="AH343" s="21">
        <f t="shared" si="170"/>
        <v>137216</v>
      </c>
      <c r="AI343" s="21">
        <f t="shared" si="170"/>
        <v>175636.48000000001</v>
      </c>
      <c r="AJ343" s="21">
        <f t="shared" si="170"/>
        <v>205824</v>
      </c>
      <c r="AK343" s="21">
        <f t="shared" si="170"/>
        <v>240128</v>
      </c>
      <c r="AL343" s="21">
        <f t="shared" si="170"/>
        <v>274432</v>
      </c>
      <c r="AM343" s="21">
        <f t="shared" si="170"/>
        <v>329318.40000000002</v>
      </c>
      <c r="AN343" s="21">
        <f t="shared" si="170"/>
        <v>384204.80000000005</v>
      </c>
      <c r="AO343" s="21">
        <f t="shared" si="170"/>
        <v>439091.20000000001</v>
      </c>
      <c r="AP343" s="21">
        <f t="shared" si="170"/>
        <v>493977.60000000003</v>
      </c>
      <c r="AQ343" s="21">
        <f t="shared" si="170"/>
        <v>548864</v>
      </c>
      <c r="AR343" s="21">
        <f t="shared" si="170"/>
        <v>658636.80000000005</v>
      </c>
      <c r="AS343" s="21">
        <f t="shared" si="170"/>
        <v>768409.60000000009</v>
      </c>
      <c r="AT343" s="21">
        <f t="shared" si="170"/>
        <v>878182.40000000002</v>
      </c>
      <c r="AU343" s="21">
        <f t="shared" si="170"/>
        <v>987955.20000000007</v>
      </c>
      <c r="AV343" s="21">
        <f t="shared" si="170"/>
        <v>1097728</v>
      </c>
      <c r="AW343" s="21">
        <f t="shared" si="170"/>
        <v>1317273.6000000001</v>
      </c>
      <c r="AX343" s="21">
        <f t="shared" si="170"/>
        <v>1536819.2000000002</v>
      </c>
      <c r="AY343" s="21">
        <f t="shared" si="170"/>
        <v>1756364.8</v>
      </c>
      <c r="AZ343" s="21">
        <f t="shared" si="170"/>
        <v>1975910.4000000001</v>
      </c>
      <c r="BA343" s="21">
        <f t="shared" si="170"/>
        <v>2195456</v>
      </c>
      <c r="BB343" s="20">
        <f t="shared" si="170"/>
        <v>4390912</v>
      </c>
      <c r="BC343" s="21">
        <f t="shared" si="170"/>
        <v>8781824</v>
      </c>
      <c r="BD343" s="21">
        <f t="shared" si="170"/>
        <v>17563648</v>
      </c>
      <c r="BE343" s="21">
        <f t="shared" si="170"/>
        <v>35127296</v>
      </c>
      <c r="BF343" s="21">
        <f t="shared" si="170"/>
        <v>44295777</v>
      </c>
      <c r="BG343" s="72">
        <f t="shared" si="170"/>
        <v>44295777</v>
      </c>
      <c r="BH343" s="45"/>
    </row>
    <row r="344" spans="1:60" x14ac:dyDescent="0.25">
      <c r="A344" s="48"/>
      <c r="B344" s="16"/>
      <c r="C344" s="16"/>
      <c r="D344" s="25"/>
      <c r="E344" s="46">
        <v>6.3E-2</v>
      </c>
      <c r="F344" s="16"/>
      <c r="G344" s="16"/>
      <c r="H344" s="16"/>
      <c r="I344" s="16"/>
      <c r="J344" s="16"/>
      <c r="K344" s="16"/>
      <c r="L344" s="16"/>
      <c r="M344" s="16"/>
      <c r="N344" s="16"/>
      <c r="O344" s="16"/>
      <c r="P344" s="29">
        <f t="shared" ref="P344:AP344" si="171">P343*$E$344</f>
        <v>0.26381250000000001</v>
      </c>
      <c r="Q344" s="30">
        <f t="shared" si="171"/>
        <v>0.52762500000000001</v>
      </c>
      <c r="R344" s="30">
        <f t="shared" si="171"/>
        <v>1.05525</v>
      </c>
      <c r="S344" s="30">
        <f t="shared" si="171"/>
        <v>2.1105</v>
      </c>
      <c r="T344" s="30">
        <f t="shared" si="171"/>
        <v>4.2210000000000001</v>
      </c>
      <c r="U344" s="30">
        <f t="shared" si="171"/>
        <v>8.4420000000000002</v>
      </c>
      <c r="V344" s="30">
        <f t="shared" si="171"/>
        <v>16.884</v>
      </c>
      <c r="W344" s="30">
        <f t="shared" si="171"/>
        <v>33.768000000000001</v>
      </c>
      <c r="X344" s="30">
        <f t="shared" si="171"/>
        <v>67.536000000000001</v>
      </c>
      <c r="Y344" s="30">
        <f t="shared" si="171"/>
        <v>135.072</v>
      </c>
      <c r="Z344" s="30">
        <f t="shared" si="171"/>
        <v>270.14400000000001</v>
      </c>
      <c r="AA344" s="30">
        <f t="shared" si="171"/>
        <v>540.28800000000001</v>
      </c>
      <c r="AB344" s="30">
        <f t="shared" si="171"/>
        <v>1080.576</v>
      </c>
      <c r="AC344" s="30">
        <f t="shared" si="171"/>
        <v>2161.152</v>
      </c>
      <c r="AD344" s="30">
        <f t="shared" si="171"/>
        <v>4322.3040000000001</v>
      </c>
      <c r="AE344" s="30">
        <f t="shared" ref="AE344:AG344" si="172">AE343*$E$344</f>
        <v>5402.88</v>
      </c>
      <c r="AF344" s="30">
        <f t="shared" si="172"/>
        <v>6483.4560000000001</v>
      </c>
      <c r="AG344" s="30">
        <f t="shared" si="172"/>
        <v>7564.0320000000002</v>
      </c>
      <c r="AH344" s="30">
        <f t="shared" si="171"/>
        <v>8644.6080000000002</v>
      </c>
      <c r="AI344" s="30">
        <f t="shared" ref="AI344:AK344" si="173">AI343*$E$344</f>
        <v>11065.098240000001</v>
      </c>
      <c r="AJ344" s="30">
        <f t="shared" si="173"/>
        <v>12966.912</v>
      </c>
      <c r="AK344" s="30">
        <f t="shared" si="173"/>
        <v>15128.064</v>
      </c>
      <c r="AL344" s="30">
        <f t="shared" si="171"/>
        <v>17289.216</v>
      </c>
      <c r="AM344" s="30">
        <f t="shared" si="171"/>
        <v>20747.059200000003</v>
      </c>
      <c r="AN344" s="30">
        <f t="shared" si="171"/>
        <v>24204.902400000003</v>
      </c>
      <c r="AO344" s="30">
        <f t="shared" si="171"/>
        <v>27662.745600000002</v>
      </c>
      <c r="AP344" s="30">
        <f t="shared" si="171"/>
        <v>31120.588800000001</v>
      </c>
      <c r="AQ344" s="30">
        <f>AQ343*$E$344</f>
        <v>34578.432000000001</v>
      </c>
      <c r="AR344" s="30">
        <f t="shared" ref="AR344:AU344" si="174">AR343*$E$344</f>
        <v>41494.118400000007</v>
      </c>
      <c r="AS344" s="30">
        <f t="shared" si="174"/>
        <v>48409.804800000005</v>
      </c>
      <c r="AT344" s="30">
        <f t="shared" si="174"/>
        <v>55325.491200000004</v>
      </c>
      <c r="AU344" s="30">
        <f t="shared" si="174"/>
        <v>62241.177600000003</v>
      </c>
      <c r="AV344" s="30">
        <f>AV343*$E$344</f>
        <v>69156.864000000001</v>
      </c>
      <c r="AW344" s="30">
        <f t="shared" ref="AW344:AZ344" si="175">AW343*$E$344</f>
        <v>82988.236800000013</v>
      </c>
      <c r="AX344" s="30">
        <f t="shared" si="175"/>
        <v>96819.609600000011</v>
      </c>
      <c r="AY344" s="30">
        <f t="shared" si="175"/>
        <v>110650.98240000001</v>
      </c>
      <c r="AZ344" s="30">
        <f t="shared" si="175"/>
        <v>124482.35520000001</v>
      </c>
      <c r="BA344" s="30">
        <f>BA343*$E$344</f>
        <v>138313.728</v>
      </c>
      <c r="BB344" s="29">
        <f t="shared" ref="BB344:BG344" si="176">BB343*$E$344</f>
        <v>276627.45600000001</v>
      </c>
      <c r="BC344" s="30">
        <f t="shared" si="176"/>
        <v>553254.91200000001</v>
      </c>
      <c r="BD344" s="30">
        <f t="shared" si="176"/>
        <v>1106509.824</v>
      </c>
      <c r="BE344" s="30">
        <f t="shared" si="176"/>
        <v>2213019.648</v>
      </c>
      <c r="BF344" s="30">
        <f t="shared" si="176"/>
        <v>2790633.9509999999</v>
      </c>
      <c r="BG344" s="71">
        <f t="shared" si="176"/>
        <v>2790633.9509999999</v>
      </c>
      <c r="BH344" s="45"/>
    </row>
    <row r="345" spans="1:60" x14ac:dyDescent="0.25">
      <c r="A345" s="48" t="s">
        <v>7</v>
      </c>
      <c r="B345" s="24">
        <v>0.46</v>
      </c>
      <c r="C345" s="10">
        <f>$B$267 * B345</f>
        <v>152060130</v>
      </c>
      <c r="D345" s="47"/>
      <c r="E345" s="16"/>
      <c r="F345" s="16"/>
      <c r="G345" s="16"/>
      <c r="H345" s="16"/>
      <c r="I345" s="16"/>
      <c r="J345" s="16"/>
      <c r="K345" s="16"/>
      <c r="L345" s="16"/>
      <c r="M345" s="16"/>
      <c r="N345" s="16"/>
      <c r="O345" s="16"/>
      <c r="P345" s="20">
        <f t="shared" ref="P345:BG345" si="177">P$284*$B$345</f>
        <v>14.375</v>
      </c>
      <c r="Q345" s="21">
        <f t="shared" si="177"/>
        <v>28.75</v>
      </c>
      <c r="R345" s="21">
        <f t="shared" si="177"/>
        <v>57.5</v>
      </c>
      <c r="S345" s="21">
        <f t="shared" si="177"/>
        <v>115</v>
      </c>
      <c r="T345" s="21">
        <f t="shared" si="177"/>
        <v>230</v>
      </c>
      <c r="U345" s="21">
        <f t="shared" si="177"/>
        <v>460</v>
      </c>
      <c r="V345" s="21">
        <f t="shared" si="177"/>
        <v>920</v>
      </c>
      <c r="W345" s="21">
        <f t="shared" si="177"/>
        <v>1840</v>
      </c>
      <c r="X345" s="21">
        <f t="shared" si="177"/>
        <v>3680</v>
      </c>
      <c r="Y345" s="21">
        <f t="shared" si="177"/>
        <v>7360</v>
      </c>
      <c r="Z345" s="21">
        <f t="shared" si="177"/>
        <v>14720</v>
      </c>
      <c r="AA345" s="21">
        <f t="shared" si="177"/>
        <v>29440</v>
      </c>
      <c r="AB345" s="21">
        <f t="shared" si="177"/>
        <v>58880</v>
      </c>
      <c r="AC345" s="21">
        <f t="shared" si="177"/>
        <v>117760</v>
      </c>
      <c r="AD345" s="21">
        <f t="shared" si="177"/>
        <v>235520</v>
      </c>
      <c r="AE345" s="21">
        <f t="shared" si="177"/>
        <v>294400</v>
      </c>
      <c r="AF345" s="21">
        <f t="shared" si="177"/>
        <v>353280</v>
      </c>
      <c r="AG345" s="21">
        <f t="shared" si="177"/>
        <v>412160</v>
      </c>
      <c r="AH345" s="21">
        <f t="shared" si="177"/>
        <v>471040</v>
      </c>
      <c r="AI345" s="21">
        <f t="shared" si="177"/>
        <v>602931.20000000007</v>
      </c>
      <c r="AJ345" s="21">
        <f t="shared" si="177"/>
        <v>706560</v>
      </c>
      <c r="AK345" s="21">
        <f t="shared" si="177"/>
        <v>824320</v>
      </c>
      <c r="AL345" s="21">
        <f t="shared" si="177"/>
        <v>942080</v>
      </c>
      <c r="AM345" s="21">
        <f t="shared" si="177"/>
        <v>1130496</v>
      </c>
      <c r="AN345" s="21">
        <f t="shared" si="177"/>
        <v>1318912</v>
      </c>
      <c r="AO345" s="21">
        <f t="shared" si="177"/>
        <v>1507328</v>
      </c>
      <c r="AP345" s="21">
        <f t="shared" si="177"/>
        <v>1695744</v>
      </c>
      <c r="AQ345" s="21">
        <f t="shared" si="177"/>
        <v>1884160</v>
      </c>
      <c r="AR345" s="21">
        <f t="shared" si="177"/>
        <v>2260992</v>
      </c>
      <c r="AS345" s="21">
        <f t="shared" si="177"/>
        <v>2637824</v>
      </c>
      <c r="AT345" s="21">
        <f t="shared" si="177"/>
        <v>3014656</v>
      </c>
      <c r="AU345" s="21">
        <f t="shared" si="177"/>
        <v>3391488</v>
      </c>
      <c r="AV345" s="21">
        <f t="shared" si="177"/>
        <v>3768320</v>
      </c>
      <c r="AW345" s="21">
        <f t="shared" si="177"/>
        <v>4521984</v>
      </c>
      <c r="AX345" s="21">
        <f t="shared" si="177"/>
        <v>5275648</v>
      </c>
      <c r="AY345" s="21">
        <f t="shared" si="177"/>
        <v>6029312</v>
      </c>
      <c r="AZ345" s="21">
        <f t="shared" si="177"/>
        <v>6782976</v>
      </c>
      <c r="BA345" s="21">
        <f t="shared" si="177"/>
        <v>7536640</v>
      </c>
      <c r="BB345" s="20">
        <f t="shared" si="177"/>
        <v>15073280</v>
      </c>
      <c r="BC345" s="21">
        <f t="shared" si="177"/>
        <v>30146560</v>
      </c>
      <c r="BD345" s="21">
        <f t="shared" si="177"/>
        <v>60293120</v>
      </c>
      <c r="BE345" s="21">
        <f t="shared" si="177"/>
        <v>120586240</v>
      </c>
      <c r="BF345" s="21">
        <f t="shared" si="177"/>
        <v>152060130</v>
      </c>
      <c r="BG345" s="72">
        <f t="shared" si="177"/>
        <v>152060130</v>
      </c>
      <c r="BH345" s="45"/>
    </row>
    <row r="346" spans="1:60" x14ac:dyDescent="0.25">
      <c r="A346" s="48"/>
      <c r="B346" s="16"/>
      <c r="C346" s="16"/>
      <c r="D346" s="25"/>
      <c r="E346" s="46">
        <v>0.06</v>
      </c>
      <c r="F346" s="16"/>
      <c r="G346" s="16"/>
      <c r="H346" s="16"/>
      <c r="I346" s="16"/>
      <c r="J346" s="16"/>
      <c r="K346" s="16"/>
      <c r="L346" s="16"/>
      <c r="M346" s="16"/>
      <c r="N346" s="16"/>
      <c r="O346" s="16"/>
      <c r="P346" s="29">
        <f t="shared" ref="P346:AP346" si="178">P345*$E$346</f>
        <v>0.86249999999999993</v>
      </c>
      <c r="Q346" s="30">
        <f t="shared" si="178"/>
        <v>1.7249999999999999</v>
      </c>
      <c r="R346" s="30">
        <f t="shared" si="178"/>
        <v>3.4499999999999997</v>
      </c>
      <c r="S346" s="30">
        <f t="shared" si="178"/>
        <v>6.8999999999999995</v>
      </c>
      <c r="T346" s="30">
        <f t="shared" si="178"/>
        <v>13.799999999999999</v>
      </c>
      <c r="U346" s="30">
        <f t="shared" si="178"/>
        <v>27.599999999999998</v>
      </c>
      <c r="V346" s="30">
        <f t="shared" si="178"/>
        <v>55.199999999999996</v>
      </c>
      <c r="W346" s="30">
        <f t="shared" si="178"/>
        <v>110.39999999999999</v>
      </c>
      <c r="X346" s="30">
        <f t="shared" si="178"/>
        <v>220.79999999999998</v>
      </c>
      <c r="Y346" s="30">
        <f t="shared" si="178"/>
        <v>441.59999999999997</v>
      </c>
      <c r="Z346" s="30">
        <f t="shared" si="178"/>
        <v>883.19999999999993</v>
      </c>
      <c r="AA346" s="30">
        <f t="shared" si="178"/>
        <v>1766.3999999999999</v>
      </c>
      <c r="AB346" s="30">
        <f t="shared" si="178"/>
        <v>3532.7999999999997</v>
      </c>
      <c r="AC346" s="30">
        <f t="shared" si="178"/>
        <v>7065.5999999999995</v>
      </c>
      <c r="AD346" s="30">
        <f t="shared" si="178"/>
        <v>14131.199999999999</v>
      </c>
      <c r="AE346" s="30">
        <f t="shared" ref="AE346:AG346" si="179">AE345*$E$346</f>
        <v>17664</v>
      </c>
      <c r="AF346" s="30">
        <f t="shared" si="179"/>
        <v>21196.799999999999</v>
      </c>
      <c r="AG346" s="30">
        <f t="shared" si="179"/>
        <v>24729.599999999999</v>
      </c>
      <c r="AH346" s="30">
        <f t="shared" si="178"/>
        <v>28262.399999999998</v>
      </c>
      <c r="AI346" s="30">
        <f t="shared" ref="AI346:AK346" si="180">AI345*$E$346</f>
        <v>36175.872000000003</v>
      </c>
      <c r="AJ346" s="30">
        <f t="shared" si="180"/>
        <v>42393.599999999999</v>
      </c>
      <c r="AK346" s="30">
        <f t="shared" si="180"/>
        <v>49459.199999999997</v>
      </c>
      <c r="AL346" s="30">
        <f t="shared" si="178"/>
        <v>56524.799999999996</v>
      </c>
      <c r="AM346" s="30">
        <f t="shared" si="178"/>
        <v>67829.759999999995</v>
      </c>
      <c r="AN346" s="30">
        <f t="shared" si="178"/>
        <v>79134.720000000001</v>
      </c>
      <c r="AO346" s="30">
        <f t="shared" si="178"/>
        <v>90439.679999999993</v>
      </c>
      <c r="AP346" s="30">
        <f t="shared" si="178"/>
        <v>101744.64</v>
      </c>
      <c r="AQ346" s="30">
        <f>AQ345*$E$346</f>
        <v>113049.59999999999</v>
      </c>
      <c r="AR346" s="30">
        <f t="shared" ref="AR346:AU346" si="181">AR345*$E$346</f>
        <v>135659.51999999999</v>
      </c>
      <c r="AS346" s="30">
        <f t="shared" si="181"/>
        <v>158269.44</v>
      </c>
      <c r="AT346" s="30">
        <f t="shared" si="181"/>
        <v>180879.35999999999</v>
      </c>
      <c r="AU346" s="30">
        <f t="shared" si="181"/>
        <v>203489.28</v>
      </c>
      <c r="AV346" s="30">
        <f>AV345*$E$346</f>
        <v>226099.19999999998</v>
      </c>
      <c r="AW346" s="30">
        <f t="shared" ref="AW346:AZ346" si="182">AW345*$E$346</f>
        <v>271319.03999999998</v>
      </c>
      <c r="AX346" s="30">
        <f t="shared" si="182"/>
        <v>316538.88</v>
      </c>
      <c r="AY346" s="30">
        <f t="shared" si="182"/>
        <v>361758.71999999997</v>
      </c>
      <c r="AZ346" s="30">
        <f t="shared" si="182"/>
        <v>406978.56</v>
      </c>
      <c r="BA346" s="30">
        <f>BA345*$E$346</f>
        <v>452198.39999999997</v>
      </c>
      <c r="BB346" s="29">
        <f t="shared" ref="BB346:BG346" si="183">BB345*$E$346</f>
        <v>904396.79999999993</v>
      </c>
      <c r="BC346" s="30">
        <f t="shared" si="183"/>
        <v>1808793.5999999999</v>
      </c>
      <c r="BD346" s="30">
        <f t="shared" si="183"/>
        <v>3617587.1999999997</v>
      </c>
      <c r="BE346" s="30">
        <f t="shared" si="183"/>
        <v>7235174.3999999994</v>
      </c>
      <c r="BF346" s="30">
        <f t="shared" si="183"/>
        <v>9123607.7999999989</v>
      </c>
      <c r="BG346" s="71">
        <f t="shared" si="183"/>
        <v>9123607.7999999989</v>
      </c>
      <c r="BH346" s="45"/>
    </row>
    <row r="347" spans="1:60" x14ac:dyDescent="0.25">
      <c r="A347" s="48" t="s">
        <v>8</v>
      </c>
      <c r="B347" s="24">
        <v>4.3899999999999998E-3</v>
      </c>
      <c r="C347" s="10">
        <f>$B$267 * B347</f>
        <v>1451182.5449999999</v>
      </c>
      <c r="D347" s="47"/>
      <c r="E347" s="16"/>
      <c r="F347" s="16"/>
      <c r="G347" s="16"/>
      <c r="H347" s="16"/>
      <c r="I347" s="16"/>
      <c r="J347" s="16"/>
      <c r="K347" s="16"/>
      <c r="L347" s="16"/>
      <c r="M347" s="16"/>
      <c r="N347" s="16"/>
      <c r="O347" s="16"/>
      <c r="P347" s="20">
        <f t="shared" ref="P347:BG347" si="184">P$284*$B$347</f>
        <v>0.13718749999999999</v>
      </c>
      <c r="Q347" s="21">
        <f t="shared" si="184"/>
        <v>0.27437499999999998</v>
      </c>
      <c r="R347" s="21">
        <f t="shared" si="184"/>
        <v>0.54874999999999996</v>
      </c>
      <c r="S347" s="21">
        <f t="shared" si="184"/>
        <v>1.0974999999999999</v>
      </c>
      <c r="T347" s="21">
        <f t="shared" si="184"/>
        <v>2.1949999999999998</v>
      </c>
      <c r="U347" s="21">
        <f t="shared" si="184"/>
        <v>4.3899999999999997</v>
      </c>
      <c r="V347" s="21">
        <f t="shared" si="184"/>
        <v>8.7799999999999994</v>
      </c>
      <c r="W347" s="21">
        <f t="shared" si="184"/>
        <v>17.559999999999999</v>
      </c>
      <c r="X347" s="21">
        <f t="shared" si="184"/>
        <v>35.119999999999997</v>
      </c>
      <c r="Y347" s="21">
        <f t="shared" si="184"/>
        <v>70.239999999999995</v>
      </c>
      <c r="Z347" s="21">
        <f t="shared" si="184"/>
        <v>140.47999999999999</v>
      </c>
      <c r="AA347" s="21">
        <f t="shared" si="184"/>
        <v>280.95999999999998</v>
      </c>
      <c r="AB347" s="21">
        <f t="shared" si="184"/>
        <v>561.91999999999996</v>
      </c>
      <c r="AC347" s="21">
        <f t="shared" si="184"/>
        <v>1123.8399999999999</v>
      </c>
      <c r="AD347" s="21">
        <f t="shared" si="184"/>
        <v>2247.6799999999998</v>
      </c>
      <c r="AE347" s="21">
        <f t="shared" si="184"/>
        <v>2809.6</v>
      </c>
      <c r="AF347" s="21">
        <f t="shared" si="184"/>
        <v>3371.52</v>
      </c>
      <c r="AG347" s="21">
        <f t="shared" si="184"/>
        <v>3933.4399999999996</v>
      </c>
      <c r="AH347" s="21">
        <f t="shared" si="184"/>
        <v>4495.3599999999997</v>
      </c>
      <c r="AI347" s="21">
        <f t="shared" si="184"/>
        <v>5754.0607999999993</v>
      </c>
      <c r="AJ347" s="21">
        <f t="shared" si="184"/>
        <v>6743.04</v>
      </c>
      <c r="AK347" s="21">
        <f t="shared" si="184"/>
        <v>7866.8799999999992</v>
      </c>
      <c r="AL347" s="21">
        <f t="shared" si="184"/>
        <v>8990.7199999999993</v>
      </c>
      <c r="AM347" s="21">
        <f t="shared" si="184"/>
        <v>10788.864</v>
      </c>
      <c r="AN347" s="21">
        <f t="shared" si="184"/>
        <v>12587.008</v>
      </c>
      <c r="AO347" s="21">
        <f t="shared" si="184"/>
        <v>14385.152</v>
      </c>
      <c r="AP347" s="21">
        <f t="shared" si="184"/>
        <v>16183.295999999998</v>
      </c>
      <c r="AQ347" s="21">
        <f t="shared" si="184"/>
        <v>17981.439999999999</v>
      </c>
      <c r="AR347" s="21">
        <f t="shared" si="184"/>
        <v>21577.727999999999</v>
      </c>
      <c r="AS347" s="21">
        <f t="shared" si="184"/>
        <v>25174.016</v>
      </c>
      <c r="AT347" s="21">
        <f t="shared" si="184"/>
        <v>28770.304</v>
      </c>
      <c r="AU347" s="21">
        <f t="shared" si="184"/>
        <v>32366.591999999997</v>
      </c>
      <c r="AV347" s="21">
        <f t="shared" si="184"/>
        <v>35962.879999999997</v>
      </c>
      <c r="AW347" s="21">
        <f t="shared" si="184"/>
        <v>43155.455999999998</v>
      </c>
      <c r="AX347" s="21">
        <f t="shared" si="184"/>
        <v>50348.031999999999</v>
      </c>
      <c r="AY347" s="21">
        <f t="shared" si="184"/>
        <v>57540.608</v>
      </c>
      <c r="AZ347" s="21">
        <f t="shared" si="184"/>
        <v>64733.183999999994</v>
      </c>
      <c r="BA347" s="21">
        <f t="shared" si="184"/>
        <v>71925.759999999995</v>
      </c>
      <c r="BB347" s="20">
        <f t="shared" si="184"/>
        <v>143851.51999999999</v>
      </c>
      <c r="BC347" s="21">
        <f t="shared" si="184"/>
        <v>287703.03999999998</v>
      </c>
      <c r="BD347" s="21">
        <f t="shared" si="184"/>
        <v>575406.07999999996</v>
      </c>
      <c r="BE347" s="21">
        <f t="shared" si="184"/>
        <v>1150812.1599999999</v>
      </c>
      <c r="BF347" s="21">
        <f t="shared" si="184"/>
        <v>1451182.5449999999</v>
      </c>
      <c r="BG347" s="72">
        <f t="shared" si="184"/>
        <v>1451182.5449999999</v>
      </c>
      <c r="BH347" s="45"/>
    </row>
    <row r="348" spans="1:60" x14ac:dyDescent="0.25">
      <c r="A348" s="48"/>
      <c r="B348" s="16"/>
      <c r="C348" s="16"/>
      <c r="D348" s="25"/>
      <c r="E348" s="46">
        <v>5.6000000000000001E-2</v>
      </c>
      <c r="F348" s="16"/>
      <c r="G348" s="16"/>
      <c r="H348" s="16"/>
      <c r="I348" s="16"/>
      <c r="J348" s="16"/>
      <c r="K348" s="16"/>
      <c r="L348" s="16"/>
      <c r="M348" s="16"/>
      <c r="N348" s="16"/>
      <c r="O348" s="16"/>
      <c r="P348" s="29">
        <f t="shared" ref="P348:AP348" si="185">P347*$E$348</f>
        <v>7.6824999999999992E-3</v>
      </c>
      <c r="Q348" s="30">
        <f t="shared" si="185"/>
        <v>1.5364999999999998E-2</v>
      </c>
      <c r="R348" s="30">
        <f t="shared" si="185"/>
        <v>3.0729999999999997E-2</v>
      </c>
      <c r="S348" s="30">
        <f t="shared" si="185"/>
        <v>6.1459999999999994E-2</v>
      </c>
      <c r="T348" s="30">
        <f t="shared" si="185"/>
        <v>0.12291999999999999</v>
      </c>
      <c r="U348" s="30">
        <f t="shared" si="185"/>
        <v>0.24583999999999998</v>
      </c>
      <c r="V348" s="30">
        <f t="shared" si="185"/>
        <v>0.49167999999999995</v>
      </c>
      <c r="W348" s="30">
        <f t="shared" si="185"/>
        <v>0.9833599999999999</v>
      </c>
      <c r="X348" s="30">
        <f t="shared" si="185"/>
        <v>1.9667199999999998</v>
      </c>
      <c r="Y348" s="30">
        <f t="shared" si="185"/>
        <v>3.9334399999999996</v>
      </c>
      <c r="Z348" s="30">
        <f t="shared" si="185"/>
        <v>7.8668799999999992</v>
      </c>
      <c r="AA348" s="30">
        <f t="shared" si="185"/>
        <v>15.733759999999998</v>
      </c>
      <c r="AB348" s="30">
        <f t="shared" si="185"/>
        <v>31.467519999999997</v>
      </c>
      <c r="AC348" s="30">
        <f t="shared" si="185"/>
        <v>62.935039999999994</v>
      </c>
      <c r="AD348" s="30">
        <f t="shared" si="185"/>
        <v>125.87007999999999</v>
      </c>
      <c r="AE348" s="30">
        <f t="shared" ref="AE348:AG348" si="186">AE347*$E$348</f>
        <v>157.33760000000001</v>
      </c>
      <c r="AF348" s="30">
        <f t="shared" si="186"/>
        <v>188.80512000000002</v>
      </c>
      <c r="AG348" s="30">
        <f t="shared" si="186"/>
        <v>220.27264</v>
      </c>
      <c r="AH348" s="30">
        <f t="shared" si="185"/>
        <v>251.74015999999997</v>
      </c>
      <c r="AI348" s="30">
        <f t="shared" ref="AI348:AK348" si="187">AI347*$E$348</f>
        <v>322.22740479999999</v>
      </c>
      <c r="AJ348" s="30">
        <f t="shared" si="187"/>
        <v>377.61024000000003</v>
      </c>
      <c r="AK348" s="30">
        <f t="shared" si="187"/>
        <v>440.54527999999999</v>
      </c>
      <c r="AL348" s="30">
        <f t="shared" si="185"/>
        <v>503.48031999999995</v>
      </c>
      <c r="AM348" s="30">
        <f t="shared" si="185"/>
        <v>604.17638399999998</v>
      </c>
      <c r="AN348" s="30">
        <f t="shared" si="185"/>
        <v>704.87244799999996</v>
      </c>
      <c r="AO348" s="30">
        <f t="shared" si="185"/>
        <v>805.56851200000006</v>
      </c>
      <c r="AP348" s="30">
        <f t="shared" si="185"/>
        <v>906.26457599999992</v>
      </c>
      <c r="AQ348" s="30">
        <f>AQ347*$E$348</f>
        <v>1006.9606399999999</v>
      </c>
      <c r="AR348" s="30">
        <f t="shared" ref="AR348:AU348" si="188">AR347*$E$348</f>
        <v>1208.352768</v>
      </c>
      <c r="AS348" s="30">
        <f t="shared" si="188"/>
        <v>1409.7448959999999</v>
      </c>
      <c r="AT348" s="30">
        <f t="shared" si="188"/>
        <v>1611.1370240000001</v>
      </c>
      <c r="AU348" s="30">
        <f t="shared" si="188"/>
        <v>1812.5291519999998</v>
      </c>
      <c r="AV348" s="30">
        <f>AV347*$E$348</f>
        <v>2013.9212799999998</v>
      </c>
      <c r="AW348" s="30">
        <f t="shared" ref="AW348:AZ348" si="189">AW347*$E$348</f>
        <v>2416.7055359999999</v>
      </c>
      <c r="AX348" s="30">
        <f t="shared" si="189"/>
        <v>2819.4897919999999</v>
      </c>
      <c r="AY348" s="30">
        <f t="shared" si="189"/>
        <v>3222.2740480000002</v>
      </c>
      <c r="AZ348" s="30">
        <f t="shared" si="189"/>
        <v>3625.0583039999997</v>
      </c>
      <c r="BA348" s="30">
        <f>BA347*$E$348</f>
        <v>4027.8425599999996</v>
      </c>
      <c r="BB348" s="29">
        <f t="shared" ref="BB348:BG348" si="190">BB347*$E$348</f>
        <v>8055.6851199999992</v>
      </c>
      <c r="BC348" s="30">
        <f t="shared" si="190"/>
        <v>16111.370239999998</v>
      </c>
      <c r="BD348" s="30">
        <f t="shared" si="190"/>
        <v>32222.740479999997</v>
      </c>
      <c r="BE348" s="30">
        <f t="shared" si="190"/>
        <v>64445.480959999994</v>
      </c>
      <c r="BF348" s="30">
        <f t="shared" si="190"/>
        <v>81266.222519999996</v>
      </c>
      <c r="BG348" s="71">
        <f t="shared" si="190"/>
        <v>81266.222519999996</v>
      </c>
      <c r="BH348" s="45"/>
    </row>
    <row r="349" spans="1:60" x14ac:dyDescent="0.25">
      <c r="A349" s="48" t="s">
        <v>9</v>
      </c>
      <c r="B349" s="24">
        <v>0.155</v>
      </c>
      <c r="C349" s="10">
        <f>$B$267 * B349</f>
        <v>51237652.5</v>
      </c>
      <c r="D349" s="47"/>
      <c r="E349" s="16"/>
      <c r="F349" s="16"/>
      <c r="G349" s="16"/>
      <c r="H349" s="16"/>
      <c r="I349" s="16"/>
      <c r="J349" s="16"/>
      <c r="K349" s="16"/>
      <c r="L349" s="16"/>
      <c r="M349" s="16"/>
      <c r="N349" s="16"/>
      <c r="O349" s="16"/>
      <c r="P349" s="20">
        <f t="shared" ref="P349:BG349" si="191">P$284*$B$349</f>
        <v>4.84375</v>
      </c>
      <c r="Q349" s="21">
        <f t="shared" si="191"/>
        <v>9.6875</v>
      </c>
      <c r="R349" s="21">
        <f t="shared" si="191"/>
        <v>19.375</v>
      </c>
      <c r="S349" s="21">
        <f t="shared" si="191"/>
        <v>38.75</v>
      </c>
      <c r="T349" s="21">
        <f t="shared" si="191"/>
        <v>77.5</v>
      </c>
      <c r="U349" s="21">
        <f t="shared" si="191"/>
        <v>155</v>
      </c>
      <c r="V349" s="21">
        <f t="shared" si="191"/>
        <v>310</v>
      </c>
      <c r="W349" s="21">
        <f t="shared" si="191"/>
        <v>620</v>
      </c>
      <c r="X349" s="21">
        <f t="shared" si="191"/>
        <v>1240</v>
      </c>
      <c r="Y349" s="21">
        <f t="shared" si="191"/>
        <v>2480</v>
      </c>
      <c r="Z349" s="21">
        <f t="shared" si="191"/>
        <v>4960</v>
      </c>
      <c r="AA349" s="21">
        <f t="shared" si="191"/>
        <v>9920</v>
      </c>
      <c r="AB349" s="21">
        <f t="shared" si="191"/>
        <v>19840</v>
      </c>
      <c r="AC349" s="21">
        <f t="shared" si="191"/>
        <v>39680</v>
      </c>
      <c r="AD349" s="21">
        <f t="shared" si="191"/>
        <v>79360</v>
      </c>
      <c r="AE349" s="21">
        <f t="shared" si="191"/>
        <v>99200</v>
      </c>
      <c r="AF349" s="21">
        <f t="shared" si="191"/>
        <v>119040</v>
      </c>
      <c r="AG349" s="21">
        <f t="shared" si="191"/>
        <v>138880</v>
      </c>
      <c r="AH349" s="21">
        <f t="shared" si="191"/>
        <v>158720</v>
      </c>
      <c r="AI349" s="21">
        <f t="shared" si="191"/>
        <v>203161.60000000001</v>
      </c>
      <c r="AJ349" s="21">
        <f t="shared" si="191"/>
        <v>238080</v>
      </c>
      <c r="AK349" s="21">
        <f t="shared" si="191"/>
        <v>277760</v>
      </c>
      <c r="AL349" s="21">
        <f t="shared" si="191"/>
        <v>317440</v>
      </c>
      <c r="AM349" s="21">
        <f t="shared" si="191"/>
        <v>380928</v>
      </c>
      <c r="AN349" s="21">
        <f t="shared" si="191"/>
        <v>444416</v>
      </c>
      <c r="AO349" s="21">
        <f t="shared" si="191"/>
        <v>507904</v>
      </c>
      <c r="AP349" s="21">
        <f t="shared" si="191"/>
        <v>571392</v>
      </c>
      <c r="AQ349" s="21">
        <f t="shared" si="191"/>
        <v>634880</v>
      </c>
      <c r="AR349" s="21">
        <f t="shared" si="191"/>
        <v>761856</v>
      </c>
      <c r="AS349" s="21">
        <f t="shared" si="191"/>
        <v>888832</v>
      </c>
      <c r="AT349" s="21">
        <f t="shared" si="191"/>
        <v>1015808</v>
      </c>
      <c r="AU349" s="21">
        <f t="shared" si="191"/>
        <v>1142784</v>
      </c>
      <c r="AV349" s="21">
        <f t="shared" si="191"/>
        <v>1269760</v>
      </c>
      <c r="AW349" s="21">
        <f t="shared" si="191"/>
        <v>1523712</v>
      </c>
      <c r="AX349" s="21">
        <f t="shared" si="191"/>
        <v>1777664</v>
      </c>
      <c r="AY349" s="21">
        <f t="shared" si="191"/>
        <v>2031616</v>
      </c>
      <c r="AZ349" s="21">
        <f t="shared" si="191"/>
        <v>2285568</v>
      </c>
      <c r="BA349" s="21">
        <f t="shared" si="191"/>
        <v>2539520</v>
      </c>
      <c r="BB349" s="20">
        <f t="shared" si="191"/>
        <v>5079040</v>
      </c>
      <c r="BC349" s="21">
        <f t="shared" si="191"/>
        <v>10158080</v>
      </c>
      <c r="BD349" s="21">
        <f t="shared" si="191"/>
        <v>20316160</v>
      </c>
      <c r="BE349" s="21">
        <f t="shared" si="191"/>
        <v>40632320</v>
      </c>
      <c r="BF349" s="21">
        <f t="shared" si="191"/>
        <v>51237652.5</v>
      </c>
      <c r="BG349" s="72">
        <f t="shared" si="191"/>
        <v>51237652.5</v>
      </c>
      <c r="BH349" s="45"/>
    </row>
    <row r="350" spans="1:60" x14ac:dyDescent="0.25">
      <c r="A350" s="37"/>
      <c r="B350" s="39"/>
      <c r="C350" s="39"/>
      <c r="D350" s="55"/>
      <c r="E350" s="56" t="s">
        <v>10</v>
      </c>
      <c r="F350" s="39"/>
      <c r="G350" s="39"/>
      <c r="H350" s="39"/>
      <c r="I350" s="39"/>
      <c r="J350" s="39"/>
      <c r="K350" s="39"/>
      <c r="L350" s="39"/>
      <c r="M350" s="39"/>
      <c r="N350" s="39"/>
      <c r="O350" s="39"/>
      <c r="P350" s="31" t="s">
        <v>10</v>
      </c>
      <c r="Q350" s="32" t="s">
        <v>10</v>
      </c>
      <c r="R350" s="32" t="s">
        <v>10</v>
      </c>
      <c r="S350" s="32" t="s">
        <v>10</v>
      </c>
      <c r="T350" s="32" t="s">
        <v>10</v>
      </c>
      <c r="U350" s="32" t="s">
        <v>10</v>
      </c>
      <c r="V350" s="32" t="s">
        <v>10</v>
      </c>
      <c r="W350" s="32" t="s">
        <v>10</v>
      </c>
      <c r="X350" s="32" t="s">
        <v>10</v>
      </c>
      <c r="Y350" s="32" t="s">
        <v>10</v>
      </c>
      <c r="Z350" s="32" t="s">
        <v>10</v>
      </c>
      <c r="AA350" s="32" t="s">
        <v>10</v>
      </c>
      <c r="AB350" s="32" t="s">
        <v>10</v>
      </c>
      <c r="AC350" s="32" t="s">
        <v>10</v>
      </c>
      <c r="AD350" s="32" t="s">
        <v>10</v>
      </c>
      <c r="AE350" s="32" t="s">
        <v>10</v>
      </c>
      <c r="AF350" s="32" t="s">
        <v>10</v>
      </c>
      <c r="AG350" s="32" t="s">
        <v>10</v>
      </c>
      <c r="AH350" s="32" t="s">
        <v>10</v>
      </c>
      <c r="AI350" s="32" t="s">
        <v>10</v>
      </c>
      <c r="AJ350" s="32" t="s">
        <v>10</v>
      </c>
      <c r="AK350" s="32" t="s">
        <v>10</v>
      </c>
      <c r="AL350" s="32" t="s">
        <v>10</v>
      </c>
      <c r="AM350" s="32" t="s">
        <v>10</v>
      </c>
      <c r="AN350" s="32" t="s">
        <v>10</v>
      </c>
      <c r="AO350" s="32" t="s">
        <v>10</v>
      </c>
      <c r="AP350" s="32" t="s">
        <v>10</v>
      </c>
      <c r="AQ350" s="32" t="s">
        <v>10</v>
      </c>
      <c r="AR350" s="32" t="s">
        <v>10</v>
      </c>
      <c r="AS350" s="32" t="s">
        <v>10</v>
      </c>
      <c r="AT350" s="32" t="s">
        <v>10</v>
      </c>
      <c r="AU350" s="32" t="s">
        <v>10</v>
      </c>
      <c r="AV350" s="32" t="s">
        <v>10</v>
      </c>
      <c r="AW350" s="32" t="s">
        <v>10</v>
      </c>
      <c r="AX350" s="32" t="s">
        <v>10</v>
      </c>
      <c r="AY350" s="32" t="s">
        <v>10</v>
      </c>
      <c r="AZ350" s="32" t="s">
        <v>10</v>
      </c>
      <c r="BA350" s="32" t="s">
        <v>10</v>
      </c>
      <c r="BB350" s="29" t="s">
        <v>10</v>
      </c>
      <c r="BC350" s="30" t="s">
        <v>10</v>
      </c>
      <c r="BD350" s="30" t="s">
        <v>10</v>
      </c>
      <c r="BE350" s="30" t="s">
        <v>10</v>
      </c>
      <c r="BF350" s="30" t="s">
        <v>10</v>
      </c>
      <c r="BG350" s="71" t="s">
        <v>10</v>
      </c>
      <c r="BH350" s="45"/>
    </row>
    <row r="351" spans="1:60" x14ac:dyDescent="0.25">
      <c r="A351" s="41"/>
      <c r="B351" s="16"/>
      <c r="C351" s="16"/>
      <c r="D351" s="47"/>
      <c r="E351" s="16"/>
      <c r="F351" s="16"/>
      <c r="G351" s="16"/>
      <c r="H351" s="16"/>
      <c r="I351" s="16"/>
      <c r="J351" s="16"/>
      <c r="K351" s="16"/>
      <c r="L351" s="16"/>
      <c r="M351" s="16"/>
      <c r="N351" s="16"/>
      <c r="O351" s="16"/>
      <c r="P351" s="20">
        <f>SUM(P339,P341,P343,P345,P347,P349)</f>
        <v>38.105937500000003</v>
      </c>
      <c r="Q351" s="21">
        <f t="shared" ref="Q351:AP351" si="192">SUM(Q339,Q341,Q343,Q345,Q347,Q349)</f>
        <v>76.211875000000006</v>
      </c>
      <c r="R351" s="21">
        <f t="shared" si="192"/>
        <v>152.42375000000001</v>
      </c>
      <c r="S351" s="21">
        <f t="shared" si="192"/>
        <v>304.84750000000003</v>
      </c>
      <c r="T351" s="21">
        <f t="shared" si="192"/>
        <v>609.69500000000005</v>
      </c>
      <c r="U351" s="21">
        <f t="shared" si="192"/>
        <v>1219.3900000000001</v>
      </c>
      <c r="V351" s="21">
        <f>SUM(V339,V341,V343,V345,V347,V349)</f>
        <v>2438.7800000000002</v>
      </c>
      <c r="W351" s="21">
        <f t="shared" si="192"/>
        <v>4877.5600000000004</v>
      </c>
      <c r="X351" s="21">
        <f t="shared" si="192"/>
        <v>9755.1200000000008</v>
      </c>
      <c r="Y351" s="21">
        <f t="shared" si="192"/>
        <v>19510.240000000002</v>
      </c>
      <c r="Z351" s="21">
        <f t="shared" si="192"/>
        <v>39020.480000000003</v>
      </c>
      <c r="AA351" s="21">
        <f t="shared" si="192"/>
        <v>78040.960000000006</v>
      </c>
      <c r="AB351" s="21">
        <f t="shared" si="192"/>
        <v>156081.92000000001</v>
      </c>
      <c r="AC351" s="21">
        <f t="shared" si="192"/>
        <v>312163.84000000003</v>
      </c>
      <c r="AD351" s="21">
        <f t="shared" si="192"/>
        <v>624327.68000000005</v>
      </c>
      <c r="AE351" s="21">
        <f t="shared" ref="AE351:AG351" si="193">SUM(AE339,AE341,AE343,AE345,AE347,AE349)</f>
        <v>780409.6</v>
      </c>
      <c r="AF351" s="21">
        <f t="shared" si="193"/>
        <v>936491.52000000002</v>
      </c>
      <c r="AG351" s="21">
        <f t="shared" si="193"/>
        <v>1092573.44</v>
      </c>
      <c r="AH351" s="21">
        <f t="shared" si="192"/>
        <v>1248655.3600000001</v>
      </c>
      <c r="AI351" s="21">
        <f t="shared" ref="AI351:AK351" si="194">SUM(AI339,AI341,AI343,AI345,AI347,AI349)</f>
        <v>1598278.8608000004</v>
      </c>
      <c r="AJ351" s="21">
        <f t="shared" si="194"/>
        <v>1872983.04</v>
      </c>
      <c r="AK351" s="21">
        <f t="shared" si="194"/>
        <v>2185146.88</v>
      </c>
      <c r="AL351" s="21">
        <f t="shared" si="192"/>
        <v>2497310.7200000002</v>
      </c>
      <c r="AM351" s="21">
        <f t="shared" si="192"/>
        <v>2996772.8640000001</v>
      </c>
      <c r="AN351" s="21">
        <f t="shared" si="192"/>
        <v>3496235.0079999999</v>
      </c>
      <c r="AO351" s="21">
        <f t="shared" si="192"/>
        <v>3995697.1519999998</v>
      </c>
      <c r="AP351" s="21">
        <f t="shared" si="192"/>
        <v>4495159.2960000001</v>
      </c>
      <c r="AQ351" s="21">
        <f t="shared" ref="AQ351:BA352" si="195">SUM(AQ339,AQ341,AQ343,AQ345,AQ347,AQ349)</f>
        <v>4994621.4400000004</v>
      </c>
      <c r="AR351" s="21">
        <f t="shared" ref="AR351:AU351" si="196">SUM(AR339,AR341,AR343,AR345,AR347,AR349)</f>
        <v>5993545.7280000001</v>
      </c>
      <c r="AS351" s="21">
        <f t="shared" si="196"/>
        <v>6992470.0159999998</v>
      </c>
      <c r="AT351" s="21">
        <f t="shared" si="196"/>
        <v>7991394.3039999995</v>
      </c>
      <c r="AU351" s="21">
        <f t="shared" si="196"/>
        <v>8990318.5920000002</v>
      </c>
      <c r="AV351" s="21">
        <f t="shared" si="195"/>
        <v>9989242.8800000008</v>
      </c>
      <c r="AW351" s="21">
        <f t="shared" ref="AW351:AZ351" si="197">SUM(AW339,AW341,AW343,AW345,AW347,AW349)</f>
        <v>11987091.456</v>
      </c>
      <c r="AX351" s="21">
        <f t="shared" si="197"/>
        <v>13984940.032</v>
      </c>
      <c r="AY351" s="21">
        <f t="shared" si="197"/>
        <v>15982788.607999999</v>
      </c>
      <c r="AZ351" s="21">
        <f t="shared" si="197"/>
        <v>17980637.184</v>
      </c>
      <c r="BA351" s="21">
        <f t="shared" si="195"/>
        <v>19978485.760000002</v>
      </c>
      <c r="BB351" s="18">
        <f t="shared" ref="BB351:BG351" si="198">SUM(BB339,BB341,BB343,BB345,BB347,BB349)</f>
        <v>39956971.520000003</v>
      </c>
      <c r="BC351" s="19">
        <f t="shared" si="198"/>
        <v>79913943.040000007</v>
      </c>
      <c r="BD351" s="19">
        <f t="shared" si="198"/>
        <v>159827886.08000001</v>
      </c>
      <c r="BE351" s="19">
        <f t="shared" si="198"/>
        <v>319655772.16000003</v>
      </c>
      <c r="BF351" s="19">
        <f t="shared" si="198"/>
        <v>403088265.04500002</v>
      </c>
      <c r="BG351" s="60">
        <f t="shared" si="198"/>
        <v>403088265.04500002</v>
      </c>
      <c r="BH351" s="45"/>
    </row>
    <row r="352" spans="1:60" x14ac:dyDescent="0.25">
      <c r="A352" s="37" t="s">
        <v>40</v>
      </c>
      <c r="B352" s="39"/>
      <c r="C352" s="39"/>
      <c r="D352" s="39"/>
      <c r="E352" s="39"/>
      <c r="F352" s="39"/>
      <c r="G352" s="39"/>
      <c r="H352" s="39"/>
      <c r="I352" s="39"/>
      <c r="J352" s="39"/>
      <c r="K352" s="39"/>
      <c r="L352" s="39"/>
      <c r="M352" s="39"/>
      <c r="N352" s="39"/>
      <c r="O352" s="39"/>
      <c r="P352" s="31">
        <f>SUM(P340,P342,P344,P346,P348,P350)</f>
        <v>2.5650575</v>
      </c>
      <c r="Q352" s="32">
        <f t="shared" ref="Q352:AP352" si="199">SUM(Q340,Q342,Q344,Q346,Q348,Q350)</f>
        <v>5.130115</v>
      </c>
      <c r="R352" s="32">
        <f t="shared" si="199"/>
        <v>10.26023</v>
      </c>
      <c r="S352" s="32">
        <f t="shared" si="199"/>
        <v>20.52046</v>
      </c>
      <c r="T352" s="32">
        <f t="shared" si="199"/>
        <v>41.04092</v>
      </c>
      <c r="U352" s="32">
        <f t="shared" si="199"/>
        <v>82.08184</v>
      </c>
      <c r="V352" s="32">
        <f t="shared" si="199"/>
        <v>164.16368</v>
      </c>
      <c r="W352" s="32">
        <f t="shared" si="199"/>
        <v>328.32736</v>
      </c>
      <c r="X352" s="32">
        <f t="shared" si="199"/>
        <v>656.65472</v>
      </c>
      <c r="Y352" s="32">
        <f t="shared" si="199"/>
        <v>1313.30944</v>
      </c>
      <c r="Z352" s="32">
        <f t="shared" si="199"/>
        <v>2626.61888</v>
      </c>
      <c r="AA352" s="32">
        <f t="shared" si="199"/>
        <v>5253.23776</v>
      </c>
      <c r="AB352" s="32">
        <f t="shared" si="199"/>
        <v>10506.47552</v>
      </c>
      <c r="AC352" s="32">
        <f t="shared" si="199"/>
        <v>21012.95104</v>
      </c>
      <c r="AD352" s="32">
        <f t="shared" si="199"/>
        <v>42025.90208</v>
      </c>
      <c r="AE352" s="32">
        <f t="shared" ref="AE352:AG352" si="200">SUM(AE340,AE342,AE344,AE346,AE348,AE350)</f>
        <v>52532.377599999993</v>
      </c>
      <c r="AF352" s="32">
        <f t="shared" si="200"/>
        <v>63038.853119999992</v>
      </c>
      <c r="AG352" s="32">
        <f t="shared" si="200"/>
        <v>73545.328639999992</v>
      </c>
      <c r="AH352" s="32">
        <f t="shared" si="199"/>
        <v>84051.80416</v>
      </c>
      <c r="AI352" s="32">
        <f t="shared" ref="AI352:AK352" si="201">SUM(AI340,AI342,AI344,AI346,AI348,AI350)</f>
        <v>107586.30932479999</v>
      </c>
      <c r="AJ352" s="32">
        <f t="shared" si="201"/>
        <v>126077.70623999998</v>
      </c>
      <c r="AK352" s="32">
        <f t="shared" si="201"/>
        <v>147090.65727999998</v>
      </c>
      <c r="AL352" s="32">
        <f t="shared" si="199"/>
        <v>168103.60832</v>
      </c>
      <c r="AM352" s="32">
        <f t="shared" si="199"/>
        <v>201724.32998400001</v>
      </c>
      <c r="AN352" s="32">
        <f t="shared" si="199"/>
        <v>235345.05164800002</v>
      </c>
      <c r="AO352" s="32">
        <f t="shared" si="199"/>
        <v>268965.77331199998</v>
      </c>
      <c r="AP352" s="32">
        <f t="shared" si="199"/>
        <v>302586.49497599999</v>
      </c>
      <c r="AQ352" s="32">
        <f t="shared" si="195"/>
        <v>336207.21664</v>
      </c>
      <c r="AR352" s="32">
        <f t="shared" ref="AR352:AU352" si="202">SUM(AR340,AR342,AR344,AR346,AR348,AR350)</f>
        <v>403448.65996800002</v>
      </c>
      <c r="AS352" s="32">
        <f t="shared" si="202"/>
        <v>470690.10329600004</v>
      </c>
      <c r="AT352" s="32">
        <f t="shared" si="202"/>
        <v>537931.54662399995</v>
      </c>
      <c r="AU352" s="32">
        <f t="shared" si="202"/>
        <v>605172.98995199997</v>
      </c>
      <c r="AV352" s="32">
        <f t="shared" si="195"/>
        <v>672414.43328</v>
      </c>
      <c r="AW352" s="32">
        <f t="shared" ref="AW352:AZ352" si="203">SUM(AW340,AW342,AW344,AW346,AW348,AW350)</f>
        <v>806897.31993600004</v>
      </c>
      <c r="AX352" s="32">
        <f t="shared" si="203"/>
        <v>941380.20659200009</v>
      </c>
      <c r="AY352" s="32">
        <f t="shared" si="203"/>
        <v>1075863.0932479999</v>
      </c>
      <c r="AZ352" s="32">
        <f t="shared" si="203"/>
        <v>1210345.9799039999</v>
      </c>
      <c r="BA352" s="32">
        <f t="shared" si="195"/>
        <v>1344828.86656</v>
      </c>
      <c r="BB352" s="31">
        <f t="shared" ref="BB352:BG352" si="204">SUM(BB340,BB342,BB344,BB346,BB348,BB350)</f>
        <v>2689657.73312</v>
      </c>
      <c r="BC352" s="32">
        <f t="shared" si="204"/>
        <v>5379315.46624</v>
      </c>
      <c r="BD352" s="32">
        <f t="shared" si="204"/>
        <v>10758630.93248</v>
      </c>
      <c r="BE352" s="32">
        <f t="shared" si="204"/>
        <v>21517261.86496</v>
      </c>
      <c r="BF352" s="32">
        <f t="shared" si="204"/>
        <v>27133424.480520003</v>
      </c>
      <c r="BG352" s="73">
        <f t="shared" si="204"/>
        <v>27133424.480520003</v>
      </c>
      <c r="BH352" s="45"/>
    </row>
  </sheetData>
  <conditionalFormatting sqref="BH295 P295:BF295">
    <cfRule type="cellIs" dxfId="21" priority="31" operator="greaterThan">
      <formula>$C$273</formula>
    </cfRule>
  </conditionalFormatting>
  <conditionalFormatting sqref="P297:BF297">
    <cfRule type="cellIs" dxfId="20" priority="30" operator="greaterThan">
      <formula>$C$274</formula>
    </cfRule>
  </conditionalFormatting>
  <conditionalFormatting sqref="P316:BG316">
    <cfRule type="cellIs" dxfId="19" priority="29" operator="greaterThan">
      <formula>$C$316</formula>
    </cfRule>
  </conditionalFormatting>
  <conditionalFormatting sqref="P318:BG318">
    <cfRule type="cellIs" dxfId="18" priority="28" operator="greaterThan">
      <formula>$C$318</formula>
    </cfRule>
  </conditionalFormatting>
  <conditionalFormatting sqref="P320:BG320">
    <cfRule type="cellIs" dxfId="17" priority="27" operator="greaterThan">
      <formula>$C$320</formula>
    </cfRule>
  </conditionalFormatting>
  <conditionalFormatting sqref="P322:BG322">
    <cfRule type="cellIs" dxfId="16" priority="19" operator="greaterThan">
      <formula>$C$322</formula>
    </cfRule>
  </conditionalFormatting>
  <conditionalFormatting sqref="P324:BG324">
    <cfRule type="cellIs" dxfId="15" priority="18" operator="greaterThan">
      <formula>$C$324</formula>
    </cfRule>
  </conditionalFormatting>
  <conditionalFormatting sqref="P326:BG326">
    <cfRule type="cellIs" dxfId="14" priority="17" operator="greaterThan">
      <formula>$C$326</formula>
    </cfRule>
  </conditionalFormatting>
  <conditionalFormatting sqref="P328:BG328">
    <cfRule type="cellIs" dxfId="13" priority="16" operator="greaterThan">
      <formula>$C$328</formula>
    </cfRule>
  </conditionalFormatting>
  <conditionalFormatting sqref="P330:BG330">
    <cfRule type="cellIs" dxfId="12" priority="15" operator="greaterThan">
      <formula>$C$330</formula>
    </cfRule>
  </conditionalFormatting>
  <conditionalFormatting sqref="P332:BG332">
    <cfRule type="cellIs" dxfId="11" priority="14" operator="greaterThan">
      <formula>$C$332</formula>
    </cfRule>
  </conditionalFormatting>
  <conditionalFormatting sqref="P286:BG286">
    <cfRule type="cellIs" dxfId="10" priority="13" operator="equal">
      <formula>0</formula>
    </cfRule>
  </conditionalFormatting>
  <conditionalFormatting sqref="P293:BF293 P295:BF295 Q297:BF297">
    <cfRule type="cellIs" dxfId="9" priority="12" operator="equal">
      <formula>0</formula>
    </cfRule>
  </conditionalFormatting>
  <conditionalFormatting sqref="D316">
    <cfRule type="cellIs" dxfId="8" priority="9" operator="greaterThan">
      <formula>$B$316</formula>
    </cfRule>
  </conditionalFormatting>
  <conditionalFormatting sqref="D318">
    <cfRule type="cellIs" dxfId="7" priority="8" operator="greaterThan">
      <formula>$B$318</formula>
    </cfRule>
  </conditionalFormatting>
  <conditionalFormatting sqref="D320">
    <cfRule type="cellIs" dxfId="6" priority="7" operator="greaterThan">
      <formula>$B$320</formula>
    </cfRule>
  </conditionalFormatting>
  <conditionalFormatting sqref="D322">
    <cfRule type="cellIs" dxfId="5" priority="6" operator="greaterThan">
      <formula>$B$322</formula>
    </cfRule>
  </conditionalFormatting>
  <conditionalFormatting sqref="D324">
    <cfRule type="cellIs" dxfId="4" priority="5" operator="greaterThan">
      <formula>$B$324</formula>
    </cfRule>
  </conditionalFormatting>
  <conditionalFormatting sqref="D326">
    <cfRule type="cellIs" dxfId="3" priority="4" operator="greaterThan">
      <formula>$B$326</formula>
    </cfRule>
  </conditionalFormatting>
  <conditionalFormatting sqref="D328">
    <cfRule type="cellIs" dxfId="2" priority="3" operator="greaterThan">
      <formula>$B$328</formula>
    </cfRule>
  </conditionalFormatting>
  <conditionalFormatting sqref="D330">
    <cfRule type="cellIs" dxfId="1" priority="2" operator="greaterThan">
      <formula>$B$330</formula>
    </cfRule>
  </conditionalFormatting>
  <conditionalFormatting sqref="D332">
    <cfRule type="cellIs" dxfId="0" priority="1" operator="greaterThan">
      <formula>$B$332</formula>
    </cfRule>
  </conditionalFormatting>
  <hyperlinks>
    <hyperlink ref="E315" r:id="rId1" location="case-fatality-rate-of-covid-19-by-age" xr:uid="{0058192C-B05A-45D2-8597-C1F9B3D9241E}"/>
    <hyperlink ref="E338" r:id="rId2" location="case-fatality-rate-of-covid-19-by-preexisting-health-conditions" xr:uid="{110A2613-24A6-4768-B90C-571B307D13E2}"/>
    <hyperlink ref="B271" r:id="rId3" display="https://cmmid.github.io/topics/covid19/severity/global_cfr_estimates.html" xr:uid="{478D393B-144B-447C-BE80-8DB4A6AAAE87}"/>
    <hyperlink ref="A269" r:id="rId4" xr:uid="{F8C3DB32-759B-4C5A-975C-9AA8316EE6B0}"/>
  </hyperlinks>
  <pageMargins left="0.7" right="0.7" top="0.75" bottom="0.75" header="0.3" footer="0.3"/>
  <pageSetup paperSize="9" orientation="portrait" horizontalDpi="0" verticalDpi="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K7" sqref="K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9" t="s">
        <v>115</v>
      </c>
      <c r="C3" s="163">
        <f>Projections!B267</f>
        <v>330565500</v>
      </c>
      <c r="J3" s="2"/>
    </row>
    <row r="4" spans="2:10" x14ac:dyDescent="0.25">
      <c r="B4" s="180" t="s">
        <v>132</v>
      </c>
      <c r="C4" s="163">
        <f>Projections!P284</f>
        <v>31.25</v>
      </c>
      <c r="J4" s="2"/>
    </row>
    <row r="5" spans="2:10" x14ac:dyDescent="0.25">
      <c r="B5" s="180" t="s">
        <v>133</v>
      </c>
      <c r="C5" s="161">
        <f>Projections!P283</f>
        <v>43882</v>
      </c>
      <c r="J5" s="2"/>
    </row>
    <row r="6" spans="2:10" x14ac:dyDescent="0.25">
      <c r="B6" s="180" t="s">
        <v>116</v>
      </c>
      <c r="C6" s="163">
        <v>1902031</v>
      </c>
    </row>
    <row r="7" spans="2:10" x14ac:dyDescent="0.25">
      <c r="B7" s="180" t="s">
        <v>118</v>
      </c>
      <c r="C7" s="161">
        <f ca="1">NOW()</f>
        <v>43986.963576273149</v>
      </c>
    </row>
    <row r="8" spans="2:10" x14ac:dyDescent="0.25">
      <c r="B8" s="180" t="s">
        <v>134</v>
      </c>
      <c r="C8" s="162">
        <f ca="1">C7-C5</f>
        <v>104.96357627314865</v>
      </c>
    </row>
    <row r="9" spans="2:10" x14ac:dyDescent="0.25">
      <c r="B9" s="180" t="s">
        <v>117</v>
      </c>
      <c r="C9" s="164">
        <f ca="1">C8/(LOG(C6/C4)/LOG(2))</f>
        <v>6.6042553070818943</v>
      </c>
      <c r="D9" t="s">
        <v>97</v>
      </c>
      <c r="F9" t="s">
        <v>135</v>
      </c>
    </row>
    <row r="10" spans="2:10" x14ac:dyDescent="0.25">
      <c r="B10" s="180" t="s">
        <v>122</v>
      </c>
      <c r="C10" s="163">
        <f>Projections!C273</f>
        <v>793357.2</v>
      </c>
    </row>
    <row r="11" spans="2:10" x14ac:dyDescent="0.25">
      <c r="B11" s="181" t="s">
        <v>123</v>
      </c>
      <c r="C11" s="168">
        <f>Projections!C274</f>
        <v>114706.22850000001</v>
      </c>
    </row>
    <row r="12" spans="2:10" s="69" customFormat="1" x14ac:dyDescent="0.25">
      <c r="B12" s="62" t="s">
        <v>163</v>
      </c>
      <c r="C12" s="169">
        <f>C6/Projections!B271</f>
        <v>8015702.0714285709</v>
      </c>
    </row>
    <row r="13" spans="2:10" s="69" customFormat="1" x14ac:dyDescent="0.25">
      <c r="B13" s="48" t="s">
        <v>164</v>
      </c>
      <c r="C13" s="170">
        <f ca="1">(C4/Projections!B271)*(2^(((C7-21)-C5)/C9))</f>
        <v>884577.73827418988</v>
      </c>
    </row>
    <row r="14" spans="2:10" s="69" customFormat="1" x14ac:dyDescent="0.25">
      <c r="B14" s="49" t="s">
        <v>165</v>
      </c>
      <c r="C14" s="151">
        <f ca="1">C12-C13</f>
        <v>7131124.3331543813</v>
      </c>
      <c r="E14" s="166"/>
      <c r="F14" s="167" t="s">
        <v>139</v>
      </c>
      <c r="G14" s="165"/>
    </row>
    <row r="15" spans="2:10" x14ac:dyDescent="0.25">
      <c r="B15" s="4" t="s">
        <v>136</v>
      </c>
      <c r="C15" s="64">
        <f>C6*Projections!B276</f>
        <v>1540645.11</v>
      </c>
      <c r="I15" s="160"/>
    </row>
    <row r="16" spans="2:10" x14ac:dyDescent="0.25">
      <c r="B16" s="41" t="s">
        <v>146</v>
      </c>
      <c r="C16" s="83">
        <f ca="1">(C4*Projections!B276)*(2^(((C7-21)-C5)/C9))</f>
        <v>170018.83986490362</v>
      </c>
      <c r="I16" s="160"/>
    </row>
    <row r="17" spans="2:9" x14ac:dyDescent="0.25">
      <c r="B17" s="41" t="s">
        <v>137</v>
      </c>
      <c r="C17" s="83">
        <f ca="1">C15-C16</f>
        <v>1370626.2701350965</v>
      </c>
      <c r="F17" t="s">
        <v>140</v>
      </c>
      <c r="I17" s="160"/>
    </row>
    <row r="18" spans="2:9" x14ac:dyDescent="0.25">
      <c r="B18" s="4" t="s">
        <v>142</v>
      </c>
      <c r="C18" s="64">
        <f>C6*Projections!B277</f>
        <v>266284.34000000003</v>
      </c>
    </row>
    <row r="19" spans="2:9" x14ac:dyDescent="0.25">
      <c r="B19" s="41" t="s">
        <v>147</v>
      </c>
      <c r="C19" s="83">
        <f ca="1">(C4*Projections!B277)*(2^(((C7-49)-C5)/C9))</f>
        <v>1555.4855583459098</v>
      </c>
    </row>
    <row r="20" spans="2:9" x14ac:dyDescent="0.25">
      <c r="B20" s="41" t="s">
        <v>141</v>
      </c>
      <c r="C20" s="83">
        <f ca="1">C18-C19</f>
        <v>264728.85444165411</v>
      </c>
      <c r="F20" t="s">
        <v>145</v>
      </c>
    </row>
    <row r="21" spans="2:9" x14ac:dyDescent="0.25">
      <c r="B21" s="4" t="s">
        <v>143</v>
      </c>
      <c r="C21" s="64">
        <f>C6*Projections!B278</f>
        <v>95101.55</v>
      </c>
      <c r="I21" s="160"/>
    </row>
    <row r="22" spans="2:9" x14ac:dyDescent="0.25">
      <c r="B22" s="41" t="s">
        <v>148</v>
      </c>
      <c r="C22" s="83">
        <f ca="1">(C4*Projections!B278)*(2^(((C7-49)-C5)/C9))</f>
        <v>555.53055655211062</v>
      </c>
      <c r="I22" s="160"/>
    </row>
    <row r="23" spans="2:9" x14ac:dyDescent="0.25">
      <c r="B23" s="41" t="s">
        <v>144</v>
      </c>
      <c r="C23" s="83">
        <f ca="1">C21-C22</f>
        <v>94546.019443447891</v>
      </c>
      <c r="I23" s="160"/>
    </row>
    <row r="24" spans="2:9" x14ac:dyDescent="0.25">
      <c r="B24" s="4" t="s">
        <v>149</v>
      </c>
      <c r="C24" s="64">
        <f>C6*Projections!B279</f>
        <v>112219.829</v>
      </c>
    </row>
    <row r="25" spans="2:9" x14ac:dyDescent="0.25">
      <c r="B25" s="37" t="s">
        <v>150</v>
      </c>
      <c r="C25" s="61">
        <f ca="1">(C4*Projections!B279)*(2^(((C7-42)-C5)/C9))</f>
        <v>1366.6536945966582</v>
      </c>
      <c r="F25" t="s">
        <v>151</v>
      </c>
    </row>
    <row r="26" spans="2:9" x14ac:dyDescent="0.25">
      <c r="B26" s="41" t="s">
        <v>127</v>
      </c>
      <c r="C26" s="173">
        <f ca="1">C9*(LOG(C10/C21)/LOG(2))</f>
        <v>20.211859809154696</v>
      </c>
      <c r="D26" t="s">
        <v>97</v>
      </c>
      <c r="F26" s="69" t="s">
        <v>152</v>
      </c>
    </row>
    <row r="27" spans="2:9" x14ac:dyDescent="0.25">
      <c r="B27" s="37" t="s">
        <v>124</v>
      </c>
      <c r="C27" s="172">
        <f ca="1">C7+C26</f>
        <v>44007.175436082303</v>
      </c>
      <c r="F27" t="s">
        <v>153</v>
      </c>
    </row>
    <row r="28" spans="2:9" x14ac:dyDescent="0.25">
      <c r="B28" s="4" t="s">
        <v>128</v>
      </c>
      <c r="C28" s="171">
        <f ca="1">C9*(LOG(C11/C21)/LOG(2))</f>
        <v>1.7858102579363415</v>
      </c>
      <c r="D28" t="s">
        <v>97</v>
      </c>
    </row>
    <row r="29" spans="2:9" x14ac:dyDescent="0.25">
      <c r="B29" s="37" t="s">
        <v>125</v>
      </c>
      <c r="C29" s="172">
        <f ca="1">C7+C28</f>
        <v>43988.749386531083</v>
      </c>
      <c r="F29" t="s">
        <v>153</v>
      </c>
    </row>
    <row r="30" spans="2:9" x14ac:dyDescent="0.25">
      <c r="B30" s="4" t="s">
        <v>129</v>
      </c>
      <c r="C30" s="171">
        <f ca="1">C9*(LOG((C3*0.6)/C12)/LOG(2))</f>
        <v>30.571083760244576</v>
      </c>
      <c r="D30" t="s">
        <v>97</v>
      </c>
    </row>
    <row r="31" spans="2:9" x14ac:dyDescent="0.25">
      <c r="B31" s="37" t="s">
        <v>126</v>
      </c>
      <c r="C31" s="172">
        <f ca="1">C7+C30</f>
        <v>44017.534660033394</v>
      </c>
    </row>
    <row r="34" spans="2:6" x14ac:dyDescent="0.25">
      <c r="B34" s="4" t="s">
        <v>130</v>
      </c>
      <c r="C34" s="161">
        <f ca="1">C7+30</f>
        <v>44016.963576273149</v>
      </c>
      <c r="F34" t="s">
        <v>166</v>
      </c>
    </row>
    <row r="35" spans="2:6" x14ac:dyDescent="0.25">
      <c r="B35" s="41" t="s">
        <v>131</v>
      </c>
      <c r="C35" s="83">
        <f ca="1">C6*(2^((C34-C7)/C9))</f>
        <v>44325547.360739477</v>
      </c>
      <c r="F35" t="s">
        <v>138</v>
      </c>
    </row>
    <row r="36" spans="2:6" x14ac:dyDescent="0.25">
      <c r="B36" s="41" t="s">
        <v>185</v>
      </c>
      <c r="C36" s="83">
        <f ca="1">C35/Projections!B271</f>
        <v>186800521.02025923</v>
      </c>
    </row>
    <row r="37" spans="2:6" x14ac:dyDescent="0.25">
      <c r="B37" s="41" t="s">
        <v>73</v>
      </c>
      <c r="C37" s="83">
        <f ca="1">C35*Projections!B276</f>
        <v>35903693.362198979</v>
      </c>
    </row>
    <row r="38" spans="2:6" x14ac:dyDescent="0.25">
      <c r="B38" s="41" t="s">
        <v>119</v>
      </c>
      <c r="C38" s="83">
        <f ca="1">C35*Projections!B277</f>
        <v>6205576.6305035278</v>
      </c>
    </row>
    <row r="39" spans="2:6" x14ac:dyDescent="0.25">
      <c r="B39" s="41" t="s">
        <v>120</v>
      </c>
      <c r="C39" s="83">
        <f ca="1">C35*Projections!B278</f>
        <v>2216277.3680369738</v>
      </c>
    </row>
    <row r="40" spans="2:6" x14ac:dyDescent="0.25">
      <c r="B40" s="37" t="s">
        <v>121</v>
      </c>
      <c r="C40" s="61">
        <f ca="1">C35*Projections!B279</f>
        <v>2615207.2942836289</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2:D108"/>
  <sheetViews>
    <sheetView workbookViewId="0">
      <selection activeCell="H46" sqref="H46"/>
    </sheetView>
  </sheetViews>
  <sheetFormatPr defaultRowHeight="15" x14ac:dyDescent="0.25"/>
  <cols>
    <col min="1" max="1" width="10" bestFit="1" customWidth="1"/>
    <col min="2" max="2" width="19.5703125" bestFit="1" customWidth="1"/>
    <col min="3" max="3" width="10.140625" bestFit="1" customWidth="1"/>
  </cols>
  <sheetData>
    <row r="2" spans="1:4" x14ac:dyDescent="0.25">
      <c r="A2" s="354" t="s">
        <v>180</v>
      </c>
      <c r="B2" s="229"/>
      <c r="C2" s="76"/>
    </row>
    <row r="3" spans="1:4" x14ac:dyDescent="0.25">
      <c r="A3" s="354"/>
      <c r="B3" s="229" t="s">
        <v>181</v>
      </c>
      <c r="C3" s="76"/>
    </row>
    <row r="4" spans="1:4" x14ac:dyDescent="0.25">
      <c r="A4" s="353" t="s">
        <v>47</v>
      </c>
      <c r="B4" s="232">
        <v>308745538</v>
      </c>
      <c r="C4" s="76"/>
    </row>
    <row r="5" spans="1:4" x14ac:dyDescent="0.25">
      <c r="A5" s="353"/>
      <c r="B5" s="230">
        <v>1</v>
      </c>
      <c r="C5" s="76"/>
    </row>
    <row r="6" spans="1:4" x14ac:dyDescent="0.25">
      <c r="A6" s="353" t="s">
        <v>21</v>
      </c>
      <c r="B6" s="232">
        <v>20201362</v>
      </c>
      <c r="C6" s="76"/>
    </row>
    <row r="7" spans="1:4" x14ac:dyDescent="0.25">
      <c r="A7" s="353"/>
      <c r="B7" s="231">
        <f>B6/$B$4</f>
        <v>6.5430458139932701E-2</v>
      </c>
      <c r="C7" s="77"/>
    </row>
    <row r="8" spans="1:4" x14ac:dyDescent="0.25">
      <c r="A8" s="353" t="s">
        <v>22</v>
      </c>
      <c r="B8" s="232">
        <v>20348657</v>
      </c>
      <c r="C8" s="76"/>
    </row>
    <row r="9" spans="1:4" x14ac:dyDescent="0.25">
      <c r="A9" s="353"/>
      <c r="B9" s="231">
        <f>B8/$B$4</f>
        <v>6.590753386045696E-2</v>
      </c>
      <c r="C9" s="232">
        <f>B6+B8</f>
        <v>40550019</v>
      </c>
      <c r="D9" s="1">
        <f>C9/$B$4</f>
        <v>0.13133799200038965</v>
      </c>
    </row>
    <row r="10" spans="1:4" x14ac:dyDescent="0.25">
      <c r="A10" s="353" t="s">
        <v>23</v>
      </c>
      <c r="B10" s="232">
        <v>20677194</v>
      </c>
      <c r="C10" s="76"/>
    </row>
    <row r="11" spans="1:4" x14ac:dyDescent="0.25">
      <c r="A11" s="353"/>
      <c r="B11" s="231">
        <f>B10/$B$4</f>
        <v>6.6971636688074182E-2</v>
      </c>
      <c r="C11" s="76"/>
    </row>
    <row r="12" spans="1:4" x14ac:dyDescent="0.25">
      <c r="A12" s="353" t="s">
        <v>24</v>
      </c>
      <c r="B12" s="232">
        <v>22040343</v>
      </c>
      <c r="C12" s="76"/>
    </row>
    <row r="13" spans="1:4" x14ac:dyDescent="0.25">
      <c r="A13" s="353"/>
      <c r="B13" s="231">
        <f>B12/$B$4</f>
        <v>7.13867579844992E-2</v>
      </c>
      <c r="C13" s="232">
        <f>B10+B12</f>
        <v>42717537</v>
      </c>
      <c r="D13" s="1">
        <f>C13/$B$4</f>
        <v>0.13835839467257338</v>
      </c>
    </row>
    <row r="14" spans="1:4" x14ac:dyDescent="0.25">
      <c r="A14" s="353" t="s">
        <v>25</v>
      </c>
      <c r="B14" s="232">
        <v>21585999</v>
      </c>
      <c r="C14" s="76"/>
    </row>
    <row r="15" spans="1:4" x14ac:dyDescent="0.25">
      <c r="A15" s="353"/>
      <c r="B15" s="231">
        <f>B14/$B$4</f>
        <v>6.9915177203305853E-2</v>
      </c>
      <c r="C15" s="76"/>
    </row>
    <row r="16" spans="1:4" x14ac:dyDescent="0.25">
      <c r="A16" s="353" t="s">
        <v>26</v>
      </c>
      <c r="B16" s="232">
        <v>21101849</v>
      </c>
      <c r="C16" s="76"/>
    </row>
    <row r="17" spans="1:4" x14ac:dyDescent="0.25">
      <c r="A17" s="353"/>
      <c r="B17" s="231">
        <f>B16/$B$4</f>
        <v>6.8347057375125531E-2</v>
      </c>
      <c r="C17" s="232">
        <f>B14+B16</f>
        <v>42687848</v>
      </c>
      <c r="D17" s="1">
        <f>C17/$B$4</f>
        <v>0.13826223457843137</v>
      </c>
    </row>
    <row r="18" spans="1:4" x14ac:dyDescent="0.25">
      <c r="A18" s="353" t="s">
        <v>27</v>
      </c>
      <c r="B18" s="232">
        <v>19962099</v>
      </c>
      <c r="C18" s="76"/>
    </row>
    <row r="19" spans="1:4" x14ac:dyDescent="0.25">
      <c r="A19" s="353"/>
      <c r="B19" s="231">
        <f>B18/$B$4</f>
        <v>6.465550604977488E-2</v>
      </c>
      <c r="C19" s="77"/>
    </row>
    <row r="20" spans="1:4" x14ac:dyDescent="0.25">
      <c r="A20" s="353" t="s">
        <v>28</v>
      </c>
      <c r="B20" s="232">
        <v>20179642</v>
      </c>
      <c r="C20" s="76"/>
    </row>
    <row r="21" spans="1:4" x14ac:dyDescent="0.25">
      <c r="A21" s="353"/>
      <c r="B21" s="231">
        <f>B20/$B$4</f>
        <v>6.5360108945121009E-2</v>
      </c>
      <c r="C21" s="232">
        <f>B18+B20</f>
        <v>40141741</v>
      </c>
      <c r="D21" s="1">
        <f>C21/$B$4</f>
        <v>0.13001561499489589</v>
      </c>
    </row>
    <row r="22" spans="1:4" x14ac:dyDescent="0.25">
      <c r="A22" s="353" t="s">
        <v>29</v>
      </c>
      <c r="B22" s="232">
        <v>20890964</v>
      </c>
      <c r="C22" s="76"/>
    </row>
    <row r="23" spans="1:4" x14ac:dyDescent="0.25">
      <c r="A23" s="353"/>
      <c r="B23" s="231">
        <f>B22/$B$4</f>
        <v>6.7664019163898012E-2</v>
      </c>
      <c r="C23" s="76"/>
    </row>
    <row r="24" spans="1:4" x14ac:dyDescent="0.25">
      <c r="A24" s="353" t="s">
        <v>30</v>
      </c>
      <c r="B24" s="232">
        <v>22708591</v>
      </c>
      <c r="C24" s="76"/>
    </row>
    <row r="25" spans="1:4" x14ac:dyDescent="0.25">
      <c r="A25" s="353"/>
      <c r="B25" s="231">
        <f>B24/$B$4</f>
        <v>7.3551155255885833E-2</v>
      </c>
      <c r="C25" s="232">
        <f>B22+B24</f>
        <v>43599555</v>
      </c>
      <c r="D25" s="1">
        <f>C25/$B$4</f>
        <v>0.14121517441978385</v>
      </c>
    </row>
    <row r="26" spans="1:4" x14ac:dyDescent="0.25">
      <c r="A26" s="353" t="s">
        <v>31</v>
      </c>
      <c r="B26" s="232">
        <v>22298125</v>
      </c>
      <c r="C26" s="76"/>
    </row>
    <row r="27" spans="1:4" x14ac:dyDescent="0.25">
      <c r="A27" s="353"/>
      <c r="B27" s="231">
        <f>B26/$B$4</f>
        <v>7.2221691508299629E-2</v>
      </c>
      <c r="C27" s="76"/>
    </row>
    <row r="28" spans="1:4" x14ac:dyDescent="0.25">
      <c r="A28" s="353" t="s">
        <v>32</v>
      </c>
      <c r="B28" s="232">
        <v>19664805</v>
      </c>
      <c r="C28" s="76"/>
    </row>
    <row r="29" spans="1:4" x14ac:dyDescent="0.25">
      <c r="A29" s="353"/>
      <c r="B29" s="231">
        <f>B28/$B$4</f>
        <v>6.3692596587420158E-2</v>
      </c>
      <c r="C29" s="232">
        <f>B26+B28</f>
        <v>41962930</v>
      </c>
      <c r="D29" s="1">
        <f>C29/$B$4</f>
        <v>0.13591428809571979</v>
      </c>
    </row>
    <row r="30" spans="1:4" x14ac:dyDescent="0.25">
      <c r="A30" s="353" t="s">
        <v>33</v>
      </c>
      <c r="B30" s="232">
        <v>16817924</v>
      </c>
      <c r="C30" s="76"/>
    </row>
    <row r="31" spans="1:4" x14ac:dyDescent="0.25">
      <c r="A31" s="353"/>
      <c r="B31" s="231">
        <f>B30/$B$4</f>
        <v>5.4471796123576693E-2</v>
      </c>
      <c r="C31" s="77"/>
    </row>
    <row r="32" spans="1:4" x14ac:dyDescent="0.25">
      <c r="A32" s="353" t="s">
        <v>34</v>
      </c>
      <c r="B32" s="232">
        <v>12435263</v>
      </c>
      <c r="C32" s="76"/>
    </row>
    <row r="33" spans="1:4" x14ac:dyDescent="0.25">
      <c r="A33" s="353"/>
      <c r="B33" s="231">
        <f>B32/$B$4</f>
        <v>4.027673753782314E-2</v>
      </c>
      <c r="C33" s="232">
        <f>B30+B32</f>
        <v>29253187</v>
      </c>
      <c r="D33" s="1">
        <f>C33/$B$4</f>
        <v>9.4748533661399834E-2</v>
      </c>
    </row>
    <row r="34" spans="1:4" x14ac:dyDescent="0.25">
      <c r="A34" s="353" t="s">
        <v>35</v>
      </c>
      <c r="B34" s="232">
        <v>9278166</v>
      </c>
      <c r="C34" s="76"/>
    </row>
    <row r="35" spans="1:4" x14ac:dyDescent="0.25">
      <c r="A35" s="353"/>
      <c r="B35" s="231">
        <f>B34/$B$4</f>
        <v>3.0051174375190486E-2</v>
      </c>
      <c r="C35" s="76"/>
    </row>
    <row r="36" spans="1:4" x14ac:dyDescent="0.25">
      <c r="A36" s="353" t="s">
        <v>36</v>
      </c>
      <c r="B36" s="232">
        <v>7317795</v>
      </c>
      <c r="C36" s="76"/>
    </row>
    <row r="37" spans="1:4" x14ac:dyDescent="0.25">
      <c r="A37" s="353"/>
      <c r="B37" s="231">
        <f>B36/$B$4</f>
        <v>2.370170285667416E-2</v>
      </c>
      <c r="C37" s="232">
        <f>B34+B36</f>
        <v>16595961</v>
      </c>
      <c r="D37" s="1">
        <f>C37/$B$4</f>
        <v>5.3752877231864643E-2</v>
      </c>
    </row>
    <row r="38" spans="1:4" x14ac:dyDescent="0.25">
      <c r="A38" s="353" t="s">
        <v>37</v>
      </c>
      <c r="B38" s="232">
        <v>5743327</v>
      </c>
      <c r="C38" s="76"/>
    </row>
    <row r="39" spans="1:4" x14ac:dyDescent="0.25">
      <c r="A39" s="353"/>
      <c r="B39" s="231">
        <f>B38/$B$4</f>
        <v>1.8602137660690663E-2</v>
      </c>
      <c r="C39" s="76"/>
    </row>
    <row r="40" spans="1:4" x14ac:dyDescent="0.25">
      <c r="A40" s="353" t="s">
        <v>179</v>
      </c>
      <c r="B40" s="232">
        <v>5493433</v>
      </c>
      <c r="C40" s="76"/>
    </row>
    <row r="41" spans="1:4" x14ac:dyDescent="0.25">
      <c r="A41" s="353"/>
      <c r="B41" s="231">
        <f>B40/$B$4</f>
        <v>1.7792752684250939E-2</v>
      </c>
      <c r="C41" s="232">
        <f>B38+B40</f>
        <v>11236760</v>
      </c>
      <c r="D41" s="1">
        <f>C41/$B$4</f>
        <v>3.6394890344941602E-2</v>
      </c>
    </row>
    <row r="42" spans="1:4" x14ac:dyDescent="0.25">
      <c r="C42" s="76"/>
    </row>
    <row r="43" spans="1:4" x14ac:dyDescent="0.25">
      <c r="B43" s="2">
        <f>SUM(B6,B8,B10,B12,B14,B16,B18,B20,B22,B24,B26,B28,B30,B32,B34,B36,B38,B40)</f>
        <v>308745538</v>
      </c>
      <c r="C43" s="77"/>
    </row>
    <row r="44" spans="1:4" x14ac:dyDescent="0.25">
      <c r="B44" s="1">
        <f>SUM(B7,B9,B11,B13,B15,B17,B19,B21,B23,B25,B27,B29,B31,B33,B35,B37,B39,B41)</f>
        <v>0.99999999999999989</v>
      </c>
      <c r="C44" s="76"/>
    </row>
    <row r="45" spans="1:4" x14ac:dyDescent="0.25">
      <c r="C45" s="76"/>
    </row>
    <row r="46" spans="1:4" x14ac:dyDescent="0.25">
      <c r="C46" s="76"/>
    </row>
    <row r="47" spans="1:4" x14ac:dyDescent="0.25">
      <c r="C47" s="76"/>
    </row>
    <row r="48" spans="1:4" x14ac:dyDescent="0.25">
      <c r="C48" s="76"/>
    </row>
    <row r="49" spans="1:3" x14ac:dyDescent="0.25">
      <c r="A49" s="1"/>
      <c r="C49" s="77"/>
    </row>
    <row r="50" spans="1:3" x14ac:dyDescent="0.25">
      <c r="C50" s="76"/>
    </row>
    <row r="51" spans="1:3" x14ac:dyDescent="0.25">
      <c r="C51" s="76"/>
    </row>
    <row r="52" spans="1:3" x14ac:dyDescent="0.25">
      <c r="C52" s="76"/>
    </row>
    <row r="53" spans="1:3" x14ac:dyDescent="0.25">
      <c r="C53" s="76"/>
    </row>
    <row r="54" spans="1:3" x14ac:dyDescent="0.25">
      <c r="C54" s="76"/>
    </row>
    <row r="55" spans="1:3" x14ac:dyDescent="0.25">
      <c r="C55" s="77"/>
    </row>
    <row r="56" spans="1:3" x14ac:dyDescent="0.25">
      <c r="C56" s="76"/>
    </row>
    <row r="57" spans="1:3" x14ac:dyDescent="0.25">
      <c r="C57" s="76"/>
    </row>
    <row r="58" spans="1:3" x14ac:dyDescent="0.25">
      <c r="C58" s="76"/>
    </row>
    <row r="59" spans="1:3" x14ac:dyDescent="0.25">
      <c r="C59" s="76"/>
    </row>
    <row r="60" spans="1:3" x14ac:dyDescent="0.25">
      <c r="C60" s="76"/>
    </row>
    <row r="61" spans="1:3" x14ac:dyDescent="0.25">
      <c r="A61" s="1"/>
      <c r="C61" s="77"/>
    </row>
    <row r="62" spans="1:3" x14ac:dyDescent="0.25">
      <c r="C62" s="76"/>
    </row>
    <row r="63" spans="1:3" x14ac:dyDescent="0.25">
      <c r="C63" s="76"/>
    </row>
    <row r="64" spans="1:3" x14ac:dyDescent="0.25">
      <c r="C64" s="76"/>
    </row>
    <row r="65" spans="1:3" x14ac:dyDescent="0.25">
      <c r="C65" s="76"/>
    </row>
    <row r="66" spans="1:3" x14ac:dyDescent="0.25">
      <c r="C66" s="76"/>
    </row>
    <row r="67" spans="1:3" x14ac:dyDescent="0.25">
      <c r="C67" s="77"/>
    </row>
    <row r="68" spans="1:3" x14ac:dyDescent="0.25">
      <c r="C68" s="76"/>
    </row>
    <row r="69" spans="1:3" x14ac:dyDescent="0.25">
      <c r="C69" s="76"/>
    </row>
    <row r="70" spans="1:3" x14ac:dyDescent="0.25">
      <c r="C70" s="76"/>
    </row>
    <row r="71" spans="1:3" x14ac:dyDescent="0.25">
      <c r="C71" s="76"/>
    </row>
    <row r="72" spans="1:3" x14ac:dyDescent="0.25">
      <c r="C72" s="76"/>
    </row>
    <row r="73" spans="1:3" x14ac:dyDescent="0.25">
      <c r="A73" s="1"/>
      <c r="C73" s="77"/>
    </row>
    <row r="74" spans="1:3" x14ac:dyDescent="0.25">
      <c r="C74" s="76"/>
    </row>
    <row r="75" spans="1:3" x14ac:dyDescent="0.25">
      <c r="C75" s="76"/>
    </row>
    <row r="76" spans="1:3" x14ac:dyDescent="0.25">
      <c r="C76" s="76"/>
    </row>
    <row r="77" spans="1:3" x14ac:dyDescent="0.25">
      <c r="C77" s="76"/>
    </row>
    <row r="78" spans="1:3" x14ac:dyDescent="0.25">
      <c r="C78" s="76"/>
    </row>
    <row r="79" spans="1:3" x14ac:dyDescent="0.25">
      <c r="C79" s="77"/>
    </row>
    <row r="80" spans="1:3" x14ac:dyDescent="0.25">
      <c r="C80" s="76"/>
    </row>
    <row r="81" spans="1:3" x14ac:dyDescent="0.25">
      <c r="C81" s="76"/>
    </row>
    <row r="82" spans="1:3" x14ac:dyDescent="0.25">
      <c r="C82" s="76"/>
    </row>
    <row r="83" spans="1:3" x14ac:dyDescent="0.25">
      <c r="C83" s="76"/>
    </row>
    <row r="84" spans="1:3" x14ac:dyDescent="0.25">
      <c r="C84" s="76"/>
    </row>
    <row r="85" spans="1:3" x14ac:dyDescent="0.25">
      <c r="A85" s="1"/>
      <c r="C85" s="77"/>
    </row>
    <row r="86" spans="1:3" x14ac:dyDescent="0.25">
      <c r="C86" s="76"/>
    </row>
    <row r="87" spans="1:3" x14ac:dyDescent="0.25">
      <c r="C87" s="76"/>
    </row>
    <row r="88" spans="1:3" x14ac:dyDescent="0.25">
      <c r="C88" s="76"/>
    </row>
    <row r="89" spans="1:3" x14ac:dyDescent="0.25">
      <c r="C89" s="76"/>
    </row>
    <row r="90" spans="1:3" x14ac:dyDescent="0.25">
      <c r="C90" s="76"/>
    </row>
    <row r="91" spans="1:3" x14ac:dyDescent="0.25">
      <c r="C91" s="77"/>
    </row>
    <row r="92" spans="1:3" x14ac:dyDescent="0.25">
      <c r="C92" s="76"/>
    </row>
    <row r="93" spans="1:3" x14ac:dyDescent="0.25">
      <c r="C93" s="76"/>
    </row>
    <row r="94" spans="1:3" x14ac:dyDescent="0.25">
      <c r="C94" s="76"/>
    </row>
    <row r="95" spans="1:3" x14ac:dyDescent="0.25">
      <c r="C95" s="76"/>
    </row>
    <row r="96" spans="1:3" x14ac:dyDescent="0.25">
      <c r="C96" s="76"/>
    </row>
    <row r="97" spans="1:3" x14ac:dyDescent="0.25">
      <c r="A97" s="1"/>
      <c r="C97" s="77"/>
    </row>
    <row r="98" spans="1:3" x14ac:dyDescent="0.25">
      <c r="C98" s="76"/>
    </row>
    <row r="99" spans="1:3" x14ac:dyDescent="0.25">
      <c r="C99" s="76"/>
    </row>
    <row r="100" spans="1:3" x14ac:dyDescent="0.25">
      <c r="C100" s="76"/>
    </row>
    <row r="101" spans="1:3" x14ac:dyDescent="0.25">
      <c r="C101" s="76"/>
    </row>
    <row r="102" spans="1:3" x14ac:dyDescent="0.25">
      <c r="C102" s="76"/>
    </row>
    <row r="103" spans="1:3" x14ac:dyDescent="0.25">
      <c r="C103" s="77"/>
    </row>
    <row r="104" spans="1:3" x14ac:dyDescent="0.25">
      <c r="C104" s="77"/>
    </row>
    <row r="105" spans="1:3" x14ac:dyDescent="0.25">
      <c r="C105" s="77"/>
    </row>
    <row r="106" spans="1:3" x14ac:dyDescent="0.25">
      <c r="C106" s="77"/>
    </row>
    <row r="107" spans="1:3" x14ac:dyDescent="0.25">
      <c r="A107" s="1"/>
      <c r="C107" s="77"/>
    </row>
    <row r="108" spans="1:3" x14ac:dyDescent="0.25">
      <c r="C108" s="78"/>
    </row>
  </sheetData>
  <mergeCells count="20">
    <mergeCell ref="A38:A39"/>
    <mergeCell ref="A40:A41"/>
    <mergeCell ref="A26:A27"/>
    <mergeCell ref="A28:A29"/>
    <mergeCell ref="A30:A31"/>
    <mergeCell ref="A32:A33"/>
    <mergeCell ref="A34:A35"/>
    <mergeCell ref="A36:A37"/>
    <mergeCell ref="A24:A25"/>
    <mergeCell ref="A2:A3"/>
    <mergeCell ref="A4:A5"/>
    <mergeCell ref="A6:A7"/>
    <mergeCell ref="A8:A9"/>
    <mergeCell ref="A10:A11"/>
    <mergeCell ref="A12:A13"/>
    <mergeCell ref="A14:A15"/>
    <mergeCell ref="A16:A17"/>
    <mergeCell ref="A18:A19"/>
    <mergeCell ref="A20:A21"/>
    <mergeCell ref="A22:A23"/>
  </mergeCells>
  <hyperlinks>
    <hyperlink ref="A2:A3" r:id="rId1" location="Demographic_statistics" display="Age group" xr:uid="{7E03ABC8-8ADA-47B5-A8A5-FE4BE1629C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C14"/>
  <sheetViews>
    <sheetView workbookViewId="0">
      <selection activeCell="H18" sqref="H18"/>
    </sheetView>
  </sheetViews>
  <sheetFormatPr defaultRowHeight="15" x14ac:dyDescent="0.25"/>
  <sheetData>
    <row r="1" spans="1:3" x14ac:dyDescent="0.25">
      <c r="A1" t="s">
        <v>182</v>
      </c>
    </row>
    <row r="2" spans="1:3" x14ac:dyDescent="0.25">
      <c r="A2" t="s">
        <v>183</v>
      </c>
    </row>
    <row r="3" spans="1:3" x14ac:dyDescent="0.25">
      <c r="A3" t="s">
        <v>44</v>
      </c>
      <c r="B3" t="s">
        <v>45</v>
      </c>
      <c r="C3" t="s">
        <v>46</v>
      </c>
    </row>
    <row r="4" spans="1:3" x14ac:dyDescent="0.25">
      <c r="A4" s="41" t="s">
        <v>12</v>
      </c>
      <c r="B4">
        <v>161</v>
      </c>
      <c r="C4" s="3">
        <f t="shared" ref="C4:C12" si="0">B4/$B$14</f>
        <v>2.8847876724601325E-2</v>
      </c>
    </row>
    <row r="5" spans="1:3" x14ac:dyDescent="0.25">
      <c r="A5" s="41" t="s">
        <v>13</v>
      </c>
      <c r="B5">
        <v>595</v>
      </c>
      <c r="C5" s="3">
        <f t="shared" si="0"/>
        <v>0.10661171833004837</v>
      </c>
    </row>
    <row r="6" spans="1:3" x14ac:dyDescent="0.25">
      <c r="A6" s="41" t="s">
        <v>14</v>
      </c>
      <c r="B6">
        <v>934</v>
      </c>
      <c r="C6" s="3">
        <f t="shared" si="0"/>
        <v>0.16735352087439526</v>
      </c>
    </row>
    <row r="7" spans="1:3" x14ac:dyDescent="0.25">
      <c r="A7" s="41" t="s">
        <v>15</v>
      </c>
      <c r="B7">
        <v>867</v>
      </c>
      <c r="C7" s="3">
        <f t="shared" si="0"/>
        <v>0.15534850385235621</v>
      </c>
    </row>
    <row r="8" spans="1:3" x14ac:dyDescent="0.25">
      <c r="A8" s="41" t="s">
        <v>16</v>
      </c>
      <c r="B8">
        <v>724</v>
      </c>
      <c r="C8" s="3">
        <f t="shared" si="0"/>
        <v>0.12972585558143701</v>
      </c>
    </row>
    <row r="9" spans="1:3" x14ac:dyDescent="0.25">
      <c r="A9" s="41" t="s">
        <v>17</v>
      </c>
      <c r="B9">
        <v>878</v>
      </c>
      <c r="C9" s="3">
        <f t="shared" si="0"/>
        <v>0.15731947679627306</v>
      </c>
    </row>
    <row r="10" spans="1:3" x14ac:dyDescent="0.25">
      <c r="A10" s="41" t="s">
        <v>18</v>
      </c>
      <c r="B10">
        <v>1206</v>
      </c>
      <c r="C10" s="3">
        <f t="shared" si="0"/>
        <v>0.2160903063967031</v>
      </c>
    </row>
    <row r="11" spans="1:3" ht="15.75" customHeight="1" x14ac:dyDescent="0.25">
      <c r="A11" s="42" t="s">
        <v>19</v>
      </c>
      <c r="B11">
        <v>161</v>
      </c>
      <c r="C11" s="3">
        <f t="shared" si="0"/>
        <v>2.8847876724601325E-2</v>
      </c>
    </row>
    <row r="12" spans="1:3" x14ac:dyDescent="0.25">
      <c r="A12" s="42" t="s">
        <v>20</v>
      </c>
      <c r="B12">
        <v>55</v>
      </c>
      <c r="C12" s="3">
        <f t="shared" si="0"/>
        <v>9.8548647195843032E-3</v>
      </c>
    </row>
    <row r="14" spans="1:3" x14ac:dyDescent="0.25">
      <c r="A14" t="s">
        <v>47</v>
      </c>
      <c r="B14">
        <f>SUM(B4:B12)</f>
        <v>5581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062E7-8606-4A3D-9E4F-B90089708D67}">
  <dimension ref="A1:AE67"/>
  <sheetViews>
    <sheetView workbookViewId="0">
      <selection activeCell="M22" sqref="M22"/>
    </sheetView>
  </sheetViews>
  <sheetFormatPr defaultRowHeight="15" x14ac:dyDescent="0.25"/>
  <cols>
    <col min="1" max="1" width="57.85546875" bestFit="1" customWidth="1"/>
    <col min="2" max="2" width="12.85546875" bestFit="1" customWidth="1"/>
    <col min="3" max="3" width="11.7109375" customWidth="1"/>
    <col min="4" max="4" width="12" customWidth="1"/>
    <col min="5" max="5" width="21" customWidth="1"/>
    <col min="7" max="7" width="21" customWidth="1"/>
    <col min="8" max="8" width="12.28515625" bestFit="1" customWidth="1"/>
    <col min="11" max="11" width="9.7109375" bestFit="1" customWidth="1"/>
    <col min="12" max="12" width="10.7109375" bestFit="1" customWidth="1"/>
    <col min="14" max="14" width="19.42578125" bestFit="1" customWidth="1"/>
    <col min="15" max="16" width="10.7109375" bestFit="1" customWidth="1"/>
    <col min="17" max="17" width="14.42578125" bestFit="1" customWidth="1"/>
    <col min="18" max="18" width="16" bestFit="1" customWidth="1"/>
    <col min="19" max="19" width="19" bestFit="1" customWidth="1"/>
    <col min="20" max="20" width="14.85546875" bestFit="1" customWidth="1"/>
  </cols>
  <sheetData>
    <row r="1" spans="1:20" x14ac:dyDescent="0.25">
      <c r="A1" s="302" t="s">
        <v>445</v>
      </c>
      <c r="O1" s="303" t="s">
        <v>442</v>
      </c>
    </row>
    <row r="2" spans="1:20" s="332" customFormat="1" ht="45" x14ac:dyDescent="0.25">
      <c r="A2" s="331" t="s">
        <v>431</v>
      </c>
      <c r="B2" s="331" t="s">
        <v>432</v>
      </c>
      <c r="C2" s="331" t="s">
        <v>501</v>
      </c>
      <c r="D2" s="331" t="s">
        <v>455</v>
      </c>
      <c r="E2" s="331" t="s">
        <v>443</v>
      </c>
      <c r="F2" s="331" t="s">
        <v>487</v>
      </c>
      <c r="G2" s="331" t="s">
        <v>498</v>
      </c>
      <c r="H2" s="331" t="s">
        <v>500</v>
      </c>
      <c r="O2" s="334" t="s">
        <v>488</v>
      </c>
      <c r="P2" s="335" t="s">
        <v>489</v>
      </c>
      <c r="Q2" s="335" t="s">
        <v>97</v>
      </c>
      <c r="R2" s="335" t="s">
        <v>490</v>
      </c>
      <c r="S2" s="335" t="s">
        <v>491</v>
      </c>
      <c r="T2" s="336" t="s">
        <v>492</v>
      </c>
    </row>
    <row r="3" spans="1:20" s="332" customFormat="1" x14ac:dyDescent="0.25">
      <c r="A3" s="358" t="s">
        <v>557</v>
      </c>
      <c r="B3" s="320">
        <v>10000000</v>
      </c>
      <c r="C3" s="358" t="s">
        <v>556</v>
      </c>
      <c r="D3" s="276">
        <v>700</v>
      </c>
      <c r="E3" s="358"/>
      <c r="F3" s="358"/>
      <c r="G3" s="358"/>
      <c r="H3" s="358"/>
      <c r="I3" s="359" t="s">
        <v>555</v>
      </c>
      <c r="O3" s="356"/>
      <c r="P3" s="355"/>
      <c r="Q3" s="355"/>
      <c r="R3" s="335"/>
      <c r="S3" s="355"/>
      <c r="T3" s="357"/>
    </row>
    <row r="4" spans="1:20" x14ac:dyDescent="0.25">
      <c r="A4" t="s">
        <v>440</v>
      </c>
      <c r="B4" s="320">
        <v>755000</v>
      </c>
      <c r="C4" s="1">
        <v>2.385E-2</v>
      </c>
      <c r="D4" s="276">
        <v>520</v>
      </c>
      <c r="F4" s="2"/>
      <c r="G4" s="270">
        <v>43918</v>
      </c>
      <c r="H4" s="276">
        <v>644</v>
      </c>
      <c r="O4" s="337">
        <v>43890</v>
      </c>
      <c r="P4" s="259">
        <f ca="1">NOW()</f>
        <v>43986.963576273149</v>
      </c>
      <c r="Q4" s="136">
        <f ca="1">P4-O4</f>
        <v>96.963576273148647</v>
      </c>
      <c r="R4" s="327">
        <v>108059</v>
      </c>
      <c r="S4" s="10">
        <f ca="1">R4/Q4</f>
        <v>1114.4287798914852</v>
      </c>
      <c r="T4" s="83">
        <f ca="1">("31/12/2020"-O4)*S4</f>
        <v>341015.20664679445</v>
      </c>
    </row>
    <row r="5" spans="1:20" x14ac:dyDescent="0.25">
      <c r="A5" t="s">
        <v>426</v>
      </c>
      <c r="B5" s="320">
        <v>405399</v>
      </c>
      <c r="C5" s="1">
        <v>3.7000000000000002E-3</v>
      </c>
      <c r="D5" s="276">
        <v>297</v>
      </c>
      <c r="F5" s="2"/>
      <c r="G5" s="270">
        <v>43915</v>
      </c>
      <c r="H5" s="276">
        <v>303</v>
      </c>
      <c r="O5" s="41"/>
      <c r="P5" s="16"/>
      <c r="Q5" s="16"/>
      <c r="R5" s="14">
        <f>R4/Projections!B267</f>
        <v>3.2689134226045972E-4</v>
      </c>
      <c r="S5" s="16" t="s">
        <v>537</v>
      </c>
      <c r="T5" s="17"/>
    </row>
    <row r="6" spans="1:20" x14ac:dyDescent="0.25">
      <c r="A6" s="39" t="s">
        <v>427</v>
      </c>
      <c r="B6" s="321">
        <v>116516</v>
      </c>
      <c r="C6" s="44">
        <v>1.1000000000000001E-3</v>
      </c>
      <c r="D6" s="305">
        <v>279</v>
      </c>
      <c r="E6" s="39"/>
      <c r="F6" s="11"/>
      <c r="G6" s="306">
        <v>43915</v>
      </c>
      <c r="H6" s="305">
        <v>303</v>
      </c>
      <c r="O6" s="41"/>
      <c r="P6" s="338" t="s">
        <v>96</v>
      </c>
      <c r="Q6" s="338"/>
      <c r="R6" s="338" t="s">
        <v>493</v>
      </c>
      <c r="S6" s="16"/>
      <c r="T6" s="17"/>
    </row>
    <row r="7" spans="1:20" x14ac:dyDescent="0.25">
      <c r="A7" s="92" t="s">
        <v>429</v>
      </c>
      <c r="B7" s="317">
        <v>58209</v>
      </c>
      <c r="C7" s="310">
        <v>3.2000000000000003E-4</v>
      </c>
      <c r="D7" s="276">
        <v>11</v>
      </c>
      <c r="E7" s="308">
        <v>43949</v>
      </c>
      <c r="F7" s="307">
        <v>59265</v>
      </c>
      <c r="G7" s="270">
        <v>43905</v>
      </c>
      <c r="H7" s="276">
        <v>15</v>
      </c>
      <c r="O7" s="339" t="s">
        <v>481</v>
      </c>
      <c r="P7" s="259">
        <v>43942</v>
      </c>
      <c r="Q7" s="16"/>
      <c r="R7" s="327">
        <v>2683</v>
      </c>
      <c r="S7" s="16"/>
      <c r="T7" s="17"/>
    </row>
    <row r="8" spans="1:20" x14ac:dyDescent="0.25">
      <c r="A8" s="92" t="s">
        <v>551</v>
      </c>
      <c r="B8" s="317">
        <v>39457</v>
      </c>
      <c r="C8" s="340">
        <f>B8/Projections!B267</f>
        <v>1.19362123391582E-4</v>
      </c>
      <c r="D8" s="343">
        <f>B8/365</f>
        <v>108.1013698630137</v>
      </c>
      <c r="E8" s="308">
        <v>43940</v>
      </c>
      <c r="F8" s="307">
        <v>40901</v>
      </c>
      <c r="G8" s="270">
        <v>43912</v>
      </c>
      <c r="H8" s="276">
        <v>135</v>
      </c>
      <c r="I8" t="s">
        <v>541</v>
      </c>
      <c r="O8" s="37"/>
      <c r="P8" s="39"/>
      <c r="Q8" s="39"/>
      <c r="R8" s="39"/>
      <c r="S8" s="39"/>
      <c r="T8" s="63"/>
    </row>
    <row r="9" spans="1:20" x14ac:dyDescent="0.25">
      <c r="A9" s="92" t="s">
        <v>428</v>
      </c>
      <c r="B9" s="317">
        <v>36516</v>
      </c>
      <c r="C9" s="310">
        <v>2.4000000000000001E-4</v>
      </c>
      <c r="D9" s="276">
        <v>30</v>
      </c>
      <c r="E9" s="308">
        <v>43938</v>
      </c>
      <c r="F9" s="307">
        <v>37448</v>
      </c>
      <c r="G9" s="270">
        <v>43908</v>
      </c>
      <c r="H9" s="276">
        <v>50</v>
      </c>
    </row>
    <row r="10" spans="1:20" x14ac:dyDescent="0.25">
      <c r="A10" s="92" t="s">
        <v>438</v>
      </c>
      <c r="B10" s="317">
        <v>25000</v>
      </c>
      <c r="C10" s="310">
        <v>0.01</v>
      </c>
      <c r="D10" s="276">
        <v>11</v>
      </c>
      <c r="E10" s="308">
        <v>43933</v>
      </c>
      <c r="F10" s="307">
        <v>25789</v>
      </c>
      <c r="G10" s="270">
        <v>43905</v>
      </c>
      <c r="H10" s="276">
        <v>15</v>
      </c>
    </row>
    <row r="11" spans="1:20" x14ac:dyDescent="0.25">
      <c r="A11" s="92" t="s">
        <v>439</v>
      </c>
      <c r="B11" s="317">
        <v>15000</v>
      </c>
      <c r="C11" s="310">
        <v>2.0699999999999998E-3</v>
      </c>
      <c r="D11" s="276">
        <v>15</v>
      </c>
      <c r="E11" s="308">
        <v>375933</v>
      </c>
      <c r="F11" s="307">
        <v>15526</v>
      </c>
      <c r="G11" s="270">
        <v>43905</v>
      </c>
      <c r="H11" s="276">
        <v>15</v>
      </c>
    </row>
    <row r="12" spans="1:20" x14ac:dyDescent="0.25">
      <c r="A12" s="92" t="s">
        <v>441</v>
      </c>
      <c r="B12" s="317">
        <v>13282</v>
      </c>
      <c r="C12" s="310">
        <v>5.6999999999999998E-4</v>
      </c>
      <c r="D12" s="276">
        <v>29</v>
      </c>
      <c r="E12" s="308">
        <v>43927</v>
      </c>
      <c r="F12" s="307">
        <v>13298</v>
      </c>
      <c r="G12" s="270">
        <v>43908</v>
      </c>
      <c r="H12" s="276">
        <v>50</v>
      </c>
    </row>
    <row r="13" spans="1:20" x14ac:dyDescent="0.25">
      <c r="A13" s="92" t="s">
        <v>437</v>
      </c>
      <c r="B13" s="317">
        <v>4576</v>
      </c>
      <c r="C13" s="340">
        <v>2.0000000000000002E-5</v>
      </c>
      <c r="D13" s="276">
        <v>2</v>
      </c>
      <c r="E13" s="308">
        <v>43921</v>
      </c>
      <c r="F13" s="307">
        <v>5151</v>
      </c>
      <c r="G13" s="270">
        <v>43892</v>
      </c>
      <c r="H13" s="276">
        <v>5</v>
      </c>
    </row>
    <row r="14" spans="1:20" x14ac:dyDescent="0.25">
      <c r="A14" s="92" t="s">
        <v>435</v>
      </c>
      <c r="B14" s="317">
        <v>4196</v>
      </c>
      <c r="C14" s="340">
        <v>6.0000000000000002E-5</v>
      </c>
      <c r="D14" s="276">
        <v>3.8</v>
      </c>
      <c r="E14" s="308">
        <v>43921</v>
      </c>
      <c r="F14" s="307">
        <v>5151</v>
      </c>
      <c r="G14" s="270">
        <v>43892</v>
      </c>
      <c r="H14" s="276">
        <v>5</v>
      </c>
    </row>
    <row r="15" spans="1:20" x14ac:dyDescent="0.25">
      <c r="A15" s="92" t="s">
        <v>434</v>
      </c>
      <c r="B15" s="317">
        <v>2446</v>
      </c>
      <c r="C15" s="340">
        <v>4.0000000000000003E-5</v>
      </c>
      <c r="D15" s="276">
        <v>8.9</v>
      </c>
      <c r="E15" s="308">
        <v>43918</v>
      </c>
      <c r="F15" s="307">
        <v>2754</v>
      </c>
      <c r="G15" s="270">
        <v>43904</v>
      </c>
      <c r="H15" s="276">
        <v>10</v>
      </c>
    </row>
    <row r="16" spans="1:20" x14ac:dyDescent="0.25">
      <c r="A16" s="92" t="s">
        <v>436</v>
      </c>
      <c r="B16" s="317">
        <v>2216</v>
      </c>
      <c r="C16" s="340">
        <v>4.0000000000000003E-5</v>
      </c>
      <c r="D16" s="276">
        <v>0.36</v>
      </c>
      <c r="E16" s="308">
        <v>43918</v>
      </c>
      <c r="F16" s="307">
        <v>2754</v>
      </c>
      <c r="G16" s="270">
        <v>43890</v>
      </c>
      <c r="H16" s="276">
        <v>1</v>
      </c>
    </row>
    <row r="17" spans="1:19" x14ac:dyDescent="0.25">
      <c r="A17" s="92" t="s">
        <v>553</v>
      </c>
      <c r="B17" s="317">
        <v>1146</v>
      </c>
      <c r="C17" s="342">
        <f>1000/322762018</f>
        <v>3.0982579864772068E-6</v>
      </c>
      <c r="D17" s="341">
        <f>1000/365</f>
        <v>2.7397260273972601</v>
      </c>
      <c r="E17" s="308">
        <v>43915</v>
      </c>
      <c r="F17" s="307">
        <v>1260</v>
      </c>
      <c r="G17" s="270">
        <v>43892</v>
      </c>
      <c r="H17" s="276">
        <v>5</v>
      </c>
      <c r="I17" t="s">
        <v>536</v>
      </c>
    </row>
    <row r="18" spans="1:19" x14ac:dyDescent="0.25">
      <c r="A18" s="92" t="s">
        <v>552</v>
      </c>
      <c r="B18" s="317">
        <v>417</v>
      </c>
      <c r="C18" s="342">
        <f>1000/Projections!B267</f>
        <v>3.025119076249639E-6</v>
      </c>
      <c r="D18" s="341">
        <f>B18/365</f>
        <v>1.1424657534246576</v>
      </c>
      <c r="E18" s="308">
        <v>43912</v>
      </c>
      <c r="F18" s="307">
        <v>509</v>
      </c>
      <c r="G18" s="270">
        <v>43892</v>
      </c>
      <c r="H18" s="276">
        <v>5</v>
      </c>
      <c r="I18" t="s">
        <v>541</v>
      </c>
    </row>
    <row r="19" spans="1:19" x14ac:dyDescent="0.25">
      <c r="A19" s="92" t="s">
        <v>430</v>
      </c>
      <c r="B19" s="317">
        <v>294</v>
      </c>
      <c r="C19" s="310"/>
      <c r="D19" s="276">
        <f>B19/210</f>
        <v>1.4</v>
      </c>
      <c r="E19" s="308">
        <v>43910</v>
      </c>
      <c r="F19" s="307">
        <v>309</v>
      </c>
      <c r="G19" s="270">
        <v>43892</v>
      </c>
      <c r="H19" s="276">
        <v>5</v>
      </c>
      <c r="K19" s="217"/>
      <c r="L19" s="217"/>
    </row>
    <row r="20" spans="1:19" x14ac:dyDescent="0.25">
      <c r="B20" s="2"/>
    </row>
    <row r="21" spans="1:19" x14ac:dyDescent="0.25">
      <c r="A21" s="302" t="s">
        <v>444</v>
      </c>
      <c r="B21" s="2"/>
      <c r="N21" s="332"/>
      <c r="O21" s="332"/>
      <c r="P21" s="332"/>
      <c r="Q21" s="332"/>
      <c r="R21" s="332"/>
      <c r="S21" s="332"/>
    </row>
    <row r="22" spans="1:19" s="332" customFormat="1" ht="45" x14ac:dyDescent="0.25">
      <c r="A22" s="331" t="s">
        <v>453</v>
      </c>
      <c r="B22" s="331" t="s">
        <v>432</v>
      </c>
      <c r="C22" s="331" t="s">
        <v>433</v>
      </c>
      <c r="D22" s="331" t="s">
        <v>455</v>
      </c>
      <c r="E22" s="331" t="s">
        <v>443</v>
      </c>
      <c r="F22" s="331" t="s">
        <v>487</v>
      </c>
      <c r="G22" s="331" t="s">
        <v>498</v>
      </c>
      <c r="H22" s="331" t="s">
        <v>500</v>
      </c>
      <c r="N22"/>
      <c r="O22"/>
      <c r="P22"/>
      <c r="Q22"/>
      <c r="R22"/>
      <c r="S22"/>
    </row>
    <row r="23" spans="1:19" x14ac:dyDescent="0.25">
      <c r="A23" t="s">
        <v>446</v>
      </c>
      <c r="B23" s="320">
        <v>647457</v>
      </c>
      <c r="C23" s="1">
        <f>B23/Projections!$B$267</f>
        <v>1.9586345217513625E-3</v>
      </c>
      <c r="D23" s="304">
        <f t="shared" ref="D23:D33" si="0">B23/365.25</f>
        <v>1772.6406570841889</v>
      </c>
      <c r="E23" s="69"/>
      <c r="F23" s="69"/>
      <c r="G23" s="270">
        <v>43928</v>
      </c>
      <c r="H23" s="304">
        <v>2228</v>
      </c>
      <c r="R23">
        <f>B3/400</f>
        <v>25000</v>
      </c>
    </row>
    <row r="24" spans="1:19" x14ac:dyDescent="0.25">
      <c r="A24" t="s">
        <v>8</v>
      </c>
      <c r="B24" s="320">
        <v>599108</v>
      </c>
      <c r="C24" s="1">
        <f>B24/Projections!$B$267</f>
        <v>1.8123730395337686E-3</v>
      </c>
      <c r="D24" s="304">
        <f t="shared" si="0"/>
        <v>1640.2683093771388</v>
      </c>
      <c r="E24" s="69"/>
      <c r="F24" s="35"/>
      <c r="G24" s="270">
        <v>43928</v>
      </c>
      <c r="H24" s="304">
        <v>2228</v>
      </c>
      <c r="R24">
        <f>R23/36</f>
        <v>694.44444444444446</v>
      </c>
    </row>
    <row r="25" spans="1:19" x14ac:dyDescent="0.25">
      <c r="A25" t="s">
        <v>447</v>
      </c>
      <c r="B25" s="320">
        <v>169936</v>
      </c>
      <c r="C25" s="1">
        <f>B25/Projections!$B$267</f>
        <v>5.1407663534155858E-4</v>
      </c>
      <c r="D25" s="304">
        <f t="shared" si="0"/>
        <v>465.25941136208075</v>
      </c>
      <c r="E25" s="69"/>
      <c r="F25" s="35"/>
      <c r="G25" s="270">
        <v>412811</v>
      </c>
      <c r="H25" s="304">
        <v>496</v>
      </c>
    </row>
    <row r="26" spans="1:19" x14ac:dyDescent="0.25">
      <c r="A26" s="344" t="s">
        <v>510</v>
      </c>
      <c r="B26" s="317">
        <v>38000</v>
      </c>
      <c r="C26" s="310">
        <f>B26/Projections!$B$267</f>
        <v>1.1495452489748627E-4</v>
      </c>
      <c r="D26" s="304">
        <f t="shared" si="0"/>
        <v>104.03832991101984</v>
      </c>
      <c r="E26" s="308">
        <v>43939</v>
      </c>
      <c r="F26" s="307">
        <v>39331</v>
      </c>
      <c r="G26" s="270">
        <v>43912</v>
      </c>
      <c r="H26" s="304">
        <v>135</v>
      </c>
    </row>
    <row r="27" spans="1:19" x14ac:dyDescent="0.25">
      <c r="A27" t="s">
        <v>448</v>
      </c>
      <c r="B27" s="320">
        <v>160201</v>
      </c>
      <c r="C27" s="1">
        <f>B27/Projections!$B$267</f>
        <v>4.8462710113426839E-4</v>
      </c>
      <c r="D27" s="304">
        <f t="shared" si="0"/>
        <v>438.60643394934976</v>
      </c>
      <c r="E27" s="69"/>
      <c r="F27" s="35"/>
      <c r="G27" s="270">
        <v>43917</v>
      </c>
      <c r="H27" s="304">
        <v>496</v>
      </c>
    </row>
    <row r="28" spans="1:19" x14ac:dyDescent="0.25">
      <c r="A28" t="s">
        <v>449</v>
      </c>
      <c r="B28" s="320">
        <v>146383</v>
      </c>
      <c r="C28" s="1">
        <f>B28/Projections!$B$267</f>
        <v>4.4282600573865088E-4</v>
      </c>
      <c r="D28" s="304">
        <f t="shared" si="0"/>
        <v>400.77481177275837</v>
      </c>
      <c r="E28" s="69"/>
      <c r="F28" s="35"/>
      <c r="G28" s="270">
        <v>43917</v>
      </c>
      <c r="H28" s="304">
        <v>496</v>
      </c>
    </row>
    <row r="29" spans="1:19" x14ac:dyDescent="0.25">
      <c r="A29" s="39" t="s">
        <v>450</v>
      </c>
      <c r="B29" s="321">
        <v>121404</v>
      </c>
      <c r="C29" s="44">
        <f>B29/Projections!$B$267</f>
        <v>3.6726155633301115E-4</v>
      </c>
      <c r="D29" s="32">
        <f t="shared" si="0"/>
        <v>332.38603696098562</v>
      </c>
      <c r="E29" s="315"/>
      <c r="F29" s="314"/>
      <c r="G29" s="306">
        <v>43916</v>
      </c>
      <c r="H29" s="32">
        <v>354</v>
      </c>
    </row>
    <row r="30" spans="1:19" x14ac:dyDescent="0.25">
      <c r="A30" s="92" t="s">
        <v>4</v>
      </c>
      <c r="B30" s="317">
        <v>83564</v>
      </c>
      <c r="C30" s="310">
        <f>B30/Projections!$B$267</f>
        <v>2.5279105048772483E-4</v>
      </c>
      <c r="D30" s="304">
        <f t="shared" si="0"/>
        <v>228.78576317590691</v>
      </c>
      <c r="E30" s="308">
        <v>43963</v>
      </c>
      <c r="F30" s="307">
        <v>83718</v>
      </c>
      <c r="G30" s="270">
        <v>43914</v>
      </c>
      <c r="H30" s="304">
        <v>268</v>
      </c>
    </row>
    <row r="31" spans="1:19" x14ac:dyDescent="0.25">
      <c r="A31" s="92" t="s">
        <v>451</v>
      </c>
      <c r="B31" s="317">
        <v>55672</v>
      </c>
      <c r="C31" s="310">
        <f>B31/Projections!$B$267</f>
        <v>1.6841442921296988E-4</v>
      </c>
      <c r="D31" s="304">
        <f t="shared" si="0"/>
        <v>152.42162902121834</v>
      </c>
      <c r="E31" s="308">
        <v>43948</v>
      </c>
      <c r="F31" s="307">
        <v>56795</v>
      </c>
      <c r="G31" s="270">
        <v>43913</v>
      </c>
      <c r="H31" s="304">
        <v>180</v>
      </c>
    </row>
    <row r="32" spans="1:19" x14ac:dyDescent="0.25">
      <c r="A32" s="92" t="s">
        <v>454</v>
      </c>
      <c r="B32" s="317">
        <v>50633</v>
      </c>
      <c r="C32" s="310">
        <f>B32/Projections!$B$267</f>
        <v>1.5317085418774796E-4</v>
      </c>
      <c r="D32" s="304">
        <f t="shared" si="0"/>
        <v>138.62559890485969</v>
      </c>
      <c r="E32" s="308">
        <v>43945</v>
      </c>
      <c r="F32" s="307">
        <v>52191</v>
      </c>
      <c r="G32" s="270">
        <v>43913</v>
      </c>
      <c r="H32" s="304">
        <v>180</v>
      </c>
    </row>
    <row r="33" spans="1:31" x14ac:dyDescent="0.25">
      <c r="A33" s="92" t="s">
        <v>452</v>
      </c>
      <c r="B33" s="317">
        <v>47173</v>
      </c>
      <c r="C33" s="310">
        <f>B33/Projections!$B$267</f>
        <v>1.4270394218392421E-4</v>
      </c>
      <c r="D33" s="304">
        <f t="shared" si="0"/>
        <v>129.15263518138261</v>
      </c>
      <c r="E33" s="308">
        <v>43943</v>
      </c>
      <c r="F33" s="307">
        <v>47894</v>
      </c>
      <c r="G33" s="270">
        <v>43912</v>
      </c>
      <c r="H33" s="304">
        <v>135</v>
      </c>
    </row>
    <row r="34" spans="1:31" x14ac:dyDescent="0.25">
      <c r="B34" s="2"/>
    </row>
    <row r="35" spans="1:31" x14ac:dyDescent="0.25">
      <c r="A35" s="302" t="s">
        <v>456</v>
      </c>
      <c r="B35" s="2"/>
      <c r="N35" s="332"/>
      <c r="O35" s="332"/>
      <c r="P35" s="332"/>
      <c r="Q35" s="332"/>
      <c r="R35" s="332"/>
      <c r="S35" s="332"/>
    </row>
    <row r="36" spans="1:31" s="332" customFormat="1" ht="45" x14ac:dyDescent="0.25">
      <c r="A36" s="331" t="s">
        <v>462</v>
      </c>
      <c r="B36" s="331" t="s">
        <v>432</v>
      </c>
      <c r="C36" s="333"/>
      <c r="D36" s="331" t="s">
        <v>455</v>
      </c>
      <c r="E36" s="331" t="s">
        <v>443</v>
      </c>
      <c r="F36" s="331" t="s">
        <v>487</v>
      </c>
      <c r="G36" s="331" t="s">
        <v>498</v>
      </c>
      <c r="H36" s="331" t="s">
        <v>500</v>
      </c>
      <c r="N36"/>
      <c r="O36"/>
      <c r="P36"/>
      <c r="Q36"/>
      <c r="R36"/>
      <c r="S36"/>
    </row>
    <row r="37" spans="1:31" x14ac:dyDescent="0.25">
      <c r="A37" s="16" t="s">
        <v>494</v>
      </c>
      <c r="B37" s="322">
        <v>675000</v>
      </c>
      <c r="C37" s="16"/>
      <c r="D37" s="30">
        <f t="shared" ref="D37:D46" si="1">B37/365</f>
        <v>1849.3150684931506</v>
      </c>
      <c r="E37" s="16"/>
      <c r="F37" s="16"/>
      <c r="G37" s="328">
        <v>43928</v>
      </c>
      <c r="H37" s="30">
        <v>2228</v>
      </c>
      <c r="I37" t="s">
        <v>495</v>
      </c>
      <c r="N37" s="313"/>
      <c r="O37" s="313"/>
      <c r="P37" s="313"/>
      <c r="Q37" s="313"/>
      <c r="R37" s="313"/>
      <c r="S37" s="313"/>
    </row>
    <row r="38" spans="1:31" s="313" customFormat="1" x14ac:dyDescent="0.25">
      <c r="A38" s="323" t="s">
        <v>482</v>
      </c>
      <c r="B38" s="324">
        <v>116000</v>
      </c>
      <c r="C38" s="323"/>
      <c r="D38" s="32">
        <f t="shared" si="1"/>
        <v>317.8082191780822</v>
      </c>
      <c r="E38" s="323"/>
      <c r="F38" s="323"/>
      <c r="G38" s="329">
        <v>43916</v>
      </c>
      <c r="H38" s="330">
        <v>354</v>
      </c>
      <c r="I38" s="313" t="s">
        <v>503</v>
      </c>
      <c r="N38"/>
      <c r="O38"/>
      <c r="P38"/>
      <c r="Q38"/>
      <c r="R38"/>
      <c r="S38"/>
    </row>
    <row r="39" spans="1:31" x14ac:dyDescent="0.25">
      <c r="A39" s="325" t="s">
        <v>497</v>
      </c>
      <c r="B39" s="326">
        <v>100000</v>
      </c>
      <c r="C39" s="92"/>
      <c r="D39" s="304">
        <f t="shared" si="1"/>
        <v>273.97260273972603</v>
      </c>
      <c r="E39" s="308">
        <v>43916</v>
      </c>
      <c r="F39" s="307">
        <v>100572</v>
      </c>
      <c r="G39" s="270">
        <v>43915</v>
      </c>
      <c r="H39" s="304">
        <v>303</v>
      </c>
      <c r="I39" t="s">
        <v>544</v>
      </c>
      <c r="Q39" s="296"/>
    </row>
    <row r="40" spans="1:31" x14ac:dyDescent="0.25">
      <c r="A40" s="325" t="s">
        <v>485</v>
      </c>
      <c r="B40" s="326">
        <v>61000</v>
      </c>
      <c r="C40" s="92"/>
      <c r="D40" s="304">
        <f t="shared" si="1"/>
        <v>167.12328767123287</v>
      </c>
      <c r="E40" s="308">
        <v>43950</v>
      </c>
      <c r="F40" s="307">
        <v>61655</v>
      </c>
      <c r="G40" s="270">
        <v>43913</v>
      </c>
      <c r="H40" s="304">
        <v>180</v>
      </c>
      <c r="V40" s="69"/>
      <c r="W40" s="69"/>
      <c r="AE40" s="69"/>
    </row>
    <row r="41" spans="1:31" x14ac:dyDescent="0.25">
      <c r="A41" s="325" t="s">
        <v>484</v>
      </c>
      <c r="B41" s="326">
        <v>50000</v>
      </c>
      <c r="C41" s="92"/>
      <c r="D41" s="304">
        <f>50000/365</f>
        <v>136.98630136986301</v>
      </c>
      <c r="E41" s="308">
        <v>43944</v>
      </c>
      <c r="F41" s="307">
        <v>50234</v>
      </c>
      <c r="G41" s="270">
        <v>43913</v>
      </c>
      <c r="H41" s="304">
        <v>180</v>
      </c>
      <c r="I41" t="s">
        <v>483</v>
      </c>
    </row>
    <row r="42" spans="1:31" x14ac:dyDescent="0.25">
      <c r="A42" s="92" t="s">
        <v>459</v>
      </c>
      <c r="B42" s="317">
        <v>15520</v>
      </c>
      <c r="C42" s="92"/>
      <c r="D42" s="304">
        <f>B42/(365*4)</f>
        <v>10.63013698630137</v>
      </c>
      <c r="E42" s="308">
        <v>43928</v>
      </c>
      <c r="F42" s="307">
        <v>15526</v>
      </c>
      <c r="G42" s="270">
        <v>43905</v>
      </c>
      <c r="H42" s="304">
        <v>15</v>
      </c>
    </row>
    <row r="43" spans="1:31" x14ac:dyDescent="0.25">
      <c r="A43" s="92" t="s">
        <v>496</v>
      </c>
      <c r="B43" s="317">
        <v>12469</v>
      </c>
      <c r="C43" s="92"/>
      <c r="D43" s="304">
        <f t="shared" si="1"/>
        <v>34.161643835616438</v>
      </c>
      <c r="E43" s="308">
        <v>43927</v>
      </c>
      <c r="F43" s="307">
        <v>13298</v>
      </c>
      <c r="G43" s="270">
        <v>43908</v>
      </c>
      <c r="H43" s="304">
        <v>50</v>
      </c>
      <c r="I43" t="s">
        <v>502</v>
      </c>
    </row>
    <row r="44" spans="1:31" x14ac:dyDescent="0.25">
      <c r="A44" s="92" t="s">
        <v>457</v>
      </c>
      <c r="B44" s="317">
        <v>10771</v>
      </c>
      <c r="C44" s="92"/>
      <c r="D44" s="304">
        <f t="shared" si="1"/>
        <v>29.509589041095889</v>
      </c>
      <c r="E44" s="308">
        <v>43926</v>
      </c>
      <c r="F44" s="307">
        <v>11793</v>
      </c>
      <c r="G44" s="270">
        <v>43908</v>
      </c>
      <c r="H44" s="304">
        <v>50</v>
      </c>
    </row>
    <row r="45" spans="1:31" x14ac:dyDescent="0.25">
      <c r="A45" s="92" t="s">
        <v>460</v>
      </c>
      <c r="B45" s="317">
        <v>10000</v>
      </c>
      <c r="C45" s="92"/>
      <c r="D45" s="304">
        <f>10000/(365*10)</f>
        <v>2.7397260273972601</v>
      </c>
      <c r="E45" s="308">
        <v>43925</v>
      </c>
      <c r="F45" s="307">
        <v>10384</v>
      </c>
      <c r="G45" s="270">
        <v>43892</v>
      </c>
      <c r="H45" s="304">
        <v>5</v>
      </c>
      <c r="I45" t="s">
        <v>461</v>
      </c>
    </row>
    <row r="46" spans="1:31" x14ac:dyDescent="0.25">
      <c r="A46" s="92" t="s">
        <v>458</v>
      </c>
      <c r="B46" s="317">
        <v>5000</v>
      </c>
      <c r="C46" s="92"/>
      <c r="D46" s="304">
        <f t="shared" si="1"/>
        <v>13.698630136986301</v>
      </c>
      <c r="E46" s="308">
        <v>43921</v>
      </c>
      <c r="F46" s="307">
        <v>5151</v>
      </c>
      <c r="G46" s="270">
        <v>43905</v>
      </c>
      <c r="H46" s="304">
        <v>15</v>
      </c>
    </row>
    <row r="47" spans="1:31" x14ac:dyDescent="0.25">
      <c r="A47" s="92" t="s">
        <v>486</v>
      </c>
      <c r="B47" s="317">
        <v>3145</v>
      </c>
      <c r="C47" s="92"/>
      <c r="D47" s="304">
        <f>B47/365</f>
        <v>8.6164383561643838</v>
      </c>
      <c r="E47" s="308">
        <v>43919</v>
      </c>
      <c r="F47" s="307">
        <v>3251</v>
      </c>
      <c r="G47" s="270">
        <v>43904</v>
      </c>
      <c r="H47" s="304">
        <v>10</v>
      </c>
    </row>
    <row r="49" spans="1:19" x14ac:dyDescent="0.25">
      <c r="A49" s="302" t="s">
        <v>463</v>
      </c>
      <c r="N49" s="332"/>
      <c r="O49" s="332"/>
      <c r="P49" s="332"/>
      <c r="Q49" s="332"/>
      <c r="R49" s="332"/>
      <c r="S49" s="332"/>
    </row>
    <row r="50" spans="1:19" s="332" customFormat="1" ht="45" x14ac:dyDescent="0.25">
      <c r="A50" s="331" t="s">
        <v>463</v>
      </c>
      <c r="B50" s="331" t="s">
        <v>432</v>
      </c>
      <c r="C50" s="333"/>
      <c r="D50" s="333"/>
      <c r="E50" s="331" t="s">
        <v>443</v>
      </c>
      <c r="F50" s="331" t="s">
        <v>487</v>
      </c>
      <c r="G50" s="331" t="s">
        <v>499</v>
      </c>
      <c r="H50" s="331" t="s">
        <v>500</v>
      </c>
      <c r="N50"/>
      <c r="O50"/>
      <c r="P50"/>
      <c r="Q50"/>
      <c r="R50"/>
      <c r="S50"/>
    </row>
    <row r="51" spans="1:19" x14ac:dyDescent="0.25">
      <c r="A51" s="92" t="s">
        <v>464</v>
      </c>
      <c r="B51" s="317">
        <v>12000</v>
      </c>
      <c r="C51" s="92"/>
      <c r="D51" s="92"/>
      <c r="E51" s="308">
        <v>43927</v>
      </c>
      <c r="F51" s="307">
        <v>13298</v>
      </c>
      <c r="G51" s="217"/>
    </row>
    <row r="52" spans="1:19" x14ac:dyDescent="0.25">
      <c r="A52" s="92" t="s">
        <v>465</v>
      </c>
      <c r="B52" s="317">
        <v>3389</v>
      </c>
      <c r="C52" s="92"/>
      <c r="D52" s="92"/>
      <c r="E52" s="308">
        <v>43920</v>
      </c>
      <c r="F52" s="307">
        <v>4066</v>
      </c>
    </row>
    <row r="53" spans="1:19" x14ac:dyDescent="0.25">
      <c r="A53" s="92" t="s">
        <v>466</v>
      </c>
      <c r="B53" s="318">
        <v>3000</v>
      </c>
      <c r="C53" s="92"/>
      <c r="D53" s="92"/>
      <c r="E53" s="308">
        <v>43919</v>
      </c>
      <c r="F53" s="307">
        <v>3251</v>
      </c>
    </row>
    <row r="54" spans="1:19" x14ac:dyDescent="0.25">
      <c r="A54" s="92" t="s">
        <v>467</v>
      </c>
      <c r="B54" s="317">
        <v>2996</v>
      </c>
      <c r="C54" s="92"/>
      <c r="D54" s="92"/>
      <c r="E54" s="308">
        <v>43919</v>
      </c>
      <c r="F54" s="307">
        <v>2996</v>
      </c>
    </row>
    <row r="55" spans="1:19" x14ac:dyDescent="0.25">
      <c r="A55" s="92" t="s">
        <v>468</v>
      </c>
      <c r="B55" s="317">
        <v>2982</v>
      </c>
      <c r="C55" s="92"/>
      <c r="D55" s="92"/>
      <c r="E55" s="308">
        <v>43919</v>
      </c>
      <c r="F55" s="307">
        <v>2996</v>
      </c>
    </row>
    <row r="56" spans="1:19" x14ac:dyDescent="0.25">
      <c r="A56" s="312" t="s">
        <v>469</v>
      </c>
      <c r="B56" s="319">
        <v>2823</v>
      </c>
      <c r="C56" s="312"/>
      <c r="D56" s="312"/>
      <c r="E56" s="311">
        <v>43919</v>
      </c>
      <c r="F56" s="316">
        <v>2996</v>
      </c>
      <c r="G56" s="39"/>
      <c r="H56" s="39"/>
    </row>
    <row r="57" spans="1:19" x14ac:dyDescent="0.25">
      <c r="A57" s="92" t="s">
        <v>474</v>
      </c>
      <c r="B57" s="317">
        <v>2500</v>
      </c>
      <c r="C57" s="92"/>
      <c r="D57" s="92"/>
      <c r="E57" s="308">
        <v>43918</v>
      </c>
      <c r="F57" s="309">
        <v>2754</v>
      </c>
      <c r="G57" s="270">
        <v>43935</v>
      </c>
      <c r="H57" s="304">
        <v>2566</v>
      </c>
    </row>
    <row r="58" spans="1:19" x14ac:dyDescent="0.25">
      <c r="A58" s="92" t="s">
        <v>470</v>
      </c>
      <c r="B58" s="317">
        <v>2467</v>
      </c>
      <c r="C58" s="92"/>
      <c r="D58" s="92"/>
      <c r="E58" s="308">
        <v>43918</v>
      </c>
      <c r="F58" s="309">
        <v>2754</v>
      </c>
      <c r="G58" s="270">
        <v>43935</v>
      </c>
      <c r="H58" s="304">
        <v>2566</v>
      </c>
    </row>
    <row r="59" spans="1:19" x14ac:dyDescent="0.25">
      <c r="A59" s="92" t="s">
        <v>471</v>
      </c>
      <c r="B59" s="317">
        <v>2209</v>
      </c>
      <c r="C59" s="92"/>
      <c r="D59" s="92"/>
      <c r="E59" s="308">
        <v>43918</v>
      </c>
      <c r="F59" s="309">
        <v>2754</v>
      </c>
      <c r="G59" s="270">
        <v>43928</v>
      </c>
      <c r="H59" s="304">
        <v>2228</v>
      </c>
    </row>
    <row r="60" spans="1:19" x14ac:dyDescent="0.25">
      <c r="A60" s="92" t="s">
        <v>472</v>
      </c>
      <c r="B60" s="317">
        <v>2000</v>
      </c>
      <c r="C60" s="92"/>
      <c r="D60" s="92"/>
      <c r="E60" s="308">
        <v>43917</v>
      </c>
      <c r="F60" s="309">
        <v>2110</v>
      </c>
      <c r="G60" s="270">
        <v>43928</v>
      </c>
      <c r="H60" s="304">
        <v>2228</v>
      </c>
    </row>
    <row r="61" spans="1:19" x14ac:dyDescent="0.25">
      <c r="A61" s="92" t="s">
        <v>478</v>
      </c>
      <c r="B61" s="317">
        <v>2000</v>
      </c>
      <c r="C61" s="92"/>
      <c r="D61" s="92"/>
      <c r="E61" s="308">
        <v>43917</v>
      </c>
      <c r="F61" s="309">
        <v>2110</v>
      </c>
      <c r="G61" s="270">
        <v>43928</v>
      </c>
      <c r="H61" s="304">
        <v>2228</v>
      </c>
    </row>
    <row r="62" spans="1:19" x14ac:dyDescent="0.25">
      <c r="A62" s="92" t="s">
        <v>475</v>
      </c>
      <c r="B62" s="317">
        <v>1836</v>
      </c>
      <c r="C62" s="92"/>
      <c r="D62" s="92"/>
      <c r="E62" s="308">
        <v>43917</v>
      </c>
      <c r="F62" s="309">
        <v>2110</v>
      </c>
      <c r="G62" s="270">
        <v>43928</v>
      </c>
      <c r="H62" s="304">
        <v>2228</v>
      </c>
    </row>
    <row r="63" spans="1:19" x14ac:dyDescent="0.25">
      <c r="A63" s="92" t="s">
        <v>473</v>
      </c>
      <c r="B63" s="317">
        <v>1700</v>
      </c>
      <c r="C63" s="92"/>
      <c r="D63" s="92"/>
      <c r="E63" s="308">
        <v>43917</v>
      </c>
      <c r="F63" s="309">
        <v>2110</v>
      </c>
      <c r="G63" s="270">
        <v>43928</v>
      </c>
      <c r="H63" s="304">
        <v>2228</v>
      </c>
    </row>
    <row r="64" spans="1:19" x14ac:dyDescent="0.25">
      <c r="A64" s="92" t="s">
        <v>477</v>
      </c>
      <c r="B64" s="317">
        <v>1173</v>
      </c>
      <c r="C64" s="92"/>
      <c r="D64" s="92"/>
      <c r="E64" s="308">
        <v>43915</v>
      </c>
      <c r="F64" s="309">
        <v>1260</v>
      </c>
      <c r="G64" s="270">
        <v>43922</v>
      </c>
      <c r="H64" s="304">
        <v>1243</v>
      </c>
    </row>
    <row r="65" spans="1:8" x14ac:dyDescent="0.25">
      <c r="A65" s="92" t="s">
        <v>476</v>
      </c>
      <c r="B65" s="317">
        <v>1021</v>
      </c>
      <c r="C65" s="92"/>
      <c r="D65" s="92"/>
      <c r="E65" s="308">
        <v>43915</v>
      </c>
      <c r="F65" s="309">
        <v>1260</v>
      </c>
      <c r="G65" s="270">
        <v>43921</v>
      </c>
      <c r="H65" s="304">
        <v>1085</v>
      </c>
    </row>
    <row r="66" spans="1:8" x14ac:dyDescent="0.25">
      <c r="A66" s="92" t="s">
        <v>479</v>
      </c>
      <c r="B66" s="317">
        <v>1000</v>
      </c>
      <c r="C66" s="92"/>
      <c r="D66" s="92"/>
      <c r="E66" s="308">
        <v>43915</v>
      </c>
      <c r="F66" s="309">
        <v>1260</v>
      </c>
      <c r="G66" s="270">
        <v>43921</v>
      </c>
      <c r="H66" s="304">
        <v>1085</v>
      </c>
    </row>
    <row r="67" spans="1:8" x14ac:dyDescent="0.25">
      <c r="A67" s="92" t="s">
        <v>480</v>
      </c>
      <c r="B67" s="317">
        <v>918</v>
      </c>
      <c r="C67" s="92"/>
      <c r="D67" s="92"/>
      <c r="E67" s="308">
        <v>43914</v>
      </c>
      <c r="F67" s="307">
        <v>957</v>
      </c>
      <c r="G67" s="270">
        <v>43921</v>
      </c>
      <c r="H67" s="304">
        <v>1085</v>
      </c>
    </row>
  </sheetData>
  <sortState xmlns:xlrd2="http://schemas.microsoft.com/office/spreadsheetml/2017/richdata2" ref="A4:C18">
    <sortCondition descending="1" ref="B4:B18"/>
  </sortState>
  <hyperlinks>
    <hyperlink ref="A1" r:id="rId1" display="Major Conflicts" xr:uid="{83A0AE55-AFF8-446B-883E-C6E61E1C5C13}"/>
    <hyperlink ref="A21" r:id="rId2" xr:uid="{891243FE-E7B2-4F24-8F65-AD6D6ABE7E97}"/>
    <hyperlink ref="A35" r:id="rId3" xr:uid="{D75C70CF-9224-4A14-BFD5-EA9846096D44}"/>
    <hyperlink ref="A49" r:id="rId4" location="Over_400_deaths" xr:uid="{57DB3A83-257F-4226-9034-56E0E6EEB0DD}"/>
  </hyperlinks>
  <pageMargins left="0.7" right="0.7" top="0.75" bottom="0.75" header="0.3" footer="0.3"/>
  <pageSetup paperSize="9" orientation="portrait" horizontalDpi="0" verticalDpi="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Projections</vt:lpstr>
      <vt:lpstr>What if</vt:lpstr>
      <vt:lpstr>Population by Age - Wikipedia</vt:lpstr>
      <vt:lpstr>AU Infection Rate by Age</vt:lpstr>
      <vt:lpstr>US Deaths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2020-06-04T13:07:33Z</dcterms:modified>
</cp:coreProperties>
</file>