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6D86B135-99FF-41C1-A3C5-4860A6AC085E}"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ABS Population by Age Range"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0" i="1" l="1"/>
  <c r="H20" i="1"/>
  <c r="I20" i="1"/>
  <c r="J20" i="1"/>
  <c r="K20" i="1"/>
  <c r="L20" i="1"/>
  <c r="M20" i="1"/>
  <c r="N20" i="1"/>
  <c r="O20" i="1"/>
  <c r="P20" i="1"/>
  <c r="R20" i="1"/>
  <c r="S20" i="1"/>
  <c r="T20" i="1"/>
  <c r="U20" i="1"/>
  <c r="V20" i="1"/>
  <c r="W20" i="1"/>
  <c r="X20" i="1"/>
  <c r="Y20" i="1"/>
  <c r="Z20" i="1"/>
  <c r="AA20" i="1"/>
  <c r="Q20" i="1"/>
  <c r="O31" i="1"/>
  <c r="P31" i="1"/>
  <c r="P29" i="1" s="1"/>
  <c r="R31" i="1"/>
  <c r="S31" i="1"/>
  <c r="T31" i="1"/>
  <c r="U31" i="1"/>
  <c r="V31" i="1"/>
  <c r="W31" i="1"/>
  <c r="X31" i="1"/>
  <c r="Y31" i="1"/>
  <c r="Z31" i="1"/>
  <c r="Z29" i="1" s="1"/>
  <c r="AA31" i="1"/>
  <c r="Q31" i="1"/>
  <c r="Q29" i="1" s="1"/>
  <c r="O29" i="1"/>
  <c r="I29" i="1"/>
  <c r="J29" i="1"/>
  <c r="K29" i="1"/>
  <c r="L29" i="1"/>
  <c r="M29" i="1"/>
  <c r="N29" i="1"/>
  <c r="R29" i="1"/>
  <c r="S29" i="1"/>
  <c r="T29" i="1"/>
  <c r="U29" i="1"/>
  <c r="V29" i="1"/>
  <c r="W29" i="1"/>
  <c r="X29" i="1"/>
  <c r="Y29" i="1"/>
  <c r="AA29" i="1"/>
  <c r="P27" i="1"/>
  <c r="Q27" i="1"/>
  <c r="R27" i="1"/>
  <c r="S27" i="1"/>
  <c r="T27" i="1"/>
  <c r="U27" i="1"/>
  <c r="V27" i="1"/>
  <c r="W27" i="1"/>
  <c r="X27" i="1"/>
  <c r="Y27" i="1"/>
  <c r="Z27" i="1"/>
  <c r="AA27" i="1"/>
  <c r="K27" i="1"/>
  <c r="L27" i="1"/>
  <c r="M27" i="1"/>
  <c r="N27" i="1"/>
  <c r="O27" i="1"/>
  <c r="O28" i="1"/>
  <c r="J27" i="1"/>
  <c r="G27" i="1"/>
  <c r="H27" i="1"/>
  <c r="I27" i="1"/>
  <c r="P28" i="1"/>
  <c r="H17" i="1" l="1"/>
  <c r="I17" i="1" s="1"/>
  <c r="J17" i="1" s="1"/>
  <c r="K17" i="1" s="1"/>
  <c r="L17" i="1" s="1"/>
  <c r="M17" i="1" s="1"/>
  <c r="N17" i="1" s="1"/>
  <c r="O17" i="1" s="1"/>
  <c r="P17" i="1" s="1"/>
  <c r="Q17" i="1" s="1"/>
  <c r="R17" i="1" s="1"/>
  <c r="S17" i="1" s="1"/>
  <c r="T17" i="1" s="1"/>
  <c r="U17" i="1" s="1"/>
  <c r="V17" i="1" s="1"/>
  <c r="W17" i="1" s="1"/>
  <c r="X17" i="1" s="1"/>
  <c r="Y17" i="1" s="1"/>
  <c r="Z17" i="1" s="1"/>
  <c r="AA17" i="1" s="1"/>
  <c r="G43" i="1" l="1"/>
  <c r="G28" i="1" s="1"/>
  <c r="G29" i="1" s="1"/>
  <c r="N7" i="1"/>
  <c r="N6" i="1"/>
  <c r="M5" i="1"/>
  <c r="K4" i="1"/>
  <c r="J3" i="1"/>
  <c r="F2" i="1"/>
  <c r="P11" i="1"/>
  <c r="O10" i="1"/>
  <c r="O9" i="1"/>
  <c r="O8" i="1"/>
  <c r="G41" i="1"/>
  <c r="G40" i="1"/>
  <c r="G30" i="1" l="1"/>
  <c r="G31" i="1" s="1"/>
  <c r="G21" i="1"/>
  <c r="G25" i="1"/>
  <c r="P42" i="1"/>
  <c r="Q42" i="1" s="1"/>
  <c r="R42" i="1" s="1"/>
  <c r="S42" i="1" s="1"/>
  <c r="T42" i="1" s="1"/>
  <c r="U42" i="1" s="1"/>
  <c r="V42" i="1" s="1"/>
  <c r="W42" i="1" s="1"/>
  <c r="X42" i="1" s="1"/>
  <c r="Y42" i="1" s="1"/>
  <c r="Z42" i="1" s="1"/>
  <c r="G26" i="1" l="1"/>
  <c r="G22" i="1"/>
  <c r="G24" i="1" s="1"/>
  <c r="C12" i="5"/>
  <c r="C7" i="5"/>
  <c r="C8" i="5" s="1"/>
  <c r="C9" i="5" s="1"/>
  <c r="C30" i="5" s="1"/>
  <c r="C21" i="5"/>
  <c r="C18" i="5"/>
  <c r="C15" i="5"/>
  <c r="C24" i="5"/>
  <c r="C3" i="5"/>
  <c r="C34" i="5" l="1"/>
  <c r="B17" i="4"/>
  <c r="C13" i="5" l="1"/>
  <c r="C14" i="5" s="1"/>
  <c r="Z22" i="1"/>
  <c r="G23" i="1"/>
  <c r="AB19" i="1"/>
  <c r="AB22" i="1"/>
  <c r="AB18" i="1"/>
  <c r="AA18" i="1"/>
  <c r="AA19" i="1" s="1"/>
  <c r="G36" i="1"/>
  <c r="G34" i="1"/>
  <c r="G37" i="1"/>
  <c r="G35" i="1"/>
  <c r="AB23" i="1" l="1"/>
  <c r="AB24" i="1"/>
  <c r="AB32" i="1"/>
  <c r="AB26" i="1"/>
  <c r="AB30" i="1"/>
  <c r="AB28" i="1"/>
  <c r="AA42" i="1"/>
  <c r="AB42" i="1" s="1"/>
  <c r="AA26" i="1"/>
  <c r="AA22" i="1"/>
  <c r="AA24" i="1" s="1"/>
  <c r="Z23" i="1"/>
  <c r="Z24" i="1"/>
  <c r="C22" i="5"/>
  <c r="C23" i="5" s="1"/>
  <c r="C35" i="5"/>
  <c r="C40" i="5" s="1"/>
  <c r="C25" i="5"/>
  <c r="C19" i="5"/>
  <c r="C20" i="5" s="1"/>
  <c r="C16" i="5"/>
  <c r="C17" i="5" s="1"/>
  <c r="C31" i="5"/>
  <c r="AB27" i="1"/>
  <c r="AP25" i="4"/>
  <c r="E31" i="4"/>
  <c r="C38" i="5" l="1"/>
  <c r="C36" i="5"/>
  <c r="C39" i="5"/>
  <c r="C37" i="5"/>
  <c r="E17" i="4"/>
  <c r="N20" i="4" s="1"/>
  <c r="K20" i="4"/>
  <c r="B18" i="4"/>
  <c r="H21" i="4" s="1"/>
  <c r="V24" i="4" s="1"/>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E18" i="4" l="1"/>
  <c r="E19" i="4" s="1"/>
  <c r="H17" i="4"/>
  <c r="B19" i="4"/>
  <c r="G72" i="1"/>
  <c r="G73" i="1" s="1"/>
  <c r="K17" i="4" l="1"/>
  <c r="T20" i="4" s="1"/>
  <c r="H18" i="4"/>
  <c r="H19" i="4" s="1"/>
  <c r="K21" i="4"/>
  <c r="Y24" i="4" s="1"/>
  <c r="Q20" i="4"/>
  <c r="B14" i="3"/>
  <c r="N22" i="4" l="1"/>
  <c r="K18" i="4"/>
  <c r="K19" i="4" s="1"/>
  <c r="N17" i="4"/>
  <c r="Q17" i="4" s="1"/>
  <c r="N21" i="4"/>
  <c r="AB24" i="4" s="1"/>
  <c r="Q21" i="4" l="1"/>
  <c r="AE24" i="4" s="1"/>
  <c r="Q22" i="4"/>
  <c r="W20" i="4"/>
  <c r="N18" i="4"/>
  <c r="N19" i="4" s="1"/>
  <c r="Z20" i="4"/>
  <c r="T17" i="4"/>
  <c r="Q18" i="4"/>
  <c r="Q19" i="4" s="1"/>
  <c r="B65" i="1"/>
  <c r="B63" i="1"/>
  <c r="B61" i="1"/>
  <c r="B59" i="1"/>
  <c r="B57" i="1"/>
  <c r="B55" i="1"/>
  <c r="B53" i="1"/>
  <c r="B51" i="1"/>
  <c r="B49" i="1"/>
  <c r="T21" i="4" l="1"/>
  <c r="AH24" i="4" s="1"/>
  <c r="T22" i="4"/>
  <c r="T23" i="4"/>
  <c r="W21" i="4"/>
  <c r="AK24" i="4" s="1"/>
  <c r="W23" i="4"/>
  <c r="AC20" i="4"/>
  <c r="W22" i="4"/>
  <c r="W17" i="4"/>
  <c r="T18" i="4"/>
  <c r="T19" i="4" s="1"/>
  <c r="AF20" i="4" l="1"/>
  <c r="Z21" i="4"/>
  <c r="AN24" i="4" s="1"/>
  <c r="Z23" i="4"/>
  <c r="Z22" i="4"/>
  <c r="Z17" i="4"/>
  <c r="W18" i="4"/>
  <c r="W19" i="4" s="1"/>
  <c r="C82" i="1"/>
  <c r="C80" i="1"/>
  <c r="C78" i="1"/>
  <c r="C76" i="1"/>
  <c r="C74" i="1"/>
  <c r="C72" i="1"/>
  <c r="G32" i="1"/>
  <c r="C5" i="3"/>
  <c r="D51" i="1" s="1"/>
  <c r="AI20" i="4" l="1"/>
  <c r="AC21" i="4"/>
  <c r="AC22" i="4"/>
  <c r="AC23" i="4"/>
  <c r="AC17" i="4"/>
  <c r="Z18" i="4"/>
  <c r="Z19" i="4" s="1"/>
  <c r="AA76" i="1"/>
  <c r="AA77" i="1" s="1"/>
  <c r="AA32" i="1"/>
  <c r="AA72" i="1"/>
  <c r="AA78" i="1"/>
  <c r="AA79" i="1" s="1"/>
  <c r="AA74" i="1"/>
  <c r="AA75" i="1" s="1"/>
  <c r="AA73" i="1"/>
  <c r="AA82" i="1"/>
  <c r="AA80" i="1"/>
  <c r="AA81" i="1" s="1"/>
  <c r="AA51" i="1"/>
  <c r="AA52" i="1"/>
  <c r="C7" i="3"/>
  <c r="D55" i="1" s="1"/>
  <c r="C4" i="3"/>
  <c r="D49" i="1" s="1"/>
  <c r="C12" i="3"/>
  <c r="D65" i="1" s="1"/>
  <c r="G66" i="1" s="1"/>
  <c r="C11" i="3"/>
  <c r="D63" i="1" s="1"/>
  <c r="C10" i="3"/>
  <c r="D61" i="1" s="1"/>
  <c r="C9" i="3"/>
  <c r="D59" i="1" s="1"/>
  <c r="C8" i="3"/>
  <c r="D57" i="1" s="1"/>
  <c r="C6" i="3"/>
  <c r="D53" i="1" s="1"/>
  <c r="AA53" i="1" s="1"/>
  <c r="C8" i="1"/>
  <c r="C10" i="5" s="1"/>
  <c r="C26" i="5" s="1"/>
  <c r="C27" i="5" s="1"/>
  <c r="C9" i="1"/>
  <c r="C11" i="5" s="1"/>
  <c r="C28" i="5" s="1"/>
  <c r="C29" i="5" s="1"/>
  <c r="G52" i="1"/>
  <c r="G82" i="1"/>
  <c r="G80" i="1"/>
  <c r="G78" i="1"/>
  <c r="G79" i="1" s="1"/>
  <c r="G76" i="1"/>
  <c r="G77" i="1" s="1"/>
  <c r="G74" i="1"/>
  <c r="G75" i="1" s="1"/>
  <c r="C51" i="1"/>
  <c r="C53" i="1"/>
  <c r="C55" i="1"/>
  <c r="C57" i="1"/>
  <c r="C59" i="1"/>
  <c r="C61" i="1"/>
  <c r="C63" i="1"/>
  <c r="C65" i="1"/>
  <c r="C49" i="1"/>
  <c r="C13" i="2"/>
  <c r="D13" i="2" s="1"/>
  <c r="C25" i="2"/>
  <c r="D25" i="2" s="1"/>
  <c r="C37" i="2"/>
  <c r="D37" i="2" s="1"/>
  <c r="D49" i="2"/>
  <c r="C49" i="2"/>
  <c r="C61" i="2"/>
  <c r="D61" i="2" s="1"/>
  <c r="D73" i="2"/>
  <c r="C73" i="2"/>
  <c r="C85" i="2"/>
  <c r="D85" i="2" s="1"/>
  <c r="C107" i="2"/>
  <c r="D107" i="2" s="1"/>
  <c r="C97" i="2"/>
  <c r="D97" i="2" s="1"/>
  <c r="G19" i="1"/>
  <c r="H18" i="1"/>
  <c r="H28" i="1" l="1"/>
  <c r="H29" i="1" s="1"/>
  <c r="H30" i="1"/>
  <c r="H31" i="1" s="1"/>
  <c r="H25" i="1"/>
  <c r="H43" i="1"/>
  <c r="H41" i="1"/>
  <c r="H26" i="1"/>
  <c r="H34" i="1"/>
  <c r="H37" i="1"/>
  <c r="H40" i="1"/>
  <c r="H35" i="1"/>
  <c r="H36" i="1"/>
  <c r="AA84" i="1"/>
  <c r="H22" i="1"/>
  <c r="AF22" i="4"/>
  <c r="AL20" i="4"/>
  <c r="AF23" i="4"/>
  <c r="AF21" i="4"/>
  <c r="AF17" i="4"/>
  <c r="AC18" i="4"/>
  <c r="AC19" i="4" s="1"/>
  <c r="G50" i="1"/>
  <c r="G49" i="1"/>
  <c r="AA85" i="1"/>
  <c r="G58" i="1"/>
  <c r="G57" i="1"/>
  <c r="AA61" i="1"/>
  <c r="AA62" i="1"/>
  <c r="AA63" i="1"/>
  <c r="AA64" i="1"/>
  <c r="AA57" i="1"/>
  <c r="AA58" i="1"/>
  <c r="AA55" i="1"/>
  <c r="AA56" i="1"/>
  <c r="AA60" i="1"/>
  <c r="AA59" i="1"/>
  <c r="G61" i="1"/>
  <c r="G60" i="1"/>
  <c r="G63" i="1"/>
  <c r="AA49" i="1"/>
  <c r="AA50" i="1"/>
  <c r="AA54" i="1"/>
  <c r="AA66" i="1"/>
  <c r="AA65" i="1"/>
  <c r="G53" i="1"/>
  <c r="I18" i="1"/>
  <c r="I26" i="1" s="1"/>
  <c r="H76" i="1"/>
  <c r="H77" i="1" s="1"/>
  <c r="G54" i="1"/>
  <c r="H65" i="1"/>
  <c r="H74" i="1"/>
  <c r="H75" i="1" s="1"/>
  <c r="G62" i="1"/>
  <c r="H63" i="1"/>
  <c r="H82" i="1"/>
  <c r="G51" i="1"/>
  <c r="G59" i="1"/>
  <c r="H80" i="1"/>
  <c r="H81" i="1" s="1"/>
  <c r="H78" i="1"/>
  <c r="H79" i="1" s="1"/>
  <c r="H61" i="1"/>
  <c r="H54" i="1"/>
  <c r="H58" i="1"/>
  <c r="H62" i="1"/>
  <c r="H66" i="1"/>
  <c r="G84" i="1"/>
  <c r="H72" i="1"/>
  <c r="H73" i="1" s="1"/>
  <c r="G55" i="1"/>
  <c r="H51" i="1"/>
  <c r="G56" i="1"/>
  <c r="G64" i="1"/>
  <c r="H55" i="1"/>
  <c r="H52" i="1"/>
  <c r="H59" i="1"/>
  <c r="G65" i="1"/>
  <c r="H49" i="1"/>
  <c r="H56" i="1"/>
  <c r="H60" i="1"/>
  <c r="H64" i="1"/>
  <c r="H53" i="1"/>
  <c r="H50" i="1"/>
  <c r="H57" i="1"/>
  <c r="G81" i="1"/>
  <c r="G85" i="1" s="1"/>
  <c r="H19" i="1"/>
  <c r="H32" i="1"/>
  <c r="I74" i="1" l="1"/>
  <c r="I75" i="1" s="1"/>
  <c r="H21" i="1"/>
  <c r="I55" i="1"/>
  <c r="I25" i="1"/>
  <c r="I30" i="1"/>
  <c r="I31" i="1" s="1"/>
  <c r="I80" i="1"/>
  <c r="I81" i="1" s="1"/>
  <c r="I51" i="1"/>
  <c r="I50" i="1"/>
  <c r="I72" i="1"/>
  <c r="I73" i="1" s="1"/>
  <c r="I52" i="1"/>
  <c r="I19" i="1"/>
  <c r="H23" i="1"/>
  <c r="H24" i="1"/>
  <c r="I41" i="1"/>
  <c r="I43" i="1"/>
  <c r="J18" i="1"/>
  <c r="J26" i="1" s="1"/>
  <c r="I22" i="1"/>
  <c r="I32" i="1"/>
  <c r="I65" i="1"/>
  <c r="I64" i="1"/>
  <c r="I76" i="1"/>
  <c r="I77" i="1" s="1"/>
  <c r="I60" i="1"/>
  <c r="I59" i="1"/>
  <c r="I36" i="1"/>
  <c r="I34" i="1"/>
  <c r="I37" i="1"/>
  <c r="I40" i="1"/>
  <c r="I35" i="1"/>
  <c r="AO20" i="4"/>
  <c r="AI23" i="4"/>
  <c r="AI21" i="4"/>
  <c r="AI22" i="4"/>
  <c r="AI17" i="4"/>
  <c r="AF18" i="4"/>
  <c r="AF19" i="4" s="1"/>
  <c r="AA67" i="1"/>
  <c r="AA68" i="1"/>
  <c r="G68" i="1"/>
  <c r="H68" i="1"/>
  <c r="I62" i="1"/>
  <c r="I61" i="1"/>
  <c r="I57" i="1"/>
  <c r="I54" i="1"/>
  <c r="I56" i="1"/>
  <c r="I49" i="1"/>
  <c r="I58" i="1"/>
  <c r="I63" i="1"/>
  <c r="I82" i="1"/>
  <c r="I53" i="1"/>
  <c r="I78" i="1"/>
  <c r="I79" i="1" s="1"/>
  <c r="I66" i="1"/>
  <c r="J82" i="1"/>
  <c r="J59" i="1"/>
  <c r="J64" i="1"/>
  <c r="J53" i="1"/>
  <c r="J74" i="1"/>
  <c r="J75" i="1" s="1"/>
  <c r="J61" i="1"/>
  <c r="J62" i="1"/>
  <c r="J66" i="1"/>
  <c r="J52" i="1"/>
  <c r="J54" i="1"/>
  <c r="J56" i="1"/>
  <c r="J49" i="1"/>
  <c r="H84" i="1"/>
  <c r="G67" i="1"/>
  <c r="H67" i="1"/>
  <c r="H85" i="1"/>
  <c r="J30" i="1" l="1"/>
  <c r="J31" i="1" s="1"/>
  <c r="J25" i="1"/>
  <c r="J60" i="1"/>
  <c r="J58" i="1"/>
  <c r="J51" i="1"/>
  <c r="J72" i="1"/>
  <c r="J73" i="1" s="1"/>
  <c r="J55" i="1"/>
  <c r="K18" i="1"/>
  <c r="K61" i="1" s="1"/>
  <c r="J65" i="1"/>
  <c r="J63" i="1"/>
  <c r="J32" i="1"/>
  <c r="J76" i="1"/>
  <c r="J77" i="1" s="1"/>
  <c r="I85" i="1"/>
  <c r="J50" i="1"/>
  <c r="J78" i="1"/>
  <c r="J79" i="1" s="1"/>
  <c r="J80" i="1"/>
  <c r="J81" i="1" s="1"/>
  <c r="J19" i="1"/>
  <c r="J57" i="1"/>
  <c r="J41" i="1"/>
  <c r="J43" i="1"/>
  <c r="I23" i="1"/>
  <c r="I24" i="1"/>
  <c r="J35" i="1"/>
  <c r="J36" i="1"/>
  <c r="J37" i="1"/>
  <c r="J40" i="1"/>
  <c r="J34" i="1"/>
  <c r="I84" i="1"/>
  <c r="J22" i="1"/>
  <c r="AL22" i="4"/>
  <c r="AL21" i="4"/>
  <c r="AL23" i="4"/>
  <c r="AL17" i="4"/>
  <c r="AI18" i="4"/>
  <c r="AI19" i="4" s="1"/>
  <c r="I67" i="1"/>
  <c r="I68" i="1"/>
  <c r="K65" i="1" l="1"/>
  <c r="K62" i="1"/>
  <c r="K74" i="1"/>
  <c r="K75" i="1" s="1"/>
  <c r="K59" i="1"/>
  <c r="K60" i="1"/>
  <c r="K51" i="1"/>
  <c r="K57" i="1"/>
  <c r="K72" i="1"/>
  <c r="K73" i="1" s="1"/>
  <c r="J68" i="1"/>
  <c r="K58" i="1"/>
  <c r="K50" i="1"/>
  <c r="K80" i="1"/>
  <c r="K81" i="1" s="1"/>
  <c r="K64" i="1"/>
  <c r="K56" i="1"/>
  <c r="K63" i="1"/>
  <c r="K78" i="1"/>
  <c r="K79" i="1" s="1"/>
  <c r="J85" i="1"/>
  <c r="K26" i="1"/>
  <c r="K19" i="1"/>
  <c r="K52" i="1"/>
  <c r="K53" i="1"/>
  <c r="K76" i="1"/>
  <c r="K77" i="1" s="1"/>
  <c r="K22" i="1"/>
  <c r="K24" i="1" s="1"/>
  <c r="K32" i="1"/>
  <c r="K55" i="1"/>
  <c r="L18" i="1"/>
  <c r="L62" i="1" s="1"/>
  <c r="K66" i="1"/>
  <c r="J67" i="1"/>
  <c r="K54" i="1"/>
  <c r="K82" i="1"/>
  <c r="J84" i="1"/>
  <c r="K49" i="1"/>
  <c r="K41" i="1"/>
  <c r="K43" i="1"/>
  <c r="J23" i="1"/>
  <c r="J24" i="1"/>
  <c r="K35" i="1"/>
  <c r="K40" i="1"/>
  <c r="K36" i="1"/>
  <c r="K37" i="1"/>
  <c r="K34" i="1"/>
  <c r="AO21" i="4"/>
  <c r="AO22" i="4"/>
  <c r="AO23" i="4"/>
  <c r="AO17" i="4"/>
  <c r="AO18" i="4" s="1"/>
  <c r="AO19" i="4" s="1"/>
  <c r="AL18" i="4"/>
  <c r="AL19" i="4" s="1"/>
  <c r="L59" i="1"/>
  <c r="L49" i="1"/>
  <c r="L52" i="1"/>
  <c r="K67" i="1" l="1"/>
  <c r="K85" i="1"/>
  <c r="L65" i="1"/>
  <c r="L32" i="1"/>
  <c r="M18" i="1"/>
  <c r="M63" i="1" s="1"/>
  <c r="L54" i="1"/>
  <c r="L80" i="1"/>
  <c r="L81" i="1" s="1"/>
  <c r="L60" i="1"/>
  <c r="L61" i="1"/>
  <c r="K84" i="1"/>
  <c r="L57" i="1"/>
  <c r="K68" i="1"/>
  <c r="L19" i="1"/>
  <c r="L55" i="1"/>
  <c r="L78" i="1"/>
  <c r="L79" i="1" s="1"/>
  <c r="L26" i="1"/>
  <c r="L74" i="1"/>
  <c r="L75" i="1" s="1"/>
  <c r="L56" i="1"/>
  <c r="L22" i="1"/>
  <c r="L23" i="1" s="1"/>
  <c r="L64" i="1"/>
  <c r="L63" i="1"/>
  <c r="L58" i="1"/>
  <c r="L76" i="1"/>
  <c r="L77" i="1" s="1"/>
  <c r="L51" i="1"/>
  <c r="L72" i="1"/>
  <c r="L73" i="1" s="1"/>
  <c r="L82" i="1"/>
  <c r="L53" i="1"/>
  <c r="K23" i="1"/>
  <c r="L50" i="1"/>
  <c r="L66" i="1"/>
  <c r="M22" i="1"/>
  <c r="M26" i="1"/>
  <c r="L41" i="1"/>
  <c r="L43" i="1"/>
  <c r="L35" i="1"/>
  <c r="L36" i="1"/>
  <c r="L34" i="1"/>
  <c r="L37" i="1"/>
  <c r="L40" i="1"/>
  <c r="M59" i="1"/>
  <c r="M51" i="1"/>
  <c r="M49" i="1"/>
  <c r="M50" i="1"/>
  <c r="M58" i="1"/>
  <c r="M57" i="1"/>
  <c r="M72" i="1"/>
  <c r="M82" i="1"/>
  <c r="M55" i="1"/>
  <c r="M56" i="1"/>
  <c r="M76" i="1"/>
  <c r="M77" i="1" s="1"/>
  <c r="M52" i="1"/>
  <c r="M78" i="1"/>
  <c r="M79" i="1" s="1"/>
  <c r="M60" i="1"/>
  <c r="M74" i="1"/>
  <c r="M75" i="1" s="1"/>
  <c r="M19" i="1"/>
  <c r="M62" i="1"/>
  <c r="M61" i="1"/>
  <c r="M54" i="1"/>
  <c r="M64" i="1"/>
  <c r="M32" i="1"/>
  <c r="N18" i="1" l="1"/>
  <c r="M66" i="1"/>
  <c r="M65" i="1"/>
  <c r="M80" i="1"/>
  <c r="M81" i="1" s="1"/>
  <c r="M53" i="1"/>
  <c r="M67" i="1" s="1"/>
  <c r="L85" i="1"/>
  <c r="L68" i="1"/>
  <c r="L84" i="1"/>
  <c r="L67" i="1"/>
  <c r="L24" i="1"/>
  <c r="N22" i="1"/>
  <c r="N26" i="1"/>
  <c r="M41" i="1"/>
  <c r="M43" i="1"/>
  <c r="M23" i="1"/>
  <c r="M24" i="1"/>
  <c r="M84" i="1"/>
  <c r="M35" i="1"/>
  <c r="M36" i="1"/>
  <c r="M37" i="1"/>
  <c r="M34" i="1"/>
  <c r="M40" i="1"/>
  <c r="M73" i="1"/>
  <c r="M85" i="1" s="1"/>
  <c r="M68" i="1"/>
  <c r="O18" i="1"/>
  <c r="O26" i="1" s="1"/>
  <c r="N57" i="1"/>
  <c r="N63" i="1"/>
  <c r="N50" i="1"/>
  <c r="N66" i="1"/>
  <c r="N56" i="1"/>
  <c r="N61" i="1"/>
  <c r="N59" i="1"/>
  <c r="N55" i="1"/>
  <c r="N51" i="1"/>
  <c r="N53" i="1"/>
  <c r="N76" i="1"/>
  <c r="N77" i="1" s="1"/>
  <c r="N54" i="1"/>
  <c r="N65" i="1"/>
  <c r="N60" i="1"/>
  <c r="N82" i="1"/>
  <c r="N32" i="1"/>
  <c r="N49" i="1"/>
  <c r="N58" i="1"/>
  <c r="N52" i="1"/>
  <c r="N80" i="1"/>
  <c r="N81" i="1" s="1"/>
  <c r="N64" i="1"/>
  <c r="N19" i="1"/>
  <c r="N78" i="1"/>
  <c r="N79" i="1" s="1"/>
  <c r="N74" i="1"/>
  <c r="N75" i="1" s="1"/>
  <c r="N72" i="1"/>
  <c r="N62" i="1"/>
  <c r="O43" i="1" l="1"/>
  <c r="N33" i="1"/>
  <c r="N43" i="1"/>
  <c r="N41" i="1"/>
  <c r="N40" i="1"/>
  <c r="N23" i="1"/>
  <c r="N24" i="1"/>
  <c r="N35" i="1"/>
  <c r="N37" i="1"/>
  <c r="N36" i="1"/>
  <c r="N34" i="1"/>
  <c r="O22" i="1"/>
  <c r="P18" i="1"/>
  <c r="N67" i="1"/>
  <c r="N68" i="1"/>
  <c r="N73" i="1"/>
  <c r="N85" i="1" s="1"/>
  <c r="N84" i="1"/>
  <c r="O74" i="1"/>
  <c r="O75" i="1" s="1"/>
  <c r="O64" i="1"/>
  <c r="O49" i="1"/>
  <c r="O80" i="1"/>
  <c r="O81" i="1" s="1"/>
  <c r="O78" i="1"/>
  <c r="O79" i="1" s="1"/>
  <c r="O19" i="1"/>
  <c r="O55" i="1"/>
  <c r="O56" i="1"/>
  <c r="O50" i="1"/>
  <c r="O82" i="1"/>
  <c r="O54" i="1"/>
  <c r="O59" i="1"/>
  <c r="O60" i="1"/>
  <c r="O58" i="1"/>
  <c r="O57" i="1"/>
  <c r="O76" i="1"/>
  <c r="O77" i="1" s="1"/>
  <c r="O52" i="1"/>
  <c r="O65" i="1"/>
  <c r="O62" i="1"/>
  <c r="O66" i="1"/>
  <c r="O61" i="1"/>
  <c r="O53" i="1"/>
  <c r="O72" i="1"/>
  <c r="O63" i="1"/>
  <c r="O51" i="1"/>
  <c r="O32" i="1"/>
  <c r="O40" i="1" l="1"/>
  <c r="O41" i="1"/>
  <c r="P32" i="1"/>
  <c r="P26" i="1"/>
  <c r="O23" i="1"/>
  <c r="O24" i="1"/>
  <c r="Q18" i="1"/>
  <c r="Q26" i="1" s="1"/>
  <c r="P19" i="1"/>
  <c r="P22" i="1"/>
  <c r="O35" i="1"/>
  <c r="O37" i="1"/>
  <c r="O34" i="1"/>
  <c r="O36" i="1"/>
  <c r="O67" i="1"/>
  <c r="O73" i="1"/>
  <c r="O85" i="1" s="1"/>
  <c r="O84" i="1"/>
  <c r="P57" i="1"/>
  <c r="P50" i="1"/>
  <c r="P61" i="1"/>
  <c r="P65" i="1"/>
  <c r="P56" i="1"/>
  <c r="P60" i="1"/>
  <c r="P54" i="1"/>
  <c r="P82" i="1"/>
  <c r="P53" i="1"/>
  <c r="P80" i="1"/>
  <c r="P81" i="1" s="1"/>
  <c r="P78" i="1"/>
  <c r="P79" i="1" s="1"/>
  <c r="P58" i="1"/>
  <c r="P59" i="1"/>
  <c r="P55" i="1"/>
  <c r="P51" i="1"/>
  <c r="P74" i="1"/>
  <c r="P75" i="1" s="1"/>
  <c r="P72" i="1"/>
  <c r="P76" i="1"/>
  <c r="P77" i="1" s="1"/>
  <c r="P62" i="1"/>
  <c r="P49" i="1"/>
  <c r="P64" i="1"/>
  <c r="P52" i="1"/>
  <c r="P63" i="1"/>
  <c r="P66" i="1"/>
  <c r="O68" i="1"/>
  <c r="P23" i="1" l="1"/>
  <c r="P24" i="1"/>
  <c r="P43" i="1"/>
  <c r="P41" i="1"/>
  <c r="P40" i="1"/>
  <c r="P36" i="1"/>
  <c r="P37" i="1"/>
  <c r="P34" i="1"/>
  <c r="P35" i="1"/>
  <c r="Q22" i="1"/>
  <c r="R18" i="1"/>
  <c r="Q32" i="1"/>
  <c r="Q19" i="1"/>
  <c r="P67" i="1"/>
  <c r="P73" i="1"/>
  <c r="P85" i="1" s="1"/>
  <c r="P84" i="1"/>
  <c r="P68" i="1"/>
  <c r="Q56" i="1"/>
  <c r="Q52" i="1"/>
  <c r="Q66" i="1"/>
  <c r="Q60" i="1"/>
  <c r="Q76" i="1"/>
  <c r="Q77" i="1" s="1"/>
  <c r="Q61" i="1"/>
  <c r="Q74" i="1"/>
  <c r="Q75" i="1" s="1"/>
  <c r="Q54" i="1"/>
  <c r="Q57" i="1"/>
  <c r="Q82" i="1"/>
  <c r="Q80" i="1"/>
  <c r="Q81" i="1" s="1"/>
  <c r="Q55" i="1"/>
  <c r="Q49" i="1"/>
  <c r="Q64" i="1"/>
  <c r="Q78" i="1"/>
  <c r="Q79" i="1" s="1"/>
  <c r="Q58" i="1"/>
  <c r="Q51" i="1"/>
  <c r="Q63" i="1"/>
  <c r="Q72" i="1"/>
  <c r="Q65" i="1"/>
  <c r="Q59" i="1"/>
  <c r="Q53" i="1"/>
  <c r="Q50" i="1"/>
  <c r="Q62" i="1"/>
  <c r="Q43" i="1" l="1"/>
  <c r="Q41" i="1"/>
  <c r="Q40" i="1"/>
  <c r="Q23" i="1"/>
  <c r="Q24" i="1"/>
  <c r="R26" i="1"/>
  <c r="R32" i="1"/>
  <c r="R22" i="1"/>
  <c r="S18" i="1"/>
  <c r="S26" i="1" s="1"/>
  <c r="R19" i="1"/>
  <c r="Q37" i="1"/>
  <c r="Q34" i="1"/>
  <c r="Q36" i="1"/>
  <c r="Q35" i="1"/>
  <c r="Q67" i="1"/>
  <c r="Q68" i="1"/>
  <c r="Q73" i="1"/>
  <c r="Q85" i="1" s="1"/>
  <c r="Q84" i="1"/>
  <c r="R66" i="1"/>
  <c r="R82" i="1"/>
  <c r="R58" i="1"/>
  <c r="R60" i="1"/>
  <c r="R64" i="1"/>
  <c r="R72" i="1"/>
  <c r="R57" i="1"/>
  <c r="R55" i="1"/>
  <c r="R49" i="1"/>
  <c r="R53" i="1"/>
  <c r="R52" i="1"/>
  <c r="R80" i="1"/>
  <c r="R81" i="1" s="1"/>
  <c r="R54" i="1"/>
  <c r="R61" i="1"/>
  <c r="R76" i="1"/>
  <c r="R77" i="1" s="1"/>
  <c r="R78" i="1"/>
  <c r="R79" i="1" s="1"/>
  <c r="R62" i="1"/>
  <c r="R74" i="1"/>
  <c r="R75" i="1" s="1"/>
  <c r="R59" i="1"/>
  <c r="R50" i="1"/>
  <c r="R51" i="1"/>
  <c r="R65" i="1"/>
  <c r="R56" i="1"/>
  <c r="R63" i="1"/>
  <c r="O33" i="1" l="1"/>
  <c r="Q33" i="1"/>
  <c r="Q30" i="1"/>
  <c r="Q25" i="1"/>
  <c r="O30" i="1"/>
  <c r="J28" i="1"/>
  <c r="J21" i="1" s="1"/>
  <c r="K30" i="1"/>
  <c r="K31" i="1" s="1"/>
  <c r="L30" i="1"/>
  <c r="L31" i="1" s="1"/>
  <c r="I28" i="1"/>
  <c r="I21" i="1" s="1"/>
  <c r="K25" i="1"/>
  <c r="N30" i="1"/>
  <c r="N31" i="1" s="1"/>
  <c r="L25" i="1"/>
  <c r="K28" i="1"/>
  <c r="M30" i="1"/>
  <c r="M31" i="1" s="1"/>
  <c r="M25" i="1"/>
  <c r="L28" i="1"/>
  <c r="N25" i="1"/>
  <c r="M28" i="1"/>
  <c r="N28" i="1"/>
  <c r="O25" i="1"/>
  <c r="P33" i="1"/>
  <c r="P30" i="1"/>
  <c r="P25" i="1"/>
  <c r="Q28" i="1"/>
  <c r="R41" i="1"/>
  <c r="R43" i="1"/>
  <c r="R23" i="1"/>
  <c r="R24" i="1"/>
  <c r="R34" i="1"/>
  <c r="R36" i="1"/>
  <c r="R40" i="1"/>
  <c r="R35" i="1"/>
  <c r="R37" i="1"/>
  <c r="S19" i="1"/>
  <c r="S22" i="1"/>
  <c r="S32" i="1"/>
  <c r="R73" i="1"/>
  <c r="R85" i="1" s="1"/>
  <c r="R84" i="1"/>
  <c r="T18" i="1"/>
  <c r="S52" i="1"/>
  <c r="S64" i="1"/>
  <c r="S61" i="1"/>
  <c r="S54" i="1"/>
  <c r="S50" i="1"/>
  <c r="S76" i="1"/>
  <c r="S77" i="1" s="1"/>
  <c r="S82" i="1"/>
  <c r="S59" i="1"/>
  <c r="S53" i="1"/>
  <c r="S66" i="1"/>
  <c r="S80" i="1"/>
  <c r="S81" i="1" s="1"/>
  <c r="S55" i="1"/>
  <c r="S56" i="1"/>
  <c r="S63" i="1"/>
  <c r="S74" i="1"/>
  <c r="S75" i="1" s="1"/>
  <c r="S57" i="1"/>
  <c r="S78" i="1"/>
  <c r="S79" i="1" s="1"/>
  <c r="S51" i="1"/>
  <c r="S58" i="1"/>
  <c r="S49" i="1"/>
  <c r="S60" i="1"/>
  <c r="S62" i="1"/>
  <c r="S72" i="1"/>
  <c r="S65" i="1"/>
  <c r="R68" i="1"/>
  <c r="R67" i="1"/>
  <c r="O21" i="1" l="1"/>
  <c r="N21" i="1"/>
  <c r="L21" i="1"/>
  <c r="Q21" i="1"/>
  <c r="P21" i="1"/>
  <c r="K21" i="1"/>
  <c r="M21" i="1"/>
  <c r="T22" i="1"/>
  <c r="T26" i="1"/>
  <c r="S23" i="1"/>
  <c r="S24" i="1"/>
  <c r="S41" i="1"/>
  <c r="S43" i="1"/>
  <c r="S34" i="1"/>
  <c r="S36" i="1"/>
  <c r="S37" i="1"/>
  <c r="S40" i="1"/>
  <c r="S35" i="1"/>
  <c r="T32" i="1"/>
  <c r="S67" i="1"/>
  <c r="S68" i="1"/>
  <c r="S73" i="1"/>
  <c r="S85" i="1" s="1"/>
  <c r="S84" i="1"/>
  <c r="U18" i="1"/>
  <c r="T54" i="1"/>
  <c r="T59" i="1"/>
  <c r="T53" i="1"/>
  <c r="T52" i="1"/>
  <c r="T58" i="1"/>
  <c r="T82" i="1"/>
  <c r="T49" i="1"/>
  <c r="T63" i="1"/>
  <c r="T78" i="1"/>
  <c r="T79" i="1" s="1"/>
  <c r="T57" i="1"/>
  <c r="T64" i="1"/>
  <c r="T65" i="1"/>
  <c r="T61" i="1"/>
  <c r="T76" i="1"/>
  <c r="T77" i="1" s="1"/>
  <c r="T19" i="1"/>
  <c r="T74" i="1"/>
  <c r="T75" i="1" s="1"/>
  <c r="T56" i="1"/>
  <c r="T62" i="1"/>
  <c r="T55" i="1"/>
  <c r="T50" i="1"/>
  <c r="T80" i="1"/>
  <c r="T81" i="1" s="1"/>
  <c r="T72" i="1"/>
  <c r="T60" i="1"/>
  <c r="T66" i="1"/>
  <c r="T51" i="1"/>
  <c r="T41" i="1" l="1"/>
  <c r="T43" i="1"/>
  <c r="U22" i="1"/>
  <c r="U26" i="1"/>
  <c r="T23" i="1"/>
  <c r="T24" i="1"/>
  <c r="T37" i="1"/>
  <c r="T36" i="1"/>
  <c r="T34" i="1"/>
  <c r="T40" i="1"/>
  <c r="T35" i="1"/>
  <c r="U32" i="1"/>
  <c r="T67" i="1"/>
  <c r="T73" i="1"/>
  <c r="T85" i="1" s="1"/>
  <c r="T84" i="1"/>
  <c r="V18" i="1"/>
  <c r="U52" i="1"/>
  <c r="U55" i="1"/>
  <c r="U57" i="1"/>
  <c r="U56" i="1"/>
  <c r="U66" i="1"/>
  <c r="U78" i="1"/>
  <c r="U79" i="1" s="1"/>
  <c r="U53" i="1"/>
  <c r="U59" i="1"/>
  <c r="U63" i="1"/>
  <c r="U74" i="1"/>
  <c r="U75" i="1" s="1"/>
  <c r="U58" i="1"/>
  <c r="U76" i="1"/>
  <c r="U77" i="1" s="1"/>
  <c r="U62" i="1"/>
  <c r="U82" i="1"/>
  <c r="U50" i="1"/>
  <c r="U60" i="1"/>
  <c r="U80" i="1"/>
  <c r="U81" i="1" s="1"/>
  <c r="U72" i="1"/>
  <c r="U51" i="1"/>
  <c r="U54" i="1"/>
  <c r="U49" i="1"/>
  <c r="U65" i="1"/>
  <c r="U64" i="1"/>
  <c r="U19" i="1"/>
  <c r="U61" i="1"/>
  <c r="T68" i="1"/>
  <c r="V22" i="1" l="1"/>
  <c r="V26" i="1"/>
  <c r="U41" i="1"/>
  <c r="U43" i="1"/>
  <c r="U23" i="1"/>
  <c r="U24" i="1"/>
  <c r="U37" i="1"/>
  <c r="U34" i="1"/>
  <c r="U36" i="1"/>
  <c r="U40" i="1"/>
  <c r="U35" i="1"/>
  <c r="V32" i="1"/>
  <c r="U68" i="1"/>
  <c r="U73" i="1"/>
  <c r="U85" i="1" s="1"/>
  <c r="U84" i="1"/>
  <c r="U67" i="1"/>
  <c r="W18" i="1"/>
  <c r="V76" i="1"/>
  <c r="V77" i="1" s="1"/>
  <c r="V54" i="1"/>
  <c r="V50" i="1"/>
  <c r="V59" i="1"/>
  <c r="V80" i="1"/>
  <c r="V81" i="1" s="1"/>
  <c r="V52" i="1"/>
  <c r="V78" i="1"/>
  <c r="V79" i="1" s="1"/>
  <c r="V58" i="1"/>
  <c r="V51" i="1"/>
  <c r="V56" i="1"/>
  <c r="V72" i="1"/>
  <c r="V55" i="1"/>
  <c r="V60" i="1"/>
  <c r="V62" i="1"/>
  <c r="V19" i="1"/>
  <c r="V74" i="1"/>
  <c r="V75" i="1" s="1"/>
  <c r="V65" i="1"/>
  <c r="V53" i="1"/>
  <c r="V66" i="1"/>
  <c r="V49" i="1"/>
  <c r="V64" i="1"/>
  <c r="V63" i="1"/>
  <c r="V57" i="1"/>
  <c r="V82" i="1"/>
  <c r="V61" i="1"/>
  <c r="V43" i="1" l="1"/>
  <c r="V41" i="1"/>
  <c r="W22" i="1"/>
  <c r="W26" i="1"/>
  <c r="V23" i="1"/>
  <c r="V24" i="1"/>
  <c r="V34" i="1"/>
  <c r="V36" i="1"/>
  <c r="V40" i="1"/>
  <c r="V35" i="1"/>
  <c r="V37" i="1"/>
  <c r="W32" i="1"/>
  <c r="X18" i="1"/>
  <c r="D14" i="1" s="1"/>
  <c r="V67" i="1"/>
  <c r="V68" i="1"/>
  <c r="V73" i="1"/>
  <c r="V85" i="1" s="1"/>
  <c r="V84" i="1"/>
  <c r="W55" i="1"/>
  <c r="W61" i="1"/>
  <c r="W58" i="1"/>
  <c r="W50" i="1"/>
  <c r="W52" i="1"/>
  <c r="W49" i="1"/>
  <c r="W82" i="1"/>
  <c r="W59" i="1"/>
  <c r="W80" i="1"/>
  <c r="W81" i="1" s="1"/>
  <c r="W53" i="1"/>
  <c r="W62" i="1"/>
  <c r="W56" i="1"/>
  <c r="W64" i="1"/>
  <c r="W78" i="1"/>
  <c r="W79" i="1" s="1"/>
  <c r="W74" i="1"/>
  <c r="W75" i="1" s="1"/>
  <c r="W72" i="1"/>
  <c r="W51" i="1"/>
  <c r="W65" i="1"/>
  <c r="W66" i="1"/>
  <c r="W63" i="1"/>
  <c r="W76" i="1"/>
  <c r="W77" i="1" s="1"/>
  <c r="W57" i="1"/>
  <c r="W60" i="1"/>
  <c r="W54" i="1"/>
  <c r="W19" i="1"/>
  <c r="X22" i="1" l="1"/>
  <c r="X24" i="1" s="1"/>
  <c r="X26" i="1"/>
  <c r="W43" i="1"/>
  <c r="W41" i="1"/>
  <c r="W23" i="1"/>
  <c r="W24" i="1"/>
  <c r="W40" i="1"/>
  <c r="W35" i="1"/>
  <c r="W34" i="1"/>
  <c r="W36" i="1"/>
  <c r="W37" i="1"/>
  <c r="X32" i="1"/>
  <c r="Y18" i="1"/>
  <c r="X72" i="1"/>
  <c r="X78" i="1"/>
  <c r="X79" i="1" s="1"/>
  <c r="X74" i="1"/>
  <c r="X75" i="1" s="1"/>
  <c r="X19" i="1"/>
  <c r="X80" i="1"/>
  <c r="X81" i="1" s="1"/>
  <c r="X76" i="1"/>
  <c r="X77" i="1" s="1"/>
  <c r="X82" i="1"/>
  <c r="X51" i="1"/>
  <c r="X52" i="1"/>
  <c r="X58" i="1"/>
  <c r="X53" i="1"/>
  <c r="X66" i="1"/>
  <c r="X57" i="1"/>
  <c r="X65" i="1"/>
  <c r="X63" i="1"/>
  <c r="X49" i="1"/>
  <c r="X54" i="1"/>
  <c r="X64" i="1"/>
  <c r="X59" i="1"/>
  <c r="X50" i="1"/>
  <c r="X60" i="1"/>
  <c r="X61" i="1"/>
  <c r="X55" i="1"/>
  <c r="X62" i="1"/>
  <c r="X56" i="1"/>
  <c r="W67" i="1"/>
  <c r="W73" i="1"/>
  <c r="W85" i="1" s="1"/>
  <c r="W84" i="1"/>
  <c r="W68" i="1"/>
  <c r="R30" i="1" l="1"/>
  <c r="R33" i="1"/>
  <c r="R28" i="1"/>
  <c r="R25" i="1"/>
  <c r="S25" i="1"/>
  <c r="S28" i="1"/>
  <c r="S33" i="1"/>
  <c r="S30" i="1"/>
  <c r="T30" i="1"/>
  <c r="T33" i="1"/>
  <c r="T28" i="1"/>
  <c r="T25" i="1"/>
  <c r="U30" i="1"/>
  <c r="U33" i="1"/>
  <c r="U28" i="1"/>
  <c r="U25" i="1"/>
  <c r="V25" i="1"/>
  <c r="V30" i="1"/>
  <c r="V28" i="1"/>
  <c r="V33" i="1"/>
  <c r="W28" i="1"/>
  <c r="W30" i="1"/>
  <c r="W33" i="1"/>
  <c r="W25" i="1"/>
  <c r="Y22" i="1"/>
  <c r="Y26" i="1"/>
  <c r="X41" i="1"/>
  <c r="X43" i="1"/>
  <c r="X23" i="1"/>
  <c r="X35" i="1"/>
  <c r="X36" i="1"/>
  <c r="X34" i="1"/>
  <c r="X37" i="1"/>
  <c r="X40" i="1"/>
  <c r="Y32" i="1"/>
  <c r="X73" i="1"/>
  <c r="X85" i="1" s="1"/>
  <c r="X84" i="1"/>
  <c r="X67" i="1"/>
  <c r="X68" i="1"/>
  <c r="Y72" i="1"/>
  <c r="Y78" i="1"/>
  <c r="Y79" i="1" s="1"/>
  <c r="Y80" i="1"/>
  <c r="Y81" i="1" s="1"/>
  <c r="Y76" i="1"/>
  <c r="Y77" i="1" s="1"/>
  <c r="Y82" i="1"/>
  <c r="Y74" i="1"/>
  <c r="Y75" i="1" s="1"/>
  <c r="Y52" i="1"/>
  <c r="Z18" i="1"/>
  <c r="Z61" i="1" s="1"/>
  <c r="Y19" i="1"/>
  <c r="Y51" i="1"/>
  <c r="Y57" i="1"/>
  <c r="Y53" i="1"/>
  <c r="Y66" i="1"/>
  <c r="Y50" i="1"/>
  <c r="Y58" i="1"/>
  <c r="Y54" i="1"/>
  <c r="Y60" i="1"/>
  <c r="Y65" i="1"/>
  <c r="Y56" i="1"/>
  <c r="Y49" i="1"/>
  <c r="Y59" i="1"/>
  <c r="Y61" i="1"/>
  <c r="Y55" i="1"/>
  <c r="Y64" i="1"/>
  <c r="Y63" i="1"/>
  <c r="Y62" i="1"/>
  <c r="U21" i="1" l="1"/>
  <c r="V21" i="1"/>
  <c r="S21" i="1"/>
  <c r="R21" i="1"/>
  <c r="W21" i="1"/>
  <c r="T21" i="1"/>
  <c r="Y41" i="1"/>
  <c r="Y43" i="1"/>
  <c r="Z32" i="1"/>
  <c r="Z26" i="1"/>
  <c r="Y23" i="1"/>
  <c r="Y24" i="1"/>
  <c r="Y36" i="1"/>
  <c r="Y35" i="1"/>
  <c r="Y34" i="1"/>
  <c r="Y37" i="1"/>
  <c r="Y40" i="1"/>
  <c r="Y68" i="1"/>
  <c r="Y84" i="1"/>
  <c r="Y73" i="1"/>
  <c r="Y85" i="1" s="1"/>
  <c r="Y67" i="1"/>
  <c r="Z76" i="1"/>
  <c r="Z77" i="1" s="1"/>
  <c r="Z72" i="1"/>
  <c r="Z78" i="1"/>
  <c r="Z79" i="1" s="1"/>
  <c r="Z74" i="1"/>
  <c r="Z75" i="1" s="1"/>
  <c r="Z80" i="1"/>
  <c r="Z81" i="1" s="1"/>
  <c r="Z82" i="1"/>
  <c r="Z52" i="1"/>
  <c r="Z51" i="1"/>
  <c r="Z62" i="1"/>
  <c r="Z56" i="1"/>
  <c r="Z59" i="1"/>
  <c r="Z50" i="1"/>
  <c r="Z57" i="1"/>
  <c r="Z55" i="1"/>
  <c r="Z63" i="1"/>
  <c r="Z60" i="1"/>
  <c r="Z65" i="1"/>
  <c r="Z58" i="1"/>
  <c r="Z53" i="1"/>
  <c r="Z19" i="1"/>
  <c r="Z49" i="1"/>
  <c r="Z66" i="1"/>
  <c r="Z54" i="1"/>
  <c r="Z64" i="1"/>
  <c r="Z41" i="1" l="1"/>
  <c r="Z43" i="1"/>
  <c r="Z37" i="1"/>
  <c r="Z34" i="1"/>
  <c r="Z40" i="1"/>
  <c r="Z35" i="1"/>
  <c r="Z36" i="1"/>
  <c r="Z68" i="1"/>
  <c r="Z67" i="1"/>
  <c r="Z73" i="1"/>
  <c r="Z85" i="1" s="1"/>
  <c r="Z84" i="1"/>
  <c r="Z30" i="1" l="1"/>
  <c r="X33" i="1"/>
  <c r="X28" i="1"/>
  <c r="X25" i="1"/>
  <c r="X30" i="1"/>
  <c r="Y28" i="1"/>
  <c r="Y30" i="1"/>
  <c r="Y33" i="1"/>
  <c r="Y25" i="1"/>
  <c r="Z33" i="1"/>
  <c r="Z25" i="1"/>
  <c r="Z28" i="1"/>
  <c r="AA41" i="1"/>
  <c r="AA33" i="1" s="1"/>
  <c r="AA43" i="1"/>
  <c r="AA28" i="1" s="1"/>
  <c r="AA37" i="1"/>
  <c r="AA34" i="1"/>
  <c r="AA40" i="1"/>
  <c r="AB17" i="1"/>
  <c r="AA36" i="1"/>
  <c r="AA35" i="1"/>
  <c r="Z21" i="1" l="1"/>
  <c r="X21" i="1"/>
  <c r="AA25" i="1"/>
  <c r="AA30" i="1"/>
  <c r="Y21" i="1"/>
  <c r="AB41" i="1"/>
  <c r="AB40" i="1"/>
  <c r="AB43" i="1"/>
  <c r="AB33" i="1" s="1"/>
  <c r="AA21" i="1" l="1"/>
</calcChain>
</file>

<file path=xl/sharedStrings.xml><?xml version="1.0" encoding="utf-8"?>
<sst xmlns="http://schemas.openxmlformats.org/spreadsheetml/2006/main" count="358" uniqueCount="295">
  <si>
    <t>Australian Population</t>
  </si>
  <si>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</si>
  <si>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</si>
  <si>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</si>
  <si>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</si>
  <si>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</si>
  <si>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</si>
  <si>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</si>
  <si>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</si>
  <si>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</si>
  <si>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</si>
  <si>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</si>
  <si>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</si>
  <si>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</si>
  <si>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</si>
  <si>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</si>
  <si>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</si>
  <si>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</si>
  <si>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</si>
  <si>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</si>
  <si>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</si>
  <si>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</si>
  <si>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</si>
  <si>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</si>
  <si>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</si>
  <si>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</si>
  <si>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</si>
  <si>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</si>
  <si>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</si>
  <si>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</si>
  <si>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</si>
  <si>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</si>
  <si>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</si>
  <si>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</si>
  <si>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</si>
  <si>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</si>
  <si>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</si>
  <si>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</si>
  <si>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</si>
  <si>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</si>
  <si>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</si>
  <si>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</si>
  <si>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</si>
  <si>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</si>
  <si>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</si>
  <si>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</si>
  <si>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</si>
  <si>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</si>
  <si>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</si>
  <si>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</si>
  <si>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</si>
  <si>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</si>
  <si>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</si>
  <si>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</si>
  <si>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</si>
  <si>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</si>
  <si>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</si>
  <si>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</si>
  <si>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</si>
  <si>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</si>
  <si>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</si>
  <si>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</si>
  <si>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</si>
  <si>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</si>
  <si>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</si>
  <si>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</si>
  <si>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</si>
  <si>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</si>
  <si>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</si>
  <si>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</si>
  <si>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</si>
  <si>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</si>
  <si>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</si>
  <si>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</si>
  <si>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</si>
  <si>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</si>
  <si>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</si>
  <si>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</si>
  <si>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</si>
  <si>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</si>
  <si>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</si>
  <si>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</si>
  <si>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</si>
  <si>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</si>
  <si>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</si>
  <si>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</si>
  <si>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</si>
  <si>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</si>
  <si>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</si>
  <si>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</si>
  <si>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</si>
  <si>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</si>
  <si>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</si>
  <si>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</si>
  <si>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</si>
  <si>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</si>
  <si>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</si>
  <si>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</si>
  <si>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</si>
  <si>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</si>
  <si>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</si>
  <si>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</si>
  <si>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</si>
  <si>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</si>
  <si>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</si>
  <si>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</si>
  <si>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</si>
  <si>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</si>
  <si>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</si>
  <si>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</si>
  <si>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</si>
  <si>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</si>
  <si>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</si>
  <si>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</si>
  <si>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</si>
  <si>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</si>
  <si>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</si>
  <si>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</si>
  <si>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</si>
  <si>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</si>
  <si>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</si>
  <si>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</si>
  <si>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</si>
  <si>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</si>
  <si>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</si>
  <si>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</si>
  <si>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</si>
  <si>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</si>
  <si>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</si>
  <si>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</si>
  <si>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</si>
  <si>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</si>
  <si>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</si>
  <si>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</si>
  <si>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</si>
  <si>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</si>
  <si>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</si>
  <si>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</si>
  <si>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</si>
  <si>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</si>
  <si>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</si>
  <si>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</si>
  <si>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</si>
  <si>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</si>
  <si>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</si>
  <si>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</si>
  <si>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</si>
  <si>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</si>
  <si>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</si>
  <si>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</si>
  <si>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</si>
  <si>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</si>
  <si>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AU border closed 9pm 20/3</t>
  </si>
  <si>
    <t>SA, WA, NT borders closed 24/3</t>
  </si>
  <si>
    <t>QLD border closed 25/3</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</si>
  <si>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</si>
  <si>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</si>
  <si>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</si>
  <si>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</si>
  <si>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</si>
  <si>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</si>
  <si>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</si>
  <si>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</si>
  <si>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</si>
  <si>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Tas border closed 19/3</t>
  </si>
  <si>
    <t>First death 1/3</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</si>
  <si>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</si>
  <si>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</si>
  <si>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</si>
  <si>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</si>
  <si>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</si>
  <si>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</si>
  <si>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</si>
  <si>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</si>
  <si>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</si>
  <si>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</si>
  <si>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</si>
  <si>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</si>
  <si>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</si>
  <si>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</si>
  <si>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</si>
  <si>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</si>
  <si>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</si>
  <si>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</si>
  <si>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</si>
  <si>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</si>
  <si>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</si>
  <si>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</si>
  <si>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</si>
  <si>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</si>
  <si>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</si>
  <si>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</si>
  <si>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</si>
  <si>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</si>
  <si>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Asymptomatic Cases</t>
  </si>
  <si>
    <t>Infections (cumulative)</t>
  </si>
  <si>
    <t>Detected Infections (cumulative)</t>
  </si>
  <si>
    <t xml:space="preserve">Asymptomatic </t>
  </si>
  <si>
    <t>Asymptomatic (cumulative)</t>
  </si>
  <si>
    <t>Assumes that asymptomatic cases make up 30% of all cases, the asymptomatic portion of infections has yet to be determined.</t>
  </si>
  <si>
    <t xml:space="preserve"> of total (assumed)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</si>
  <si>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</si>
  <si>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</si>
  <si>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</si>
  <si>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</si>
  <si>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</si>
  <si>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</si>
  <si>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</si>
  <si>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</si>
  <si>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</si>
  <si>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</si>
  <si>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</si>
  <si>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</si>
  <si>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</si>
  <si>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</si>
  <si>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</si>
  <si>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</si>
  <si>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</si>
  <si>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</si>
  <si>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</si>
  <si>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</si>
  <si>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</si>
  <si>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</si>
  <si>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</si>
  <si>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Stage 1 Shutdown</t>
  </si>
  <si>
    <t>Stage 2 Shutdown</t>
  </si>
  <si>
    <t>Stage 3 Shutdown</t>
  </si>
  <si>
    <t>Lead time before expect to begin seeing results</t>
  </si>
  <si>
    <t>226+</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</si>
  <si>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</si>
  <si>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</si>
  <si>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</si>
  <si>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</si>
  <si>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</si>
  <si>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</si>
  <si>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</si>
  <si>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</si>
  <si>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</si>
  <si>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</si>
  <si>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</si>
  <si>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Asymptomatic</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</si>
  <si>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</si>
  <si>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</si>
  <si>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</si>
  <si>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</si>
  <si>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</si>
  <si>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</si>
  <si>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</si>
  <si>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</si>
  <si>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</si>
  <si>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</si>
  <si>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</si>
  <si>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</si>
  <si>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</si>
  <si>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</si>
  <si>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</si>
  <si>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</si>
  <si>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</si>
  <si>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</si>
  <si>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</si>
  <si>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</si>
  <si>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</si>
  <si>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</si>
  <si>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</si>
  <si>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</si>
  <si>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</si>
  <si>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</si>
  <si>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</si>
  <si>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</si>
  <si>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</si>
  <si>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</si>
  <si>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</si>
  <si>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</si>
  <si>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</si>
  <si>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</si>
  <si>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China arrivals blocked</t>
  </si>
  <si>
    <t>Iran arrivals blocked</t>
  </si>
  <si>
    <t>Sth Korea arrivals blocked</t>
  </si>
  <si>
    <t>Outdoor gatherings &lt; 500</t>
  </si>
  <si>
    <t>Self isolation arrivals, indoor gatherings &lt; 100 people</t>
  </si>
  <si>
    <t>AU borders closed to non-citizens</t>
  </si>
  <si>
    <t>Italy arrivals blocked</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</si>
  <si>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</si>
  <si>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</si>
  <si>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</si>
  <si>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</si>
  <si>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</si>
  <si>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</si>
  <si>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</si>
  <si>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</si>
  <si>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 xml:space="preserve">Projections from this point on are meaningless as detected infection rates decrease </t>
  </si>
  <si>
    <t>Numbers meaningless after infection rates exceed 60% of the population</t>
  </si>
  <si>
    <t>Decreasing</t>
  </si>
  <si>
    <t>Projected number of recovered infections</t>
  </si>
  <si>
    <t>Projected number active Mild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</si>
</sst>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s>
  <fonts count="11"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s>
  <borders count="2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ashed">
        <color indexed="64"/>
      </left>
      <right style="dashed">
        <color indexed="64"/>
      </right>
      <top/>
      <bottom/>
      <diagonal/>
    </border>
    <border>
      <left style="dashed">
        <color indexed="64"/>
      </left>
      <right style="dashed">
        <color indexed="64"/>
      </right>
      <top/>
      <bottom style="dashed">
        <color indexed="64"/>
      </bottom>
      <diagonal/>
    </border>
    <border>
      <left style="dashed">
        <color indexed="64"/>
      </left>
      <right style="dashed">
        <color indexed="64"/>
      </right>
      <top/>
      <bottom style="dotted">
        <color indexed="64"/>
      </bottom>
      <diagonal/>
    </border>
    <border>
      <left style="dotted">
        <color indexed="64"/>
      </left>
      <right style="dotted">
        <color indexed="64"/>
      </right>
      <top style="dotted">
        <color indexed="64"/>
      </top>
      <bottom style="dotted">
        <color indexed="64"/>
      </bottom>
      <diagonal/>
    </border>
    <border>
      <left/>
      <right style="dashed">
        <color indexed="64"/>
      </right>
      <top/>
      <bottom style="thin">
        <color indexed="64"/>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299">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164" fontId="0" fillId="5" borderId="3"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0" fontId="0" fillId="0" borderId="12" xfId="0" applyBorder="1"/>
    <xf numFmtId="165" fontId="0" fillId="0" borderId="3" xfId="0" applyNumberFormat="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3" fontId="0" fillId="0" borderId="0"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3" fontId="0" fillId="0" borderId="3"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0" fontId="0" fillId="4" borderId="13" xfId="0" applyFill="1" applyBorder="1"/>
    <xf numFmtId="0" fontId="0" fillId="4" borderId="14" xfId="0"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3" fontId="5" fillId="9" borderId="2" xfId="1" applyNumberFormat="1" applyFill="1" applyBorder="1"/>
    <xf numFmtId="9" fontId="5" fillId="9" borderId="6" xfId="1"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14" fontId="0" fillId="3" borderId="0" xfId="0" applyNumberFormat="1" applyFill="1" applyBorder="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0" fontId="0" fillId="3" borderId="0" xfId="0" applyFill="1" applyBorder="1"/>
    <xf numFmtId="170" fontId="0" fillId="4" borderId="13" xfId="0" applyNumberFormat="1" applyFill="1" applyBorder="1"/>
    <xf numFmtId="165" fontId="0" fillId="0" borderId="4" xfId="0" applyNumberFormat="1" applyBorder="1"/>
    <xf numFmtId="169" fontId="0" fillId="0" borderId="3" xfId="0" applyNumberFormat="1" applyBorder="1"/>
    <xf numFmtId="169" fontId="0" fillId="0" borderId="0" xfId="0" applyNumberFormat="1" applyBorder="1"/>
    <xf numFmtId="9" fontId="9" fillId="0" borderId="16" xfId="0" applyNumberFormat="1" applyFont="1" applyFill="1" applyBorder="1"/>
    <xf numFmtId="10" fontId="0" fillId="0" borderId="4" xfId="0" applyNumberFormat="1" applyBorder="1"/>
    <xf numFmtId="171" fontId="0" fillId="0" borderId="3" xfId="0" applyNumberFormat="1" applyBorder="1"/>
    <xf numFmtId="171" fontId="0" fillId="0" borderId="0" xfId="0" applyNumberFormat="1" applyBorder="1"/>
    <xf numFmtId="171" fontId="0" fillId="0" borderId="4" xfId="0" applyNumberFormat="1" applyBorder="1"/>
    <xf numFmtId="171" fontId="9" fillId="4" borderId="0" xfId="0" applyNumberFormat="1" applyFont="1" applyFill="1" applyBorder="1"/>
    <xf numFmtId="171" fontId="9" fillId="4" borderId="4" xfId="0" applyNumberFormat="1" applyFont="1" applyFill="1" applyBorder="1"/>
    <xf numFmtId="171" fontId="9" fillId="0" borderId="16" xfId="0" applyNumberFormat="1" applyFont="1" applyBorder="1"/>
    <xf numFmtId="171" fontId="0" fillId="4" borderId="5" xfId="0" applyNumberFormat="1" applyFill="1" applyBorder="1"/>
    <xf numFmtId="171" fontId="0" fillId="4" borderId="8" xfId="0" applyNumberFormat="1" applyFill="1" applyBorder="1"/>
    <xf numFmtId="171" fontId="0" fillId="0" borderId="6" xfId="0" applyNumberFormat="1" applyBorder="1"/>
    <xf numFmtId="171" fontId="0" fillId="0" borderId="8" xfId="0" applyNumberFormat="1" applyBorder="1"/>
    <xf numFmtId="171" fontId="0" fillId="0" borderId="5" xfId="0" applyNumberFormat="1" applyBorder="1"/>
    <xf numFmtId="171" fontId="9" fillId="4" borderId="8" xfId="0" applyNumberFormat="1" applyFont="1" applyFill="1" applyBorder="1"/>
    <xf numFmtId="171" fontId="9" fillId="4" borderId="6" xfId="0" applyNumberFormat="1" applyFont="1" applyFill="1" applyBorder="1"/>
    <xf numFmtId="171" fontId="0" fillId="0" borderId="3" xfId="0" applyNumberFormat="1" applyFill="1" applyBorder="1"/>
    <xf numFmtId="171" fontId="0" fillId="0" borderId="0" xfId="0" applyNumberFormat="1" applyFill="1" applyBorder="1"/>
    <xf numFmtId="171" fontId="0" fillId="0" borderId="4" xfId="0" applyNumberFormat="1" applyFill="1" applyBorder="1"/>
    <xf numFmtId="171" fontId="0" fillId="4" borderId="3" xfId="0" applyNumberFormat="1" applyFill="1" applyBorder="1"/>
    <xf numFmtId="171" fontId="0" fillId="4" borderId="0" xfId="0" applyNumberFormat="1" applyFill="1" applyBorder="1"/>
    <xf numFmtId="171" fontId="9" fillId="0" borderId="16" xfId="0" applyNumberFormat="1" applyFont="1" applyFill="1" applyBorder="1"/>
    <xf numFmtId="171" fontId="9" fillId="4" borderId="7" xfId="0" applyNumberFormat="1" applyFont="1" applyFill="1" applyBorder="1"/>
    <xf numFmtId="171" fontId="9" fillId="0" borderId="18" xfId="0" applyNumberFormat="1" applyFont="1" applyBorder="1"/>
    <xf numFmtId="171" fontId="9" fillId="4" borderId="2" xfId="0" applyNumberFormat="1" applyFont="1" applyFill="1" applyBorder="1"/>
    <xf numFmtId="171" fontId="0" fillId="0" borderId="8" xfId="0" applyNumberFormat="1" applyFill="1" applyBorder="1"/>
    <xf numFmtId="171" fontId="0" fillId="0" borderId="5" xfId="0" applyNumberFormat="1" applyFill="1" applyBorder="1"/>
    <xf numFmtId="171" fontId="0" fillId="2" borderId="3" xfId="0" applyNumberFormat="1" applyFill="1" applyBorder="1"/>
    <xf numFmtId="171" fontId="0" fillId="2" borderId="0" xfId="0" applyNumberFormat="1" applyFill="1" applyBorder="1"/>
    <xf numFmtId="171" fontId="0" fillId="2" borderId="4" xfId="0" applyNumberFormat="1" applyFill="1" applyBorder="1"/>
    <xf numFmtId="171" fontId="0" fillId="2" borderId="6" xfId="0" applyNumberFormat="1" applyFill="1" applyBorder="1"/>
    <xf numFmtId="171" fontId="0" fillId="2" borderId="8" xfId="0" applyNumberFormat="1" applyFill="1" applyBorder="1"/>
    <xf numFmtId="171" fontId="0" fillId="2" borderId="5" xfId="0" applyNumberFormat="1" applyFill="1" applyBorder="1"/>
    <xf numFmtId="171" fontId="9" fillId="0" borderId="17" xfId="0" applyNumberFormat="1" applyFont="1" applyFill="1" applyBorder="1"/>
    <xf numFmtId="171" fontId="0" fillId="0" borderId="1" xfId="0" applyNumberFormat="1" applyBorder="1"/>
    <xf numFmtId="171" fontId="0" fillId="0" borderId="7" xfId="0" applyNumberFormat="1" applyBorder="1"/>
    <xf numFmtId="171" fontId="0" fillId="9" borderId="1" xfId="0" applyNumberFormat="1" applyFill="1" applyBorder="1"/>
    <xf numFmtId="171" fontId="0" fillId="3" borderId="7" xfId="0" applyNumberFormat="1" applyFill="1" applyBorder="1"/>
    <xf numFmtId="171" fontId="0" fillId="3" borderId="1" xfId="0" applyNumberFormat="1" applyFill="1" applyBorder="1"/>
    <xf numFmtId="171" fontId="0" fillId="3" borderId="9" xfId="0" applyNumberFormat="1" applyFill="1" applyBorder="1"/>
    <xf numFmtId="10" fontId="0" fillId="0" borderId="10" xfId="0" applyNumberFormat="1" applyBorder="1"/>
    <xf numFmtId="171" fontId="0" fillId="0" borderId="11" xfId="0" applyNumberFormat="1" applyBorder="1"/>
    <xf numFmtId="14" fontId="0" fillId="10" borderId="1" xfId="0" applyNumberFormat="1" applyFill="1" applyBorder="1"/>
    <xf numFmtId="14" fontId="0" fillId="10" borderId="7" xfId="0" applyNumberFormat="1" applyFill="1" applyBorder="1"/>
    <xf numFmtId="14" fontId="0" fillId="4" borderId="14" xfId="0" applyNumberFormat="1" applyFill="1" applyBorder="1"/>
    <xf numFmtId="14" fontId="0" fillId="0" borderId="19" xfId="0" applyNumberFormat="1" applyFill="1" applyBorder="1"/>
    <xf numFmtId="0" fontId="10" fillId="0" borderId="0" xfId="0" applyFont="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3" fontId="9" fillId="0" borderId="16" xfId="0" applyNumberFormat="1" applyFont="1" applyFill="1" applyBorder="1"/>
    <xf numFmtId="171" fontId="0" fillId="3" borderId="2" xfId="0" applyNumberFormat="1" applyFill="1" applyBorder="1"/>
    <xf numFmtId="14" fontId="0" fillId="15" borderId="1" xfId="0" applyNumberFormat="1" applyFill="1" applyBorder="1"/>
    <xf numFmtId="14" fontId="0" fillId="15" borderId="2" xfId="0" applyNumberFormat="1" applyFill="1" applyBorder="1"/>
    <xf numFmtId="14" fontId="0" fillId="4" borderId="9" xfId="0" applyNumberFormat="1" applyFill="1" applyBorder="1"/>
    <xf numFmtId="14" fontId="0" fillId="0" borderId="9" xfId="0" applyNumberFormat="1" applyFill="1" applyBorder="1"/>
    <xf numFmtId="14" fontId="0" fillId="0" borderId="1" xfId="0" applyNumberFormat="1" applyFill="1" applyBorder="1"/>
    <xf numFmtId="14" fontId="0" fillId="0" borderId="7" xfId="0" applyNumberFormat="1" applyFill="1" applyBorder="1"/>
    <xf numFmtId="14" fontId="0" fillId="0" borderId="2" xfId="0" applyNumberFormat="1" applyFill="1" applyBorder="1"/>
    <xf numFmtId="14" fontId="0" fillId="4" borderId="1" xfId="0" applyNumberFormat="1" applyFill="1" applyBorder="1"/>
    <xf numFmtId="14" fontId="0" fillId="4" borderId="2" xfId="0" applyNumberFormat="1" applyFill="1" applyBorder="1"/>
    <xf numFmtId="3" fontId="9" fillId="4" borderId="8" xfId="0" applyNumberFormat="1" applyFont="1" applyFill="1" applyBorder="1"/>
    <xf numFmtId="3" fontId="9" fillId="4" borderId="6" xfId="0" applyNumberFormat="1" applyFont="1" applyFill="1" applyBorder="1"/>
    <xf numFmtId="3" fontId="0" fillId="8" borderId="5" xfId="0" applyNumberFormat="1" applyFill="1" applyBorder="1"/>
    <xf numFmtId="171" fontId="0" fillId="0" borderId="1" xfId="0" applyNumberFormat="1" applyFill="1" applyBorder="1"/>
    <xf numFmtId="171" fontId="0" fillId="0" borderId="7" xfId="0" applyNumberFormat="1" applyFill="1" applyBorder="1"/>
    <xf numFmtId="171" fontId="0" fillId="0" borderId="2" xfId="0" applyNumberFormat="1" applyFill="1" applyBorder="1"/>
    <xf numFmtId="171" fontId="0" fillId="0" borderId="6" xfId="0" applyNumberFormat="1" applyFill="1" applyBorder="1"/>
    <xf numFmtId="171" fontId="0" fillId="0" borderId="11" xfId="0" applyNumberFormat="1" applyFill="1" applyBorder="1"/>
    <xf numFmtId="3" fontId="9" fillId="4" borderId="20" xfId="0" applyNumberFormat="1" applyFont="1" applyFill="1" applyBorder="1"/>
    <xf numFmtId="171" fontId="0" fillId="0" borderId="9" xfId="0" applyNumberFormat="1" applyBorder="1"/>
    <xf numFmtId="171" fontId="0" fillId="0" borderId="10" xfId="0" applyNumberFormat="1" applyFill="1" applyBorder="1"/>
    <xf numFmtId="3" fontId="0" fillId="8" borderId="11" xfId="0" applyNumberFormat="1" applyFill="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15">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43889.975687962964</c:v>
                </c:pt>
                <c:pt idx="1">
                  <c:v>43892.975687962964</c:v>
                </c:pt>
                <c:pt idx="2">
                  <c:v>43895.975687962964</c:v>
                </c:pt>
                <c:pt idx="3">
                  <c:v>43898.975687962964</c:v>
                </c:pt>
                <c:pt idx="4">
                  <c:v>43901.975687962964</c:v>
                </c:pt>
                <c:pt idx="5">
                  <c:v>43904.975687962964</c:v>
                </c:pt>
                <c:pt idx="6">
                  <c:v>43907.975687962964</c:v>
                </c:pt>
                <c:pt idx="7">
                  <c:v>43910.975687962964</c:v>
                </c:pt>
                <c:pt idx="8">
                  <c:v>43913.975687962964</c:v>
                </c:pt>
                <c:pt idx="9">
                  <c:v>43916.975687962964</c:v>
                </c:pt>
                <c:pt idx="10">
                  <c:v>43919.975687962964</c:v>
                </c:pt>
                <c:pt idx="11">
                  <c:v>43922.975687962964</c:v>
                </c:pt>
                <c:pt idx="12">
                  <c:v>43925.975687962964</c:v>
                </c:pt>
                <c:pt idx="13">
                  <c:v>43928.975687962964</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86.580086580086572</c:v>
                </c:pt>
                <c:pt idx="1">
                  <c:v>173.16017316017314</c:v>
                </c:pt>
                <c:pt idx="2">
                  <c:v>346.32034632034629</c:v>
                </c:pt>
                <c:pt idx="3">
                  <c:v>692.64069264069258</c:v>
                </c:pt>
                <c:pt idx="4">
                  <c:v>1385.2813852813852</c:v>
                </c:pt>
                <c:pt idx="5">
                  <c:v>2770.5627705627703</c:v>
                </c:pt>
                <c:pt idx="6">
                  <c:v>5541.1255411255406</c:v>
                </c:pt>
                <c:pt idx="7">
                  <c:v>11082.251082251081</c:v>
                </c:pt>
                <c:pt idx="8">
                  <c:v>22164.502164502162</c:v>
                </c:pt>
                <c:pt idx="9">
                  <c:v>44329.004329004325</c:v>
                </c:pt>
                <c:pt idx="10">
                  <c:v>88658.00865800865</c:v>
                </c:pt>
                <c:pt idx="11">
                  <c:v>177316.0173160173</c:v>
                </c:pt>
                <c:pt idx="12">
                  <c:v>354632.0346320346</c:v>
                </c:pt>
                <c:pt idx="13">
                  <c:v>709264.0692640692</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Asymptomatic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43889.975687962964</c:v>
                </c:pt>
                <c:pt idx="1">
                  <c:v>43892.975687962964</c:v>
                </c:pt>
                <c:pt idx="2">
                  <c:v>43895.975687962964</c:v>
                </c:pt>
                <c:pt idx="3">
                  <c:v>43898.975687962964</c:v>
                </c:pt>
                <c:pt idx="4">
                  <c:v>43901.975687962964</c:v>
                </c:pt>
                <c:pt idx="5">
                  <c:v>43904.975687962964</c:v>
                </c:pt>
                <c:pt idx="6">
                  <c:v>43907.975687962964</c:v>
                </c:pt>
                <c:pt idx="7">
                  <c:v>43910.975687962964</c:v>
                </c:pt>
                <c:pt idx="8">
                  <c:v>43913.975687962964</c:v>
                </c:pt>
                <c:pt idx="9">
                  <c:v>43916.975687962964</c:v>
                </c:pt>
                <c:pt idx="10">
                  <c:v>43919.975687962964</c:v>
                </c:pt>
                <c:pt idx="11">
                  <c:v>43922.975687962964</c:v>
                </c:pt>
                <c:pt idx="12">
                  <c:v>43925.975687962964</c:v>
                </c:pt>
                <c:pt idx="13">
                  <c:v>43928.975687962964</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25.97402597402597</c:v>
                </c:pt>
                <c:pt idx="1">
                  <c:v>51.94805194805194</c:v>
                </c:pt>
                <c:pt idx="2">
                  <c:v>103.89610389610388</c:v>
                </c:pt>
                <c:pt idx="3">
                  <c:v>207.79220779220776</c:v>
                </c:pt>
                <c:pt idx="4">
                  <c:v>415.58441558441552</c:v>
                </c:pt>
                <c:pt idx="5">
                  <c:v>831.16883116883105</c:v>
                </c:pt>
                <c:pt idx="6">
                  <c:v>1662.3376623376621</c:v>
                </c:pt>
                <c:pt idx="7">
                  <c:v>3324.6753246753242</c:v>
                </c:pt>
                <c:pt idx="8">
                  <c:v>6649.3506493506484</c:v>
                </c:pt>
                <c:pt idx="9">
                  <c:v>13298.701298701297</c:v>
                </c:pt>
                <c:pt idx="10">
                  <c:v>26597.402597402594</c:v>
                </c:pt>
                <c:pt idx="11">
                  <c:v>53194.805194805187</c:v>
                </c:pt>
                <c:pt idx="12">
                  <c:v>106389.61038961037</c:v>
                </c:pt>
                <c:pt idx="13">
                  <c:v>212779.22077922075</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43889.975687962964</c:v>
                </c:pt>
                <c:pt idx="1">
                  <c:v>43892.975687962964</c:v>
                </c:pt>
                <c:pt idx="2">
                  <c:v>43895.975687962964</c:v>
                </c:pt>
                <c:pt idx="3">
                  <c:v>43898.975687962964</c:v>
                </c:pt>
                <c:pt idx="4">
                  <c:v>43901.975687962964</c:v>
                </c:pt>
                <c:pt idx="5">
                  <c:v>43904.975687962964</c:v>
                </c:pt>
                <c:pt idx="6">
                  <c:v>43907.975687962964</c:v>
                </c:pt>
                <c:pt idx="7">
                  <c:v>43910.975687962964</c:v>
                </c:pt>
                <c:pt idx="8">
                  <c:v>43913.975687962964</c:v>
                </c:pt>
                <c:pt idx="9">
                  <c:v>43916.975687962964</c:v>
                </c:pt>
                <c:pt idx="10">
                  <c:v>43919.975687962964</c:v>
                </c:pt>
                <c:pt idx="11">
                  <c:v>43922.975687962964</c:v>
                </c:pt>
                <c:pt idx="12">
                  <c:v>43925.975687962964</c:v>
                </c:pt>
                <c:pt idx="13">
                  <c:v>43928.975687962964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60.606060606060595</c:v>
                </c:pt>
                <c:pt idx="4">
                  <c:v>121.21212121212119</c:v>
                </c:pt>
                <c:pt idx="5">
                  <c:v>242.42424242424238</c:v>
                </c:pt>
                <c:pt idx="6">
                  <c:v>484.84848484848476</c:v>
                </c:pt>
                <c:pt idx="7">
                  <c:v>969.69696969696952</c:v>
                </c:pt>
                <c:pt idx="8">
                  <c:v>1939.393939393939</c:v>
                </c:pt>
                <c:pt idx="9">
                  <c:v>3878.7878787878781</c:v>
                </c:pt>
                <c:pt idx="10">
                  <c:v>7757.5757575757561</c:v>
                </c:pt>
                <c:pt idx="11">
                  <c:v>15515.151515151512</c:v>
                </c:pt>
                <c:pt idx="12">
                  <c:v>31030.303030303025</c:v>
                </c:pt>
                <c:pt idx="13">
                  <c:v>62060.606060606049</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43939</c:v>
                </c:pt>
              </c:numCache>
            </c:numRef>
          </c:cat>
          <c:val>
            <c:numRef>
              <c:extLst>
                <c:ext xmlns:c15="http://schemas.microsoft.com/office/drawing/2012/chart" uri="{02D57815-91ED-43cb-92C2-25804820EDAC}">
                  <c15:fullRef>
                    <c15:sqref>Projections!$G$18:$AA$18</c15:sqref>
                  </c15:fullRef>
                </c:ext>
              </c:extLst>
              <c:f>Projections!$G$18:$O$18</c:f>
              <c:numCache>
                <c:formatCode>#,##0_ ;[Red]\-#,##0\ </c:formatCode>
                <c:ptCount val="9"/>
                <c:pt idx="0">
                  <c:v>31.25</c:v>
                </c:pt>
                <c:pt idx="1">
                  <c:v>62.5</c:v>
                </c:pt>
                <c:pt idx="2">
                  <c:v>125</c:v>
                </c:pt>
                <c:pt idx="3">
                  <c:v>250</c:v>
                </c:pt>
                <c:pt idx="4">
                  <c:v>500</c:v>
                </c:pt>
                <c:pt idx="5">
                  <c:v>1000</c:v>
                </c:pt>
                <c:pt idx="6">
                  <c:v>2000</c:v>
                </c:pt>
                <c:pt idx="7">
                  <c:v>4000</c:v>
                </c:pt>
                <c:pt idx="8">
                  <c:v>8000</c:v>
                </c:pt>
              </c:numCache>
            </c:numRef>
          </c:val>
          <c:smooth val="0"/>
          <c:extLst>
            <c:ext xmlns:c16="http://schemas.microsoft.com/office/drawing/2014/chart" uri="{C3380CC4-5D6E-409C-BE32-E72D297353CC}">
              <c16:uniqueId val="{00000004-8BCC-427B-903C-670C749E04E9}"/>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43939</c:v>
                </c:pt>
              </c:numCache>
            </c:numRef>
          </c:cat>
          <c:val>
            <c:numRef>
              <c:extLst>
                <c:ext xmlns:c15="http://schemas.microsoft.com/office/drawing/2012/chart" uri="{02D57815-91ED-43cb-92C2-25804820EDAC}">
                  <c15:fullRef>
                    <c15:sqref>Projections!$G$42:$AA$42</c15:sqref>
                  </c15:fullRef>
                </c:ext>
              </c:extLst>
              <c:f>Projections!$G$42:$O$42</c:f>
              <c:numCache>
                <c:formatCode>General</c:formatCode>
                <c:ptCount val="9"/>
                <c:pt idx="0">
                  <c:v>32</c:v>
                </c:pt>
                <c:pt idx="1">
                  <c:v>63</c:v>
                </c:pt>
                <c:pt idx="2" formatCode="#,##0">
                  <c:v>112</c:v>
                </c:pt>
                <c:pt idx="3" formatCode="#,##0">
                  <c:v>249</c:v>
                </c:pt>
                <c:pt idx="4" formatCode="#,##0">
                  <c:v>567</c:v>
                </c:pt>
                <c:pt idx="5" formatCode="#,##0">
                  <c:v>1072</c:v>
                </c:pt>
                <c:pt idx="6" formatCode="#,##0">
                  <c:v>2050</c:v>
                </c:pt>
                <c:pt idx="7" formatCode="#,##0">
                  <c:v>3984</c:v>
                </c:pt>
                <c:pt idx="8" formatCode="#,##0">
                  <c:v>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43939</c:v>
                </c:pt>
              </c:numCache>
            </c:numRef>
          </c:cat>
          <c:val>
            <c:numRef>
              <c:extLst>
                <c:ext xmlns:c15="http://schemas.microsoft.com/office/drawing/2012/chart" uri="{02D57815-91ED-43cb-92C2-25804820EDAC}">
                  <c15:fullRef>
                    <c15:sqref>Projections!$G$32:$AA$32</c15:sqref>
                  </c15:fullRef>
                </c:ext>
              </c:extLst>
              <c:f>Projections!$G$32:$O$32</c:f>
              <c:numCache>
                <c:formatCode>#,##0_ ;[Red]\-#,##0\ </c:formatCode>
                <c:ptCount val="9"/>
                <c:pt idx="0">
                  <c:v>1.09375</c:v>
                </c:pt>
                <c:pt idx="1">
                  <c:v>2.1875</c:v>
                </c:pt>
                <c:pt idx="2">
                  <c:v>4.375</c:v>
                </c:pt>
                <c:pt idx="3">
                  <c:v>8.75</c:v>
                </c:pt>
                <c:pt idx="4">
                  <c:v>17.5</c:v>
                </c:pt>
                <c:pt idx="5">
                  <c:v>35</c:v>
                </c:pt>
                <c:pt idx="6">
                  <c:v>70</c:v>
                </c:pt>
                <c:pt idx="7">
                  <c:v>140</c:v>
                </c:pt>
                <c:pt idx="8">
                  <c:v>280</c:v>
                </c:pt>
              </c:numCache>
            </c:numRef>
          </c:val>
          <c:smooth val="0"/>
          <c:extLst>
            <c:ext xmlns:c16="http://schemas.microsoft.com/office/drawing/2014/chart" uri="{C3380CC4-5D6E-409C-BE32-E72D297353CC}">
              <c16:uniqueId val="{00000000-50BE-40C1-B679-81AF0BCE3FCD}"/>
            </c:ext>
          </c:extLst>
        </c:ser>
        <c:ser>
          <c:idx val="1"/>
          <c:order val="1"/>
          <c:tx>
            <c:strRef>
              <c:f>Projections!$A$45</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43939</c:v>
                </c:pt>
              </c:numCache>
            </c:numRef>
          </c:cat>
          <c:val>
            <c:numRef>
              <c:extLst>
                <c:ext xmlns:c15="http://schemas.microsoft.com/office/drawing/2012/chart" uri="{02D57815-91ED-43cb-92C2-25804820EDAC}">
                  <c15:fullRef>
                    <c15:sqref>Projections!$G$45:$AA$45</c15:sqref>
                  </c15:fullRef>
                </c:ext>
              </c:extLst>
              <c:f>Projections!$G$45:$O$45</c:f>
              <c:numCache>
                <c:formatCode>General</c:formatCode>
                <c:ptCount val="9"/>
                <c:pt idx="0">
                  <c:v>1</c:v>
                </c:pt>
                <c:pt idx="1">
                  <c:v>2</c:v>
                </c:pt>
                <c:pt idx="2" formatCode="#,##0">
                  <c:v>3</c:v>
                </c:pt>
                <c:pt idx="3" formatCode="#,##0">
                  <c:v>5</c:v>
                </c:pt>
                <c:pt idx="4" formatCode="#,##0">
                  <c:v>6</c:v>
                </c:pt>
                <c:pt idx="5" formatCode="#,##0">
                  <c:v>7</c:v>
                </c:pt>
                <c:pt idx="6" formatCode="#,##0">
                  <c:v>8</c:v>
                </c:pt>
                <c:pt idx="7" formatCode="#,##0">
                  <c:v>16</c:v>
                </c:pt>
                <c:pt idx="8" formatCode="#,##0">
                  <c:v>50</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Projections!$G$28:$AA$28</c15:sqref>
                  </c15:fullRef>
                </c:ext>
              </c:extLst>
              <c:f>Projections!$G$28:$Z$28</c:f>
              <c:numCache>
                <c:formatCode>#,##0_ ;[Red]\-#,##0\ </c:formatCode>
                <c:ptCount val="20"/>
                <c:pt idx="0">
                  <c:v>3.1560616297070365</c:v>
                </c:pt>
                <c:pt idx="1">
                  <c:v>4.5905465095103892</c:v>
                </c:pt>
                <c:pt idx="2">
                  <c:v>6.5205368224071405</c:v>
                </c:pt>
                <c:pt idx="3">
                  <c:v>13.846558234822977</c:v>
                </c:pt>
                <c:pt idx="4">
                  <c:v>24.304135205098877</c:v>
                </c:pt>
                <c:pt idx="5">
                  <c:v>46.201171875000007</c:v>
                </c:pt>
                <c:pt idx="6">
                  <c:v>77.164106827176639</c:v>
                </c:pt>
                <c:pt idx="7">
                  <c:v>239.2841574929042</c:v>
                </c:pt>
                <c:pt idx="8">
                  <c:v>7543.2450656814926</c:v>
                </c:pt>
                <c:pt idx="9">
                  <c:v>6836.0248645586234</c:v>
                </c:pt>
                <c:pt idx="10">
                  <c:v>9914.1246295369965</c:v>
                </c:pt>
                <c:pt idx="11">
                  <c:v>16667.846210900734</c:v>
                </c:pt>
                <c:pt idx="12">
                  <c:v>29901.524942552576</c:v>
                </c:pt>
                <c:pt idx="13">
                  <c:v>55510.918866473476</c:v>
                </c:pt>
                <c:pt idx="14">
                  <c:v>105163.45188851724</c:v>
                </c:pt>
                <c:pt idx="15">
                  <c:v>201832.18893057221</c:v>
                </c:pt>
                <c:pt idx="16">
                  <c:v>390792.16273221647</c:v>
                </c:pt>
                <c:pt idx="17">
                  <c:v>761414.22516771429</c:v>
                </c:pt>
                <c:pt idx="18">
                  <c:v>1490379.8924344666</c:v>
                </c:pt>
                <c:pt idx="19">
                  <c:v>2927438.6113480283</c:v>
                </c:pt>
              </c:numCache>
            </c:numRef>
          </c:val>
          <c:smooth val="0"/>
          <c:extLst>
            <c:ext xmlns:c16="http://schemas.microsoft.com/office/drawing/2014/chart" uri="{C3380CC4-5D6E-409C-BE32-E72D297353CC}">
              <c16:uniqueId val="{00000000-A3C2-4B4C-996C-CDB1A252886F}"/>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Projections!$G$29:$AA$29</c15:sqref>
                  </c15:fullRef>
                </c:ext>
              </c:extLst>
              <c:f>Projections!$G$29:$Z$29</c:f>
              <c:numCache>
                <c:formatCode>#,##0_ ;[Red]\-#,##0\ </c:formatCode>
                <c:ptCount val="20"/>
                <c:pt idx="0">
                  <c:v>3.1560616297070365</c:v>
                </c:pt>
                <c:pt idx="1">
                  <c:v>4.5905465095103892</c:v>
                </c:pt>
                <c:pt idx="2">
                  <c:v>6.5205368224071405</c:v>
                </c:pt>
                <c:pt idx="3">
                  <c:v>13.846558234822977</c:v>
                </c:pt>
                <c:pt idx="4">
                  <c:v>22.419707484218328</c:v>
                </c:pt>
                <c:pt idx="5">
                  <c:v>42.557340760572906</c:v>
                </c:pt>
                <c:pt idx="6">
                  <c:v>71.695356827176639</c:v>
                </c:pt>
                <c:pt idx="7">
                  <c:v>224.85890216759663</c:v>
                </c:pt>
                <c:pt idx="8">
                  <c:v>6976.8941158260714</c:v>
                </c:pt>
                <c:pt idx="9">
                  <c:v>6026.6429985428513</c:v>
                </c:pt>
                <c:pt idx="10">
                  <c:v>0</c:v>
                </c:pt>
                <c:pt idx="11">
                  <c:v>6330.9252691020329</c:v>
                </c:pt>
                <c:pt idx="12">
                  <c:v>15824.037264534185</c:v>
                </c:pt>
                <c:pt idx="13">
                  <c:v>32453.350005041611</c:v>
                </c:pt>
                <c:pt idx="14">
                  <c:v>64359.30218223574</c:v>
                </c:pt>
                <c:pt idx="15">
                  <c:v>126705.23898594362</c:v>
                </c:pt>
                <c:pt idx="16">
                  <c:v>249255.4725423498</c:v>
                </c:pt>
                <c:pt idx="17">
                  <c:v>490859.76735039114</c:v>
                </c:pt>
                <c:pt idx="18">
                  <c:v>968116.80009216582</c:v>
                </c:pt>
                <c:pt idx="19">
                  <c:v>1912305.9710841947</c:v>
                </c:pt>
              </c:numCache>
            </c:numRef>
          </c:val>
          <c:smooth val="0"/>
          <c:extLst>
            <c:ext xmlns:c16="http://schemas.microsoft.com/office/drawing/2014/chart" uri="{C3380CC4-5D6E-409C-BE32-E72D297353CC}">
              <c16:uniqueId val="{00000001-A3C2-4B4C-996C-CDB1A252886F}"/>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Projections!$G$30:$AA$30</c15:sqref>
                  </c15:fullRef>
                </c:ext>
              </c:extLst>
              <c:f>Projections!$G$30:$Z$30</c:f>
              <c:numCache>
                <c:formatCode>#,##0_ ;[Red]\-#,##0\ </c:formatCode>
                <c:ptCount val="20"/>
                <c:pt idx="0">
                  <c:v>0.43112556312798839</c:v>
                </c:pt>
                <c:pt idx="1">
                  <c:v>0.627079626820088</c:v>
                </c:pt>
                <c:pt idx="2">
                  <c:v>0.91209821918187373</c:v>
                </c:pt>
                <c:pt idx="3">
                  <c:v>1.3266627169079257</c:v>
                </c:pt>
                <c:pt idx="4">
                  <c:v>1.88442772088055</c:v>
                </c:pt>
                <c:pt idx="5">
                  <c:v>3.6438311144270994</c:v>
                </c:pt>
                <c:pt idx="6">
                  <c:v>5.46875</c:v>
                </c:pt>
                <c:pt idx="7">
                  <c:v>14.425255325307573</c:v>
                </c:pt>
                <c:pt idx="8">
                  <c:v>568.30642586002568</c:v>
                </c:pt>
                <c:pt idx="9">
                  <c:v>790.46025075243278</c:v>
                </c:pt>
                <c:pt idx="10">
                  <c:v>1362.9779711941426</c:v>
                </c:pt>
                <c:pt idx="11">
                  <c:v>2516.0344180639681</c:v>
                </c:pt>
                <c:pt idx="12">
                  <c:v>4785.799581875769</c:v>
                </c:pt>
                <c:pt idx="13">
                  <c:v>9248.1758681600404</c:v>
                </c:pt>
                <c:pt idx="14">
                  <c:v>18039.305287579256</c:v>
                </c:pt>
                <c:pt idx="15">
                  <c:v>35398.612176985182</c:v>
                </c:pt>
                <c:pt idx="16">
                  <c:v>69746.155066202744</c:v>
                </c:pt>
                <c:pt idx="17">
                  <c:v>137819.14917136886</c:v>
                </c:pt>
                <c:pt idx="18">
                  <c:v>272911.80994012422</c:v>
                </c:pt>
                <c:pt idx="19">
                  <c:v>541295.28169718897</c:v>
                </c:pt>
              </c:numCache>
            </c:numRef>
          </c:val>
          <c:smooth val="0"/>
          <c:extLst>
            <c:ext xmlns:c16="http://schemas.microsoft.com/office/drawing/2014/chart" uri="{C3380CC4-5D6E-409C-BE32-E72D297353CC}">
              <c16:uniqueId val="{00000002-A3C2-4B4C-996C-CDB1A252886F}"/>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Projections!$G$31:$AA$31</c15:sqref>
                  </c15:fullRef>
                </c:ext>
              </c:extLst>
              <c:f>Projections!$G$31:$Z$31</c:f>
              <c:numCache>
                <c:formatCode>#,##0_ ;[Red]\-#,##0\ </c:formatCode>
                <c:ptCount val="20"/>
                <c:pt idx="0">
                  <c:v>0.43112556312798839</c:v>
                </c:pt>
                <c:pt idx="1">
                  <c:v>0.627079626820088</c:v>
                </c:pt>
                <c:pt idx="2">
                  <c:v>0.91209821918187373</c:v>
                </c:pt>
                <c:pt idx="3">
                  <c:v>1.3266627169079257</c:v>
                </c:pt>
                <c:pt idx="4">
                  <c:v>1.88442772088055</c:v>
                </c:pt>
                <c:pt idx="5">
                  <c:v>3.6438311144270994</c:v>
                </c:pt>
                <c:pt idx="6">
                  <c:v>5.46875</c:v>
                </c:pt>
                <c:pt idx="7">
                  <c:v>14.425255325307573</c:v>
                </c:pt>
                <c:pt idx="8">
                  <c:v>556.14822273502568</c:v>
                </c:pt>
                <c:pt idx="9">
                  <c:v>315.1428628657797</c:v>
                </c:pt>
                <c:pt idx="10">
                  <c:v>660.13220089058734</c:v>
                </c:pt>
                <c:pt idx="11">
                  <c:v>1273.7938661703145</c:v>
                </c:pt>
                <c:pt idx="12">
                  <c:v>2461.8119142296591</c:v>
                </c:pt>
                <c:pt idx="13">
                  <c:v>4790.5485139800894</c:v>
                </c:pt>
                <c:pt idx="14">
                  <c:v>9375.8048268098028</c:v>
                </c:pt>
                <c:pt idx="15">
                  <c:v>18429.146184763395</c:v>
                </c:pt>
                <c:pt idx="16">
                  <c:v>36341.125195105065</c:v>
                </c:pt>
                <c:pt idx="17">
                  <c:v>71836.680549013094</c:v>
                </c:pt>
                <c:pt idx="18">
                  <c:v>142267.25801095885</c:v>
                </c:pt>
                <c:pt idx="19">
                  <c:v>282161.75399362238</c:v>
                </c:pt>
              </c:numCache>
            </c:numRef>
          </c:val>
          <c:smooth val="0"/>
          <c:extLst>
            <c:ext xmlns:c16="http://schemas.microsoft.com/office/drawing/2014/chart" uri="{C3380CC4-5D6E-409C-BE32-E72D297353CC}">
              <c16:uniqueId val="{00000003-A3C2-4B4C-996C-CDB1A252886F}"/>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Projections!$G$32:$AA$32</c15:sqref>
                  </c15:fullRef>
                </c:ext>
              </c:extLst>
              <c:f>Projections!$G$32:$Z$32</c:f>
              <c:numCache>
                <c:formatCode>#,##0_ ;[Red]\-#,##0\ </c:formatCode>
                <c:ptCount val="20"/>
                <c:pt idx="0">
                  <c:v>1.09375</c:v>
                </c:pt>
                <c:pt idx="1">
                  <c:v>2.1875</c:v>
                </c:pt>
                <c:pt idx="2">
                  <c:v>4.375</c:v>
                </c:pt>
                <c:pt idx="3">
                  <c:v>8.75</c:v>
                </c:pt>
                <c:pt idx="4">
                  <c:v>17.5</c:v>
                </c:pt>
                <c:pt idx="5">
                  <c:v>35</c:v>
                </c:pt>
                <c:pt idx="6">
                  <c:v>70</c:v>
                </c:pt>
                <c:pt idx="7">
                  <c:v>140</c:v>
                </c:pt>
                <c:pt idx="8">
                  <c:v>280</c:v>
                </c:pt>
                <c:pt idx="9">
                  <c:v>560</c:v>
                </c:pt>
                <c:pt idx="10">
                  <c:v>1120</c:v>
                </c:pt>
                <c:pt idx="11">
                  <c:v>2240</c:v>
                </c:pt>
                <c:pt idx="12">
                  <c:v>4480</c:v>
                </c:pt>
                <c:pt idx="13">
                  <c:v>8960</c:v>
                </c:pt>
                <c:pt idx="14">
                  <c:v>17920</c:v>
                </c:pt>
                <c:pt idx="15">
                  <c:v>35840</c:v>
                </c:pt>
                <c:pt idx="16">
                  <c:v>71680</c:v>
                </c:pt>
                <c:pt idx="17">
                  <c:v>143360</c:v>
                </c:pt>
                <c:pt idx="18">
                  <c:v>286720</c:v>
                </c:pt>
                <c:pt idx="19">
                  <c:v>573440</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Projections!$G$49:$AA$49</c15:sqref>
                  </c15:fullRef>
                </c:ext>
              </c:extLst>
              <c:f>Projections!$G$49:$Z$49</c:f>
              <c:numCache>
                <c:formatCode>#,##0</c:formatCode>
                <c:ptCount val="20"/>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29540.225765991756</c:v>
                </c:pt>
                <c:pt idx="16">
                  <c:v>59080.451531983512</c:v>
                </c:pt>
                <c:pt idx="17">
                  <c:v>118160.90306396702</c:v>
                </c:pt>
                <c:pt idx="18">
                  <c:v>236321.80612793405</c:v>
                </c:pt>
                <c:pt idx="19">
                  <c:v>472643.61225586809</c:v>
                </c:pt>
              </c:numCache>
            </c:numRef>
          </c:val>
          <c:smooth val="0"/>
          <c:extLst>
            <c:ext xmlns:c16="http://schemas.microsoft.com/office/drawing/2014/chart" uri="{C3380CC4-5D6E-409C-BE32-E72D297353CC}">
              <c16:uniqueId val="{00000000-7972-43AB-83E8-C2C99B4277B0}"/>
            </c:ext>
          </c:extLst>
        </c:ser>
        <c:ser>
          <c:idx val="2"/>
          <c:order val="1"/>
          <c:tx>
            <c:strRef>
              <c:f>Projections!$A$51</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Projections!$G$51:$AA$51</c15:sqref>
                  </c15:fullRef>
                </c:ext>
              </c:extLst>
              <c:f>Projections!$G$51:$Z$51</c:f>
              <c:numCache>
                <c:formatCode>#,##0</c:formatCode>
                <c:ptCount val="20"/>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109170.39956996954</c:v>
                </c:pt>
                <c:pt idx="16">
                  <c:v>218340.79913993907</c:v>
                </c:pt>
                <c:pt idx="17">
                  <c:v>436681.59827987815</c:v>
                </c:pt>
                <c:pt idx="18">
                  <c:v>873363.1965597563</c:v>
                </c:pt>
                <c:pt idx="19">
                  <c:v>1746726.3931195126</c:v>
                </c:pt>
              </c:numCache>
            </c:numRef>
          </c:val>
          <c:smooth val="0"/>
          <c:extLst>
            <c:ext xmlns:c16="http://schemas.microsoft.com/office/drawing/2014/chart" uri="{C3380CC4-5D6E-409C-BE32-E72D297353CC}">
              <c16:uniqueId val="{00000001-7972-43AB-83E8-C2C99B4277B0}"/>
            </c:ext>
          </c:extLst>
        </c:ser>
        <c:ser>
          <c:idx val="4"/>
          <c:order val="2"/>
          <c:tx>
            <c:strRef>
              <c:f>Projections!$A$53</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Projections!$G$53:$AA$53</c15:sqref>
                  </c15:fullRef>
                </c:ext>
              </c:extLst>
              <c:f>Projections!$G$53:$Z$53</c:f>
              <c:numCache>
                <c:formatCode>#,##0</c:formatCode>
                <c:ptCount val="20"/>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171370.00537538074</c:v>
                </c:pt>
                <c:pt idx="16">
                  <c:v>342740.01075076149</c:v>
                </c:pt>
                <c:pt idx="17">
                  <c:v>685480.02150152298</c:v>
                </c:pt>
                <c:pt idx="18">
                  <c:v>1370960.043003046</c:v>
                </c:pt>
                <c:pt idx="19">
                  <c:v>2741920.0860060919</c:v>
                </c:pt>
              </c:numCache>
            </c:numRef>
          </c:val>
          <c:smooth val="0"/>
          <c:extLst>
            <c:ext xmlns:c16="http://schemas.microsoft.com/office/drawing/2014/chart" uri="{C3380CC4-5D6E-409C-BE32-E72D297353CC}">
              <c16:uniqueId val="{00000002-7972-43AB-83E8-C2C99B4277B0}"/>
            </c:ext>
          </c:extLst>
        </c:ser>
        <c:ser>
          <c:idx val="6"/>
          <c:order val="3"/>
          <c:tx>
            <c:strRef>
              <c:f>Projections!$A$55</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Projections!$G$55:$AA$55</c15:sqref>
                  </c15:fullRef>
                </c:ext>
              </c:extLst>
              <c:f>Projections!$G$55:$Z$55</c:f>
              <c:numCache>
                <c:formatCode>#,##0</c:formatCode>
                <c:ptCount val="20"/>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159076.86794481275</c:v>
                </c:pt>
                <c:pt idx="16">
                  <c:v>318153.7358896255</c:v>
                </c:pt>
                <c:pt idx="17">
                  <c:v>636307.47177925101</c:v>
                </c:pt>
                <c:pt idx="18">
                  <c:v>1272614.943558502</c:v>
                </c:pt>
                <c:pt idx="19">
                  <c:v>2545229.887117004</c:v>
                </c:pt>
              </c:numCache>
            </c:numRef>
          </c:val>
          <c:smooth val="0"/>
          <c:extLst>
            <c:ext xmlns:c16="http://schemas.microsoft.com/office/drawing/2014/chart" uri="{C3380CC4-5D6E-409C-BE32-E72D297353CC}">
              <c16:uniqueId val="{00000003-7972-43AB-83E8-C2C99B4277B0}"/>
            </c:ext>
          </c:extLst>
        </c:ser>
        <c:ser>
          <c:idx val="8"/>
          <c:order val="4"/>
          <c:tx>
            <c:strRef>
              <c:f>Projections!$A$57</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Projections!$G$57:$AA$57</c15:sqref>
                  </c15:fullRef>
                </c:ext>
              </c:extLst>
              <c:f>Projections!$G$57:$Z$57</c:f>
              <c:numCache>
                <c:formatCode>#,##0</c:formatCode>
                <c:ptCount val="20"/>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132839.27611539149</c:v>
                </c:pt>
                <c:pt idx="16">
                  <c:v>265678.55223078298</c:v>
                </c:pt>
                <c:pt idx="17">
                  <c:v>531357.10446156596</c:v>
                </c:pt>
                <c:pt idx="18">
                  <c:v>1062714.2089231319</c:v>
                </c:pt>
                <c:pt idx="19">
                  <c:v>2125428.4178462639</c:v>
                </c:pt>
              </c:numCache>
            </c:numRef>
          </c:val>
          <c:smooth val="0"/>
          <c:extLst>
            <c:ext xmlns:c16="http://schemas.microsoft.com/office/drawing/2014/chart" uri="{C3380CC4-5D6E-409C-BE32-E72D297353CC}">
              <c16:uniqueId val="{00000004-7972-43AB-83E8-C2C99B4277B0}"/>
            </c:ext>
          </c:extLst>
        </c:ser>
        <c:ser>
          <c:idx val="10"/>
          <c:order val="5"/>
          <c:tx>
            <c:strRef>
              <c:f>Projections!$A$59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Projections!$G$59:$AA$59</c15:sqref>
                  </c15:fullRef>
                </c:ext>
              </c:extLst>
              <c:f>Projections!$G$59:$Z$59</c:f>
              <c:numCache>
                <c:formatCode>#,##0</c:formatCode>
                <c:ptCount val="20"/>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161095.1442393836</c:v>
                </c:pt>
                <c:pt idx="16">
                  <c:v>322190.28847876721</c:v>
                </c:pt>
                <c:pt idx="17">
                  <c:v>644380.57695753442</c:v>
                </c:pt>
                <c:pt idx="18">
                  <c:v>1288761.1539150688</c:v>
                </c:pt>
                <c:pt idx="19">
                  <c:v>2577522.3078301377</c:v>
                </c:pt>
              </c:numCache>
            </c:numRef>
          </c:val>
          <c:smooth val="0"/>
          <c:extLst>
            <c:ext xmlns:c16="http://schemas.microsoft.com/office/drawing/2014/chart" uri="{C3380CC4-5D6E-409C-BE32-E72D297353CC}">
              <c16:uniqueId val="{00000005-7972-43AB-83E8-C2C99B4277B0}"/>
            </c:ext>
          </c:extLst>
        </c:ser>
        <c:ser>
          <c:idx val="12"/>
          <c:order val="6"/>
          <c:tx>
            <c:strRef>
              <c:f>Projections!$A$61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Projections!$G$61:$AA$61</c15:sqref>
                  </c15:fullRef>
                </c:ext>
              </c:extLst>
              <c:f>Projections!$G$61:$Z$61</c:f>
              <c:numCache>
                <c:formatCode>#,##0</c:formatCode>
                <c:ptCount val="20"/>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221276.47375022396</c:v>
                </c:pt>
                <c:pt idx="16">
                  <c:v>442552.94750044792</c:v>
                </c:pt>
                <c:pt idx="17">
                  <c:v>885105.89500089583</c:v>
                </c:pt>
                <c:pt idx="18">
                  <c:v>1770211.7900017917</c:v>
                </c:pt>
                <c:pt idx="19">
                  <c:v>3540423.5800035833</c:v>
                </c:pt>
              </c:numCache>
            </c:numRef>
          </c:val>
          <c:smooth val="0"/>
          <c:extLst>
            <c:ext xmlns:c16="http://schemas.microsoft.com/office/drawing/2014/chart" uri="{C3380CC4-5D6E-409C-BE32-E72D297353CC}">
              <c16:uniqueId val="{00000006-7972-43AB-83E8-C2C99B4277B0}"/>
            </c:ext>
          </c:extLst>
        </c:ser>
        <c:ser>
          <c:idx val="14"/>
          <c:order val="7"/>
          <c:tx>
            <c:strRef>
              <c:f>Projections!$A$63</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Projections!$G$63:$AA$63</c15:sqref>
                  </c15:fullRef>
                </c:ext>
              </c:extLst>
              <c:f>Projections!$G$63:$Z$63</c:f>
              <c:numCache>
                <c:formatCode>#,##0</c:formatCode>
                <c:ptCount val="20"/>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29540.225765991756</c:v>
                </c:pt>
                <c:pt idx="16">
                  <c:v>59080.451531983512</c:v>
                </c:pt>
                <c:pt idx="17">
                  <c:v>118160.90306396702</c:v>
                </c:pt>
                <c:pt idx="18">
                  <c:v>236321.80612793405</c:v>
                </c:pt>
                <c:pt idx="19">
                  <c:v>472643.61225586809</c:v>
                </c:pt>
              </c:numCache>
            </c:numRef>
          </c:val>
          <c:smooth val="0"/>
          <c:extLst>
            <c:ext xmlns:c16="http://schemas.microsoft.com/office/drawing/2014/chart" uri="{C3380CC4-5D6E-409C-BE32-E72D297353CC}">
              <c16:uniqueId val="{00000007-7972-43AB-83E8-C2C99B4277B0}"/>
            </c:ext>
          </c:extLst>
        </c:ser>
        <c:ser>
          <c:idx val="16"/>
          <c:order val="8"/>
          <c:tx>
            <c:strRef>
              <c:f>Projections!$A$65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Projections!$G$65:$AA$65</c15:sqref>
                  </c15:fullRef>
                </c:ext>
              </c:extLst>
              <c:f>Projections!$G$65:$Z$65</c:f>
              <c:numCache>
                <c:formatCode>#,##0</c:formatCode>
                <c:ptCount val="20"/>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10091.381472854326</c:v>
                </c:pt>
                <c:pt idx="16">
                  <c:v>20182.762945708651</c:v>
                </c:pt>
                <c:pt idx="17">
                  <c:v>40365.525891417303</c:v>
                </c:pt>
                <c:pt idx="18">
                  <c:v>80731.051782834606</c:v>
                </c:pt>
                <c:pt idx="19">
                  <c:v>161462.10356566921</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Projections!$A$49</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Projections!$G$50:$AA$50</c15:sqref>
                  </c15:fullRef>
                </c:ext>
              </c:extLst>
              <c:f>Projections!$G$50:$Z$50</c:f>
              <c:numCache>
                <c:formatCode>#,##0</c:formatCode>
                <c:ptCount val="20"/>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4371.9534133667794</c:v>
                </c:pt>
                <c:pt idx="16">
                  <c:v>8743.9068267335588</c:v>
                </c:pt>
                <c:pt idx="17">
                  <c:v>17487.813653467118</c:v>
                </c:pt>
                <c:pt idx="18">
                  <c:v>34975.627306934235</c:v>
                </c:pt>
                <c:pt idx="19">
                  <c:v>69951.25461386847</c:v>
                </c:pt>
              </c:numCache>
            </c:numRef>
          </c:val>
          <c:smooth val="0"/>
          <c:extLst>
            <c:ext xmlns:c16="http://schemas.microsoft.com/office/drawing/2014/chart" uri="{C3380CC4-5D6E-409C-BE32-E72D297353CC}">
              <c16:uniqueId val="{00000000-FE50-482D-905D-7C3B099138E4}"/>
            </c:ext>
          </c:extLst>
        </c:ser>
        <c:ser>
          <c:idx val="3"/>
          <c:order val="1"/>
          <c:tx>
            <c:strRef>
              <c:f>Projections!$A$51</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Projections!$G$52:$AA$52</c15:sqref>
                  </c15:fullRef>
                </c:ext>
              </c:extLst>
              <c:f>Projections!$G$52:$Z$52</c:f>
              <c:numCache>
                <c:formatCode>#,##0</c:formatCode>
                <c:ptCount val="20"/>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8733.631965597564</c:v>
                </c:pt>
                <c:pt idx="16">
                  <c:v>17467.263931195128</c:v>
                </c:pt>
                <c:pt idx="17">
                  <c:v>34934.527862390256</c:v>
                </c:pt>
                <c:pt idx="18">
                  <c:v>69869.055724780512</c:v>
                </c:pt>
                <c:pt idx="19">
                  <c:v>139738.11144956102</c:v>
                </c:pt>
              </c:numCache>
            </c:numRef>
          </c:val>
          <c:smooth val="0"/>
          <c:extLst>
            <c:ext xmlns:c16="http://schemas.microsoft.com/office/drawing/2014/chart" uri="{C3380CC4-5D6E-409C-BE32-E72D297353CC}">
              <c16:uniqueId val="{00000001-FE50-482D-905D-7C3B099138E4}"/>
            </c:ext>
          </c:extLst>
        </c:ser>
        <c:ser>
          <c:idx val="5"/>
          <c:order val="2"/>
          <c:tx>
            <c:strRef>
              <c:f>Projections!$A$53</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Projections!$G$54:$AA$54</c15:sqref>
                  </c15:fullRef>
                </c:ext>
              </c:extLst>
              <c:f>Projections!$G$54:$Z$54</c:f>
              <c:numCache>
                <c:formatCode>#,##0</c:formatCode>
                <c:ptCount val="20"/>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6169.3201935137067</c:v>
                </c:pt>
                <c:pt idx="16">
                  <c:v>12338.640387027413</c:v>
                </c:pt>
                <c:pt idx="17">
                  <c:v>24677.280774054827</c:v>
                </c:pt>
                <c:pt idx="18">
                  <c:v>49354.561548109654</c:v>
                </c:pt>
                <c:pt idx="19">
                  <c:v>98709.123096219308</c:v>
                </c:pt>
              </c:numCache>
            </c:numRef>
          </c:val>
          <c:smooth val="0"/>
          <c:extLst>
            <c:ext xmlns:c16="http://schemas.microsoft.com/office/drawing/2014/chart" uri="{C3380CC4-5D6E-409C-BE32-E72D297353CC}">
              <c16:uniqueId val="{00000002-FE50-482D-905D-7C3B099138E4}"/>
            </c:ext>
          </c:extLst>
        </c:ser>
        <c:ser>
          <c:idx val="7"/>
          <c:order val="3"/>
          <c:tx>
            <c:strRef>
              <c:f>Projections!$A$55</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Projections!$G$56:$AA$56</c15:sqref>
                  </c15:fullRef>
                </c:ext>
              </c:extLst>
              <c:f>Projections!$G$56:$Z$56</c:f>
              <c:numCache>
                <c:formatCode>#,##0</c:formatCode>
                <c:ptCount val="20"/>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2067.9992832825656</c:v>
                </c:pt>
                <c:pt idx="16">
                  <c:v>4135.9985665651311</c:v>
                </c:pt>
                <c:pt idx="17">
                  <c:v>8271.9971331302622</c:v>
                </c:pt>
                <c:pt idx="18">
                  <c:v>16543.994266260524</c:v>
                </c:pt>
                <c:pt idx="19">
                  <c:v>33087.988532521049</c:v>
                </c:pt>
              </c:numCache>
            </c:numRef>
          </c:val>
          <c:smooth val="0"/>
          <c:extLst>
            <c:ext xmlns:c16="http://schemas.microsoft.com/office/drawing/2014/chart" uri="{C3380CC4-5D6E-409C-BE32-E72D297353CC}">
              <c16:uniqueId val="{00000003-FE50-482D-905D-7C3B099138E4}"/>
            </c:ext>
          </c:extLst>
        </c:ser>
        <c:ser>
          <c:idx val="9"/>
          <c:order val="4"/>
          <c:tx>
            <c:strRef>
              <c:f>Projections!$A$57</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Projections!$G$58:$AA$58</c15:sqref>
                  </c15:fullRef>
                </c:ext>
              </c:extLst>
              <c:f>Projections!$G$58:$Z$58</c:f>
              <c:numCache>
                <c:formatCode>#,##0</c:formatCode>
                <c:ptCount val="20"/>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531.357104461566</c:v>
                </c:pt>
                <c:pt idx="16">
                  <c:v>1062.714208923132</c:v>
                </c:pt>
                <c:pt idx="17">
                  <c:v>2125.428417846264</c:v>
                </c:pt>
                <c:pt idx="18">
                  <c:v>4250.856835692528</c:v>
                </c:pt>
                <c:pt idx="19">
                  <c:v>8501.7136713850559</c:v>
                </c:pt>
              </c:numCache>
            </c:numRef>
          </c:val>
          <c:smooth val="0"/>
          <c:extLst>
            <c:ext xmlns:c16="http://schemas.microsoft.com/office/drawing/2014/chart" uri="{C3380CC4-5D6E-409C-BE32-E72D297353CC}">
              <c16:uniqueId val="{00000004-FE50-482D-905D-7C3B099138E4}"/>
            </c:ext>
          </c:extLst>
        </c:ser>
        <c:ser>
          <c:idx val="11"/>
          <c:order val="5"/>
          <c:tx>
            <c:strRef>
              <c:f>Projections!$A$59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Projections!$G$60:$AA$60</c15:sqref>
                  </c15:fullRef>
                </c:ext>
              </c:extLst>
              <c:f>Projections!$G$60:$Z$60</c:f>
              <c:numCache>
                <c:formatCode>#,##0</c:formatCode>
                <c:ptCount val="20"/>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322.19028847876723</c:v>
                </c:pt>
                <c:pt idx="16">
                  <c:v>644.38057695753446</c:v>
                </c:pt>
                <c:pt idx="17">
                  <c:v>1288.7611539150689</c:v>
                </c:pt>
                <c:pt idx="18">
                  <c:v>2577.5223078301378</c:v>
                </c:pt>
                <c:pt idx="19">
                  <c:v>5155.0446156602757</c:v>
                </c:pt>
              </c:numCache>
            </c:numRef>
          </c:val>
          <c:smooth val="0"/>
          <c:extLst>
            <c:ext xmlns:c16="http://schemas.microsoft.com/office/drawing/2014/chart" uri="{C3380CC4-5D6E-409C-BE32-E72D297353CC}">
              <c16:uniqueId val="{00000005-FE50-482D-905D-7C3B099138E4}"/>
            </c:ext>
          </c:extLst>
        </c:ser>
        <c:ser>
          <c:idx val="13"/>
          <c:order val="6"/>
          <c:tx>
            <c:strRef>
              <c:f>Projections!$A$61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Projections!$G$62:$AA$62</c15:sqref>
                  </c15:fullRef>
                </c:ext>
              </c:extLst>
              <c:f>Projections!$G$62:$Z$62</c:f>
              <c:numCache>
                <c:formatCode>#,##0</c:formatCode>
                <c:ptCount val="20"/>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442.55294750044794</c:v>
                </c:pt>
                <c:pt idx="16">
                  <c:v>885.10589500089588</c:v>
                </c:pt>
                <c:pt idx="17">
                  <c:v>1770.2117900017918</c:v>
                </c:pt>
                <c:pt idx="18">
                  <c:v>3540.4235800035835</c:v>
                </c:pt>
                <c:pt idx="19">
                  <c:v>7080.8471600071671</c:v>
                </c:pt>
              </c:numCache>
            </c:numRef>
          </c:val>
          <c:smooth val="0"/>
          <c:extLst>
            <c:ext xmlns:c16="http://schemas.microsoft.com/office/drawing/2014/chart" uri="{C3380CC4-5D6E-409C-BE32-E72D297353CC}">
              <c16:uniqueId val="{00000006-FE50-482D-905D-7C3B099138E4}"/>
            </c:ext>
          </c:extLst>
        </c:ser>
        <c:ser>
          <c:idx val="15"/>
          <c:order val="7"/>
          <c:tx>
            <c:strRef>
              <c:f>Projections!$A$63</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Projections!$G$64:$AA$64</c15:sqref>
                  </c15:fullRef>
                </c:ext>
              </c:extLst>
              <c:f>Projections!$G$64:$Z$64</c:f>
              <c:numCache>
                <c:formatCode>#,##0</c:formatCode>
                <c:ptCount val="20"/>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59.080451531983513</c:v>
                </c:pt>
                <c:pt idx="16">
                  <c:v>118.16090306396703</c:v>
                </c:pt>
                <c:pt idx="17">
                  <c:v>236.32180612793405</c:v>
                </c:pt>
                <c:pt idx="18">
                  <c:v>472.64361225586811</c:v>
                </c:pt>
                <c:pt idx="19">
                  <c:v>945.28722451173621</c:v>
                </c:pt>
              </c:numCache>
            </c:numRef>
          </c:val>
          <c:smooth val="0"/>
          <c:extLst>
            <c:ext xmlns:c16="http://schemas.microsoft.com/office/drawing/2014/chart" uri="{C3380CC4-5D6E-409C-BE32-E72D297353CC}">
              <c16:uniqueId val="{00000007-FE50-482D-905D-7C3B099138E4}"/>
            </c:ext>
          </c:extLst>
        </c:ser>
        <c:ser>
          <c:idx val="17"/>
          <c:order val="8"/>
          <c:tx>
            <c:strRef>
              <c:f>Projections!$A$65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Projections!$G$66:$AA$66</c15:sqref>
                  </c15:fullRef>
                </c:ext>
              </c:extLst>
              <c:f>Projections!$G$66:$Z$66</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Projections!$G$78:$AA$78</c15:sqref>
                  </c15:fullRef>
                </c:ext>
              </c:extLst>
              <c:f>Projections!$G$78:$Z$78</c:f>
              <c:numCache>
                <c:formatCode>#,##0</c:formatCode>
                <c:ptCount val="20"/>
                <c:pt idx="0">
                  <c:v>10.53125</c:v>
                </c:pt>
                <c:pt idx="1">
                  <c:v>21.0625</c:v>
                </c:pt>
                <c:pt idx="2">
                  <c:v>42.125</c:v>
                </c:pt>
                <c:pt idx="3">
                  <c:v>84.25</c:v>
                </c:pt>
                <c:pt idx="4">
                  <c:v>168.5</c:v>
                </c:pt>
                <c:pt idx="5">
                  <c:v>337</c:v>
                </c:pt>
                <c:pt idx="6">
                  <c:v>674</c:v>
                </c:pt>
                <c:pt idx="7">
                  <c:v>1348</c:v>
                </c:pt>
                <c:pt idx="8">
                  <c:v>2696</c:v>
                </c:pt>
                <c:pt idx="9">
                  <c:v>5392</c:v>
                </c:pt>
                <c:pt idx="10">
                  <c:v>10784</c:v>
                </c:pt>
                <c:pt idx="11">
                  <c:v>21568</c:v>
                </c:pt>
                <c:pt idx="12">
                  <c:v>43136</c:v>
                </c:pt>
                <c:pt idx="13">
                  <c:v>86272</c:v>
                </c:pt>
                <c:pt idx="14">
                  <c:v>172544</c:v>
                </c:pt>
                <c:pt idx="15">
                  <c:v>345088</c:v>
                </c:pt>
                <c:pt idx="16">
                  <c:v>690176</c:v>
                </c:pt>
                <c:pt idx="17">
                  <c:v>1380352</c:v>
                </c:pt>
                <c:pt idx="18">
                  <c:v>2760704</c:v>
                </c:pt>
                <c:pt idx="19">
                  <c:v>5521408</c:v>
                </c:pt>
              </c:numCache>
            </c:numRef>
          </c:val>
          <c:smooth val="0"/>
          <c:extLst>
            <c:ext xmlns:c16="http://schemas.microsoft.com/office/drawing/2014/chart" uri="{C3380CC4-5D6E-409C-BE32-E72D297353CC}">
              <c16:uniqueId val="{00000000-C5BA-4495-93D4-AC4CA8674604}"/>
            </c:ext>
          </c:extLst>
        </c:ser>
        <c:ser>
          <c:idx val="4"/>
          <c:order val="1"/>
          <c:tx>
            <c:strRef>
              <c:f>Projections!$A$76</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Projections!$G$76:$AA$76</c15:sqref>
                  </c15:fullRef>
                </c:ext>
              </c:extLst>
              <c:f>Projections!$G$76:$Z$76</c:f>
              <c:numCache>
                <c:formatCode>#,##0</c:formatCode>
                <c:ptCount val="20"/>
                <c:pt idx="0">
                  <c:v>9.6875</c:v>
                </c:pt>
                <c:pt idx="1">
                  <c:v>19.375</c:v>
                </c:pt>
                <c:pt idx="2">
                  <c:v>38.75</c:v>
                </c:pt>
                <c:pt idx="3">
                  <c:v>77.5</c:v>
                </c:pt>
                <c:pt idx="4">
                  <c:v>155</c:v>
                </c:pt>
                <c:pt idx="5">
                  <c:v>310</c:v>
                </c:pt>
                <c:pt idx="6">
                  <c:v>620</c:v>
                </c:pt>
                <c:pt idx="7">
                  <c:v>1240</c:v>
                </c:pt>
                <c:pt idx="8">
                  <c:v>2480</c:v>
                </c:pt>
                <c:pt idx="9">
                  <c:v>4960</c:v>
                </c:pt>
                <c:pt idx="10">
                  <c:v>9920</c:v>
                </c:pt>
                <c:pt idx="11">
                  <c:v>19840</c:v>
                </c:pt>
                <c:pt idx="12">
                  <c:v>39680</c:v>
                </c:pt>
                <c:pt idx="13">
                  <c:v>79360</c:v>
                </c:pt>
                <c:pt idx="14">
                  <c:v>158720</c:v>
                </c:pt>
                <c:pt idx="15">
                  <c:v>317440</c:v>
                </c:pt>
                <c:pt idx="16">
                  <c:v>634880</c:v>
                </c:pt>
                <c:pt idx="17">
                  <c:v>1269760</c:v>
                </c:pt>
                <c:pt idx="18">
                  <c:v>2539520</c:v>
                </c:pt>
                <c:pt idx="19">
                  <c:v>5079040</c:v>
                </c:pt>
              </c:numCache>
            </c:numRef>
          </c:val>
          <c:smooth val="0"/>
          <c:extLst>
            <c:ext xmlns:c16="http://schemas.microsoft.com/office/drawing/2014/chart" uri="{C3380CC4-5D6E-409C-BE32-E72D297353CC}">
              <c16:uniqueId val="{00000001-C5BA-4495-93D4-AC4CA8674604}"/>
            </c:ext>
          </c:extLst>
        </c:ser>
        <c:ser>
          <c:idx val="10"/>
          <c:order val="2"/>
          <c:tx>
            <c:strRef>
              <c:f>Projections!$A$82</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Projections!$G$82:$AA$82</c15:sqref>
                  </c15:fullRef>
                </c:ext>
              </c:extLst>
              <c:f>Projections!$G$82:$Z$82</c:f>
              <c:numCache>
                <c:formatCode>#,##0</c:formatCode>
                <c:ptCount val="20"/>
                <c:pt idx="0">
                  <c:v>5.03125</c:v>
                </c:pt>
                <c:pt idx="1">
                  <c:v>10.0625</c:v>
                </c:pt>
                <c:pt idx="2">
                  <c:v>20.125</c:v>
                </c:pt>
                <c:pt idx="3">
                  <c:v>40.25</c:v>
                </c:pt>
                <c:pt idx="4">
                  <c:v>80.5</c:v>
                </c:pt>
                <c:pt idx="5">
                  <c:v>161</c:v>
                </c:pt>
                <c:pt idx="6">
                  <c:v>322</c:v>
                </c:pt>
                <c:pt idx="7">
                  <c:v>644</c:v>
                </c:pt>
                <c:pt idx="8">
                  <c:v>1288</c:v>
                </c:pt>
                <c:pt idx="9">
                  <c:v>2576</c:v>
                </c:pt>
                <c:pt idx="10">
                  <c:v>5152</c:v>
                </c:pt>
                <c:pt idx="11">
                  <c:v>10304</c:v>
                </c:pt>
                <c:pt idx="12">
                  <c:v>20608</c:v>
                </c:pt>
                <c:pt idx="13">
                  <c:v>41216</c:v>
                </c:pt>
                <c:pt idx="14">
                  <c:v>82432</c:v>
                </c:pt>
                <c:pt idx="15">
                  <c:v>164864</c:v>
                </c:pt>
                <c:pt idx="16">
                  <c:v>329728</c:v>
                </c:pt>
                <c:pt idx="17">
                  <c:v>659456</c:v>
                </c:pt>
                <c:pt idx="18">
                  <c:v>1318912</c:v>
                </c:pt>
                <c:pt idx="19">
                  <c:v>2637824</c:v>
                </c:pt>
              </c:numCache>
            </c:numRef>
          </c:val>
          <c:smooth val="0"/>
          <c:extLst>
            <c:ext xmlns:c16="http://schemas.microsoft.com/office/drawing/2014/chart" uri="{C3380CC4-5D6E-409C-BE32-E72D297353CC}">
              <c16:uniqueId val="{00000002-C5BA-4495-93D4-AC4CA8674604}"/>
            </c:ext>
          </c:extLst>
        </c:ser>
        <c:ser>
          <c:idx val="0"/>
          <c:order val="3"/>
          <c:tx>
            <c:strRef>
              <c:f>Projections!$A$72</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Projections!$G$72:$AA$72</c15:sqref>
                  </c15:fullRef>
                </c:ext>
              </c:extLst>
              <c:f>Projections!$G$72:$Z$72</c:f>
              <c:numCache>
                <c:formatCode>#,##0</c:formatCode>
                <c:ptCount val="20"/>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51200</c:v>
                </c:pt>
                <c:pt idx="16">
                  <c:v>102400</c:v>
                </c:pt>
                <c:pt idx="17">
                  <c:v>204800</c:v>
                </c:pt>
                <c:pt idx="18">
                  <c:v>409600</c:v>
                </c:pt>
                <c:pt idx="19">
                  <c:v>819200</c:v>
                </c:pt>
              </c:numCache>
            </c:numRef>
          </c:val>
          <c:smooth val="0"/>
          <c:extLst>
            <c:ext xmlns:c16="http://schemas.microsoft.com/office/drawing/2014/chart" uri="{C3380CC4-5D6E-409C-BE32-E72D297353CC}">
              <c16:uniqueId val="{00000003-C5BA-4495-93D4-AC4CA8674604}"/>
            </c:ext>
          </c:extLst>
        </c:ser>
        <c:ser>
          <c:idx val="2"/>
          <c:order val="4"/>
          <c:tx>
            <c:strRef>
              <c:f>Projections!$A$74</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Projections!$G$74:$AA$74</c15:sqref>
                  </c15:fullRef>
                </c:ext>
              </c:extLst>
              <c:f>Projections!$G$74:$Z$74</c:f>
              <c:numCache>
                <c:formatCode>#,##0</c:formatCode>
                <c:ptCount val="20"/>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pt idx="14">
                  <c:v>23552</c:v>
                </c:pt>
                <c:pt idx="15">
                  <c:v>47104</c:v>
                </c:pt>
                <c:pt idx="16">
                  <c:v>94208</c:v>
                </c:pt>
                <c:pt idx="17">
                  <c:v>188416</c:v>
                </c:pt>
                <c:pt idx="18">
                  <c:v>376832</c:v>
                </c:pt>
                <c:pt idx="19">
                  <c:v>753664</c:v>
                </c:pt>
              </c:numCache>
            </c:numRef>
          </c:val>
          <c:smooth val="0"/>
          <c:extLst>
            <c:ext xmlns:c16="http://schemas.microsoft.com/office/drawing/2014/chart" uri="{C3380CC4-5D6E-409C-BE32-E72D297353CC}">
              <c16:uniqueId val="{00000004-C5BA-4495-93D4-AC4CA8674604}"/>
            </c:ext>
          </c:extLst>
        </c:ser>
        <c:ser>
          <c:idx val="8"/>
          <c:order val="5"/>
          <c:tx>
            <c:strRef>
              <c:f>Projections!$A$80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Projections!$G$80:$AA$80</c15:sqref>
                  </c15:fullRef>
                </c:ext>
              </c:extLst>
              <c:f>Projections!$G$80:$Z$80</c:f>
              <c:numCache>
                <c:formatCode>#,##0</c:formatCode>
                <c:ptCount val="20"/>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122880</c:v>
                </c:pt>
                <c:pt idx="19">
                  <c:v>245760</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Projections!$G$79:$AA$79</c15:sqref>
                  </c15:fullRef>
                </c:ext>
              </c:extLst>
              <c:f>Projections!$G$79:$Z$79</c:f>
              <c:numCache>
                <c:formatCode>#,##0</c:formatCode>
                <c:ptCount val="20"/>
                <c:pt idx="0">
                  <c:v>0.63187499999999996</c:v>
                </c:pt>
                <c:pt idx="1">
                  <c:v>1.2637499999999999</c:v>
                </c:pt>
                <c:pt idx="2">
                  <c:v>2.5274999999999999</c:v>
                </c:pt>
                <c:pt idx="3">
                  <c:v>5.0549999999999997</c:v>
                </c:pt>
                <c:pt idx="4">
                  <c:v>10.11</c:v>
                </c:pt>
                <c:pt idx="5">
                  <c:v>20.22</c:v>
                </c:pt>
                <c:pt idx="6">
                  <c:v>40.44</c:v>
                </c:pt>
                <c:pt idx="7">
                  <c:v>80.88</c:v>
                </c:pt>
                <c:pt idx="8">
                  <c:v>161.76</c:v>
                </c:pt>
                <c:pt idx="9">
                  <c:v>323.52</c:v>
                </c:pt>
                <c:pt idx="10">
                  <c:v>647.04</c:v>
                </c:pt>
                <c:pt idx="11">
                  <c:v>1294.08</c:v>
                </c:pt>
                <c:pt idx="12">
                  <c:v>2588.16</c:v>
                </c:pt>
                <c:pt idx="13">
                  <c:v>5176.32</c:v>
                </c:pt>
                <c:pt idx="14">
                  <c:v>10352.64</c:v>
                </c:pt>
                <c:pt idx="15">
                  <c:v>20705.28</c:v>
                </c:pt>
                <c:pt idx="16">
                  <c:v>41410.559999999998</c:v>
                </c:pt>
                <c:pt idx="17">
                  <c:v>82821.119999999995</c:v>
                </c:pt>
                <c:pt idx="18">
                  <c:v>165642.23999999999</c:v>
                </c:pt>
                <c:pt idx="19">
                  <c:v>331284.47999999998</c:v>
                </c:pt>
              </c:numCache>
            </c:numRef>
          </c:val>
          <c:smooth val="0"/>
          <c:extLst>
            <c:ext xmlns:c16="http://schemas.microsoft.com/office/drawing/2014/chart" uri="{C3380CC4-5D6E-409C-BE32-E72D297353CC}">
              <c16:uniqueId val="{00000000-5E66-4AF0-A3CA-7CF12153AA8E}"/>
            </c:ext>
          </c:extLst>
        </c:ser>
        <c:ser>
          <c:idx val="5"/>
          <c:order val="1"/>
          <c:tx>
            <c:strRef>
              <c:f>Projections!$A$76</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Projections!$G$77:$AA$77</c15:sqref>
                  </c15:fullRef>
                </c:ext>
              </c:extLst>
              <c:f>Projections!$G$77:$Z$77</c:f>
              <c:numCache>
                <c:formatCode>#,##0</c:formatCode>
                <c:ptCount val="20"/>
                <c:pt idx="0">
                  <c:v>0.61031250000000004</c:v>
                </c:pt>
                <c:pt idx="1">
                  <c:v>1.2206250000000001</c:v>
                </c:pt>
                <c:pt idx="2">
                  <c:v>2.4412500000000001</c:v>
                </c:pt>
                <c:pt idx="3">
                  <c:v>4.8825000000000003</c:v>
                </c:pt>
                <c:pt idx="4">
                  <c:v>9.7650000000000006</c:v>
                </c:pt>
                <c:pt idx="5">
                  <c:v>19.53</c:v>
                </c:pt>
                <c:pt idx="6">
                  <c:v>39.06</c:v>
                </c:pt>
                <c:pt idx="7">
                  <c:v>78.12</c:v>
                </c:pt>
                <c:pt idx="8">
                  <c:v>156.24</c:v>
                </c:pt>
                <c:pt idx="9">
                  <c:v>312.48</c:v>
                </c:pt>
                <c:pt idx="10">
                  <c:v>624.96</c:v>
                </c:pt>
                <c:pt idx="11">
                  <c:v>1249.92</c:v>
                </c:pt>
                <c:pt idx="12">
                  <c:v>2499.84</c:v>
                </c:pt>
                <c:pt idx="13">
                  <c:v>4999.68</c:v>
                </c:pt>
                <c:pt idx="14">
                  <c:v>9999.36</c:v>
                </c:pt>
                <c:pt idx="15">
                  <c:v>19998.72</c:v>
                </c:pt>
                <c:pt idx="16">
                  <c:v>39997.440000000002</c:v>
                </c:pt>
                <c:pt idx="17">
                  <c:v>79994.880000000005</c:v>
                </c:pt>
                <c:pt idx="18">
                  <c:v>159989.76000000001</c:v>
                </c:pt>
                <c:pt idx="19">
                  <c:v>319979.52000000002</c:v>
                </c:pt>
              </c:numCache>
            </c:numRef>
          </c:val>
          <c:smooth val="0"/>
          <c:extLst>
            <c:ext xmlns:c16="http://schemas.microsoft.com/office/drawing/2014/chart" uri="{C3380CC4-5D6E-409C-BE32-E72D297353CC}">
              <c16:uniqueId val="{00000001-5E66-4AF0-A3CA-7CF12153AA8E}"/>
            </c:ext>
          </c:extLst>
        </c:ser>
        <c:ser>
          <c:idx val="1"/>
          <c:order val="2"/>
          <c:tx>
            <c:strRef>
              <c:f>Projections!$A$72</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Projections!$G$73:$AA$73</c15:sqref>
                  </c15:fullRef>
                </c:ext>
              </c:extLst>
              <c:f>Projections!$G$73:$Z$73</c:f>
              <c:numCache>
                <c:formatCode>#,##0</c:formatCode>
                <c:ptCount val="20"/>
                <c:pt idx="0">
                  <c:v>0.1640625</c:v>
                </c:pt>
                <c:pt idx="1">
                  <c:v>0.328125</c:v>
                </c:pt>
                <c:pt idx="2">
                  <c:v>0.65625</c:v>
                </c:pt>
                <c:pt idx="3">
                  <c:v>1.3125</c:v>
                </c:pt>
                <c:pt idx="4">
                  <c:v>2.625</c:v>
                </c:pt>
                <c:pt idx="5">
                  <c:v>5.25</c:v>
                </c:pt>
                <c:pt idx="6">
                  <c:v>10.5</c:v>
                </c:pt>
                <c:pt idx="7">
                  <c:v>21</c:v>
                </c:pt>
                <c:pt idx="8">
                  <c:v>42</c:v>
                </c:pt>
                <c:pt idx="9">
                  <c:v>84</c:v>
                </c:pt>
                <c:pt idx="10">
                  <c:v>168</c:v>
                </c:pt>
                <c:pt idx="11">
                  <c:v>336</c:v>
                </c:pt>
                <c:pt idx="12">
                  <c:v>672</c:v>
                </c:pt>
                <c:pt idx="13">
                  <c:v>1344</c:v>
                </c:pt>
                <c:pt idx="14">
                  <c:v>2688</c:v>
                </c:pt>
                <c:pt idx="15">
                  <c:v>5376</c:v>
                </c:pt>
                <c:pt idx="16">
                  <c:v>10752</c:v>
                </c:pt>
                <c:pt idx="17">
                  <c:v>21504</c:v>
                </c:pt>
                <c:pt idx="18">
                  <c:v>43008</c:v>
                </c:pt>
                <c:pt idx="19">
                  <c:v>86016</c:v>
                </c:pt>
              </c:numCache>
            </c:numRef>
          </c:val>
          <c:smooth val="0"/>
          <c:extLst>
            <c:ext xmlns:c16="http://schemas.microsoft.com/office/drawing/2014/chart" uri="{C3380CC4-5D6E-409C-BE32-E72D297353CC}">
              <c16:uniqueId val="{00000002-5E66-4AF0-A3CA-7CF12153AA8E}"/>
            </c:ext>
          </c:extLst>
        </c:ser>
        <c:ser>
          <c:idx val="3"/>
          <c:order val="3"/>
          <c:tx>
            <c:strRef>
              <c:f>Projections!$A$74</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Projections!$G$75:$AA$75</c15:sqref>
                  </c15:fullRef>
                </c:ext>
              </c:extLst>
              <c:f>Projections!$G$75:$Z$75</c:f>
              <c:numCache>
                <c:formatCode>#,##0</c:formatCode>
                <c:ptCount val="20"/>
                <c:pt idx="0">
                  <c:v>0.10493749999999999</c:v>
                </c:pt>
                <c:pt idx="1">
                  <c:v>0.20987499999999998</c:v>
                </c:pt>
                <c:pt idx="2">
                  <c:v>0.41974999999999996</c:v>
                </c:pt>
                <c:pt idx="3">
                  <c:v>0.83949999999999991</c:v>
                </c:pt>
                <c:pt idx="4">
                  <c:v>1.6789999999999998</c:v>
                </c:pt>
                <c:pt idx="5">
                  <c:v>3.3579999999999997</c:v>
                </c:pt>
                <c:pt idx="6">
                  <c:v>6.7159999999999993</c:v>
                </c:pt>
                <c:pt idx="7">
                  <c:v>13.431999999999999</c:v>
                </c:pt>
                <c:pt idx="8">
                  <c:v>26.863999999999997</c:v>
                </c:pt>
                <c:pt idx="9">
                  <c:v>53.727999999999994</c:v>
                </c:pt>
                <c:pt idx="10">
                  <c:v>107.45599999999999</c:v>
                </c:pt>
                <c:pt idx="11">
                  <c:v>214.91199999999998</c:v>
                </c:pt>
                <c:pt idx="12">
                  <c:v>429.82399999999996</c:v>
                </c:pt>
                <c:pt idx="13">
                  <c:v>859.64799999999991</c:v>
                </c:pt>
                <c:pt idx="14">
                  <c:v>1719.2959999999998</c:v>
                </c:pt>
                <c:pt idx="15">
                  <c:v>3438.5919999999996</c:v>
                </c:pt>
                <c:pt idx="16">
                  <c:v>6877.1839999999993</c:v>
                </c:pt>
                <c:pt idx="17">
                  <c:v>13754.367999999999</c:v>
                </c:pt>
                <c:pt idx="18">
                  <c:v>27508.735999999997</c:v>
                </c:pt>
                <c:pt idx="19">
                  <c:v>55017.471999999994</c:v>
                </c:pt>
              </c:numCache>
            </c:numRef>
          </c:val>
          <c:smooth val="0"/>
          <c:extLst>
            <c:ext xmlns:c16="http://schemas.microsoft.com/office/drawing/2014/chart" uri="{C3380CC4-5D6E-409C-BE32-E72D297353CC}">
              <c16:uniqueId val="{00000003-5E66-4AF0-A3CA-7CF12153AA8E}"/>
            </c:ext>
          </c:extLst>
        </c:ser>
        <c:ser>
          <c:idx val="9"/>
          <c:order val="4"/>
          <c:tx>
            <c:strRef>
              <c:f>Projections!$A$80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Projections!$G$81:$AA$81</c15:sqref>
                  </c15:fullRef>
                </c:ext>
              </c:extLst>
              <c:f>Projections!$G$81:$Z$81</c:f>
              <c:numCache>
                <c:formatCode>#,##0</c:formatCode>
                <c:ptCount val="20"/>
                <c:pt idx="0">
                  <c:v>2.6249999999999999E-2</c:v>
                </c:pt>
                <c:pt idx="1">
                  <c:v>5.2499999999999998E-2</c:v>
                </c:pt>
                <c:pt idx="2">
                  <c:v>0.105</c:v>
                </c:pt>
                <c:pt idx="3">
                  <c:v>0.21</c:v>
                </c:pt>
                <c:pt idx="4">
                  <c:v>0.42</c:v>
                </c:pt>
                <c:pt idx="5">
                  <c:v>0.84</c:v>
                </c:pt>
                <c:pt idx="6">
                  <c:v>1.68</c:v>
                </c:pt>
                <c:pt idx="7">
                  <c:v>3.36</c:v>
                </c:pt>
                <c:pt idx="8">
                  <c:v>6.72</c:v>
                </c:pt>
                <c:pt idx="9">
                  <c:v>13.44</c:v>
                </c:pt>
                <c:pt idx="10">
                  <c:v>26.88</c:v>
                </c:pt>
                <c:pt idx="11">
                  <c:v>53.76</c:v>
                </c:pt>
                <c:pt idx="12">
                  <c:v>107.52</c:v>
                </c:pt>
                <c:pt idx="13">
                  <c:v>215.04</c:v>
                </c:pt>
                <c:pt idx="14">
                  <c:v>430.08</c:v>
                </c:pt>
                <c:pt idx="15">
                  <c:v>860.16</c:v>
                </c:pt>
                <c:pt idx="16">
                  <c:v>1720.32</c:v>
                </c:pt>
                <c:pt idx="17">
                  <c:v>3440.64</c:v>
                </c:pt>
                <c:pt idx="18">
                  <c:v>6881.28</c:v>
                </c:pt>
                <c:pt idx="19">
                  <c:v>13762.56</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43939</c:v>
                </c:pt>
              </c:numCache>
            </c:numRef>
          </c:cat>
          <c:val>
            <c:numRef>
              <c:extLst>
                <c:ext xmlns:c15="http://schemas.microsoft.com/office/drawing/2012/chart" uri="{02D57815-91ED-43cb-92C2-25804820EDAC}">
                  <c15:fullRef>
                    <c15:sqref>Projections!$G$18:$AA$18</c15:sqref>
                  </c15:fullRef>
                </c:ext>
              </c:extLst>
              <c:f>Projections!$G$18:$O$18</c:f>
              <c:numCache>
                <c:formatCode>#,##0_ ;[Red]\-#,##0\ </c:formatCode>
                <c:ptCount val="9"/>
                <c:pt idx="0">
                  <c:v>31.25</c:v>
                </c:pt>
                <c:pt idx="1">
                  <c:v>62.5</c:v>
                </c:pt>
                <c:pt idx="2">
                  <c:v>125</c:v>
                </c:pt>
                <c:pt idx="3">
                  <c:v>250</c:v>
                </c:pt>
                <c:pt idx="4">
                  <c:v>500</c:v>
                </c:pt>
                <c:pt idx="5">
                  <c:v>1000</c:v>
                </c:pt>
                <c:pt idx="6">
                  <c:v>2000</c:v>
                </c:pt>
                <c:pt idx="7">
                  <c:v>4000</c:v>
                </c:pt>
                <c:pt idx="8">
                  <c:v>8000</c:v>
                </c:pt>
              </c:numCache>
            </c:numRef>
          </c:val>
          <c:smooth val="0"/>
          <c:extLst>
            <c:ext xmlns:c16="http://schemas.microsoft.com/office/drawing/2014/chart" uri="{C3380CC4-5D6E-409C-BE32-E72D297353CC}">
              <c16:uniqueId val="{00000000-9DE3-43B6-B60B-9B4AA4851702}"/>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43939</c:v>
                </c:pt>
              </c:numCache>
            </c:numRef>
          </c:cat>
          <c:val>
            <c:numRef>
              <c:extLst>
                <c:ext xmlns:c15="http://schemas.microsoft.com/office/drawing/2012/chart" uri="{02D57815-91ED-43cb-92C2-25804820EDAC}">
                  <c15:fullRef>
                    <c15:sqref>Projections!$G$42:$AA$42</c15:sqref>
                  </c15:fullRef>
                </c:ext>
              </c:extLst>
              <c:f>Projections!$G$42:$O$42</c:f>
              <c:numCache>
                <c:formatCode>General</c:formatCode>
                <c:ptCount val="9"/>
                <c:pt idx="0">
                  <c:v>32</c:v>
                </c:pt>
                <c:pt idx="1">
                  <c:v>63</c:v>
                </c:pt>
                <c:pt idx="2" formatCode="#,##0">
                  <c:v>112</c:v>
                </c:pt>
                <c:pt idx="3" formatCode="#,##0">
                  <c:v>249</c:v>
                </c:pt>
                <c:pt idx="4" formatCode="#,##0">
                  <c:v>567</c:v>
                </c:pt>
                <c:pt idx="5" formatCode="#,##0">
                  <c:v>1072</c:v>
                </c:pt>
                <c:pt idx="6" formatCode="#,##0">
                  <c:v>2050</c:v>
                </c:pt>
                <c:pt idx="7" formatCode="#,##0">
                  <c:v>3984</c:v>
                </c:pt>
                <c:pt idx="8" formatCode="#,##0">
                  <c:v>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43939</c:v>
                </c:pt>
              </c:numCache>
            </c:numRef>
          </c:cat>
          <c:val>
            <c:numRef>
              <c:extLst>
                <c:ext xmlns:c15="http://schemas.microsoft.com/office/drawing/2012/chart" uri="{02D57815-91ED-43cb-92C2-25804820EDAC}">
                  <c15:fullRef>
                    <c15:sqref>Projections!$G$32:$AA$32</c15:sqref>
                  </c15:fullRef>
                </c:ext>
              </c:extLst>
              <c:f>Projections!$G$32:$O$32</c:f>
              <c:numCache>
                <c:formatCode>#,##0_ ;[Red]\-#,##0\ </c:formatCode>
                <c:ptCount val="9"/>
                <c:pt idx="0">
                  <c:v>1.09375</c:v>
                </c:pt>
                <c:pt idx="1">
                  <c:v>2.1875</c:v>
                </c:pt>
                <c:pt idx="2">
                  <c:v>4.375</c:v>
                </c:pt>
                <c:pt idx="3">
                  <c:v>8.75</c:v>
                </c:pt>
                <c:pt idx="4">
                  <c:v>17.5</c:v>
                </c:pt>
                <c:pt idx="5">
                  <c:v>35</c:v>
                </c:pt>
                <c:pt idx="6">
                  <c:v>70</c:v>
                </c:pt>
                <c:pt idx="7">
                  <c:v>140</c:v>
                </c:pt>
                <c:pt idx="8">
                  <c:v>280</c:v>
                </c:pt>
              </c:numCache>
            </c:numRef>
          </c:val>
          <c:smooth val="0"/>
          <c:extLst>
            <c:ext xmlns:c16="http://schemas.microsoft.com/office/drawing/2014/chart" uri="{C3380CC4-5D6E-409C-BE32-E72D297353CC}">
              <c16:uniqueId val="{00000000-FE1B-4946-A476-7952C5C71231}"/>
            </c:ext>
          </c:extLst>
        </c:ser>
        <c:ser>
          <c:idx val="1"/>
          <c:order val="1"/>
          <c:tx>
            <c:strRef>
              <c:f>Projections!$A$45</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Projections!$G$17:$AA$17</c15:sqref>
                  </c15:fullRef>
                </c:ext>
              </c:extLst>
              <c:f>Projections!$G$17:$O$17</c:f>
              <c:numCache>
                <c:formatCode>m/d/yyyy</c:formatCode>
                <c:ptCount val="9"/>
                <c:pt idx="0">
                  <c:v>43892</c:v>
                </c:pt>
                <c:pt idx="1">
                  <c:v>43896</c:v>
                </c:pt>
                <c:pt idx="2">
                  <c:v>43900</c:v>
                </c:pt>
                <c:pt idx="3">
                  <c:v>43904</c:v>
                </c:pt>
                <c:pt idx="4">
                  <c:v>43908</c:v>
                </c:pt>
                <c:pt idx="5">
                  <c:v>43911</c:v>
                </c:pt>
                <c:pt idx="6">
                  <c:v>43914</c:v>
                </c:pt>
                <c:pt idx="7">
                  <c:v>43919</c:v>
                </c:pt>
                <c:pt idx="8">
                  <c:v>43939</c:v>
                </c:pt>
              </c:numCache>
            </c:numRef>
          </c:cat>
          <c:val>
            <c:numRef>
              <c:extLst>
                <c:ext xmlns:c15="http://schemas.microsoft.com/office/drawing/2012/chart" uri="{02D57815-91ED-43cb-92C2-25804820EDAC}">
                  <c15:fullRef>
                    <c15:sqref>Projections!$G$45:$AA$45</c15:sqref>
                  </c15:fullRef>
                </c:ext>
              </c:extLst>
              <c:f>Projections!$G$45:$O$45</c:f>
              <c:numCache>
                <c:formatCode>General</c:formatCode>
                <c:ptCount val="9"/>
                <c:pt idx="0">
                  <c:v>1</c:v>
                </c:pt>
                <c:pt idx="1">
                  <c:v>2</c:v>
                </c:pt>
                <c:pt idx="2" formatCode="#,##0">
                  <c:v>3</c:v>
                </c:pt>
                <c:pt idx="3" formatCode="#,##0">
                  <c:v>5</c:v>
                </c:pt>
                <c:pt idx="4" formatCode="#,##0">
                  <c:v>6</c:v>
                </c:pt>
                <c:pt idx="5" formatCode="#,##0">
                  <c:v>7</c:v>
                </c:pt>
                <c:pt idx="6" formatCode="#,##0">
                  <c:v>8</c:v>
                </c:pt>
                <c:pt idx="7" formatCode="#,##0">
                  <c:v>16</c:v>
                </c:pt>
                <c:pt idx="8" formatCode="#,##0">
                  <c:v>50</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43889.975687962964</c:v>
                </c:pt>
                <c:pt idx="1">
                  <c:v>43892.975687962964</c:v>
                </c:pt>
                <c:pt idx="2">
                  <c:v>43895.975687962964</c:v>
                </c:pt>
                <c:pt idx="3">
                  <c:v>43898.975687962964</c:v>
                </c:pt>
                <c:pt idx="4">
                  <c:v>43901.975687962964</c:v>
                </c:pt>
                <c:pt idx="5">
                  <c:v>43904.975687962964</c:v>
                </c:pt>
                <c:pt idx="6">
                  <c:v>43907.975687962964</c:v>
                </c:pt>
                <c:pt idx="7">
                  <c:v>43910.975687962964</c:v>
                </c:pt>
                <c:pt idx="8">
                  <c:v>43913.975687962964</c:v>
                </c:pt>
                <c:pt idx="9">
                  <c:v>43916.975687962964</c:v>
                </c:pt>
                <c:pt idx="10">
                  <c:v>43919.975687962964</c:v>
                </c:pt>
                <c:pt idx="11">
                  <c:v>43922.975687962964</c:v>
                </c:pt>
                <c:pt idx="12">
                  <c:v>43925.975687962964</c:v>
                </c:pt>
                <c:pt idx="13">
                  <c:v>43928.975687962964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60.606060606060595</c:v>
                </c:pt>
                <c:pt idx="4">
                  <c:v>121.21212121212119</c:v>
                </c:pt>
                <c:pt idx="5">
                  <c:v>242.42424242424238</c:v>
                </c:pt>
                <c:pt idx="6">
                  <c:v>484.84848484848476</c:v>
                </c:pt>
                <c:pt idx="7">
                  <c:v>969.69696969696952</c:v>
                </c:pt>
                <c:pt idx="8">
                  <c:v>1939.393939393939</c:v>
                </c:pt>
                <c:pt idx="9">
                  <c:v>3878.7878787878781</c:v>
                </c:pt>
                <c:pt idx="10">
                  <c:v>7757.5757575757561</c:v>
                </c:pt>
                <c:pt idx="11">
                  <c:v>15515.151515151512</c:v>
                </c:pt>
                <c:pt idx="12">
                  <c:v>31030.303030303025</c:v>
                </c:pt>
                <c:pt idx="13">
                  <c:v>62060.606060606049</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43889.975687962964</c:v>
                </c:pt>
                <c:pt idx="1">
                  <c:v>43892.975687962964</c:v>
                </c:pt>
                <c:pt idx="2">
                  <c:v>43895.975687962964</c:v>
                </c:pt>
                <c:pt idx="3">
                  <c:v>43898.975687962964</c:v>
                </c:pt>
                <c:pt idx="4">
                  <c:v>43901.975687962964</c:v>
                </c:pt>
                <c:pt idx="5">
                  <c:v>43904.975687962964</c:v>
                </c:pt>
                <c:pt idx="6">
                  <c:v>43907.975687962964</c:v>
                </c:pt>
                <c:pt idx="7">
                  <c:v>43910.975687962964</c:v>
                </c:pt>
                <c:pt idx="8">
                  <c:v>43913.975687962964</c:v>
                </c:pt>
                <c:pt idx="9">
                  <c:v>43916.975687962964</c:v>
                </c:pt>
                <c:pt idx="10">
                  <c:v>43919.975687962964</c:v>
                </c:pt>
                <c:pt idx="11">
                  <c:v>43922.975687962964</c:v>
                </c:pt>
                <c:pt idx="12">
                  <c:v>43925.975687962964</c:v>
                </c:pt>
                <c:pt idx="13">
                  <c:v>43928.975687962964</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60.606060606060602</c:v>
                </c:pt>
                <c:pt idx="3">
                  <c:v>121.2121212121212</c:v>
                </c:pt>
                <c:pt idx="4">
                  <c:v>196.36363636363637</c:v>
                </c:pt>
                <c:pt idx="5">
                  <c:v>392.72727272727275</c:v>
                </c:pt>
                <c:pt idx="6">
                  <c:v>785.4545454545455</c:v>
                </c:pt>
                <c:pt idx="7">
                  <c:v>1521.818181818182</c:v>
                </c:pt>
                <c:pt idx="8">
                  <c:v>3043.636363636364</c:v>
                </c:pt>
                <c:pt idx="9">
                  <c:v>6087.2727272727279</c:v>
                </c:pt>
                <c:pt idx="10">
                  <c:v>12174.545454545456</c:v>
                </c:pt>
                <c:pt idx="11">
                  <c:v>24349.090909090912</c:v>
                </c:pt>
                <c:pt idx="12">
                  <c:v>48747.272727272728</c:v>
                </c:pt>
                <c:pt idx="13">
                  <c:v>97494.545454545456</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43889.975687962964</c:v>
                </c:pt>
                <c:pt idx="1">
                  <c:v>43892.975687962964</c:v>
                </c:pt>
                <c:pt idx="2">
                  <c:v>43895.975687962964</c:v>
                </c:pt>
                <c:pt idx="3">
                  <c:v>43898.975687962964</c:v>
                </c:pt>
                <c:pt idx="4">
                  <c:v>43901.975687962964</c:v>
                </c:pt>
                <c:pt idx="5">
                  <c:v>43904.975687962964</c:v>
                </c:pt>
                <c:pt idx="6">
                  <c:v>43907.975687962964</c:v>
                </c:pt>
                <c:pt idx="7">
                  <c:v>43910.975687962964</c:v>
                </c:pt>
                <c:pt idx="8">
                  <c:v>43913.975687962964</c:v>
                </c:pt>
                <c:pt idx="9">
                  <c:v>43916.975687962964</c:v>
                </c:pt>
                <c:pt idx="10">
                  <c:v>43919.975687962964</c:v>
                </c:pt>
                <c:pt idx="11">
                  <c:v>43922.975687962964</c:v>
                </c:pt>
                <c:pt idx="12">
                  <c:v>43925.975687962964</c:v>
                </c:pt>
                <c:pt idx="13">
                  <c:v>43928.975687962964</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46.060606060606055</c:v>
                </c:pt>
                <c:pt idx="5">
                  <c:v>92.12121212121211</c:v>
                </c:pt>
                <c:pt idx="6">
                  <c:v>135.75757575757575</c:v>
                </c:pt>
                <c:pt idx="7">
                  <c:v>271.5151515151515</c:v>
                </c:pt>
                <c:pt idx="8">
                  <c:v>543.030303030303</c:v>
                </c:pt>
                <c:pt idx="9">
                  <c:v>1086.060606060606</c:v>
                </c:pt>
                <c:pt idx="10">
                  <c:v>2172.121212121212</c:v>
                </c:pt>
                <c:pt idx="11">
                  <c:v>4344.242424242424</c:v>
                </c:pt>
                <c:pt idx="12">
                  <c:v>8688.484848484848</c:v>
                </c:pt>
                <c:pt idx="13">
                  <c:v>17376.969696969696</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43889.975687962964</c:v>
                </c:pt>
                <c:pt idx="1">
                  <c:v>43892.975687962964</c:v>
                </c:pt>
                <c:pt idx="2">
                  <c:v>43895.975687962964</c:v>
                </c:pt>
                <c:pt idx="3">
                  <c:v>43898.975687962964</c:v>
                </c:pt>
                <c:pt idx="4">
                  <c:v>43901.975687962964</c:v>
                </c:pt>
                <c:pt idx="5">
                  <c:v>43904.975687962964</c:v>
                </c:pt>
                <c:pt idx="6">
                  <c:v>43907.975687962964</c:v>
                </c:pt>
                <c:pt idx="7">
                  <c:v>43910.975687962964</c:v>
                </c:pt>
                <c:pt idx="8">
                  <c:v>43913.975687962964</c:v>
                </c:pt>
                <c:pt idx="9">
                  <c:v>43916.975687962964</c:v>
                </c:pt>
                <c:pt idx="10">
                  <c:v>43919.975687962964</c:v>
                </c:pt>
                <c:pt idx="11">
                  <c:v>43922.975687962964</c:v>
                </c:pt>
                <c:pt idx="12">
                  <c:v>43925.975687962964</c:v>
                </c:pt>
                <c:pt idx="13">
                  <c:v>43928.975687962964</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48.484848484848484</c:v>
                </c:pt>
                <c:pt idx="7">
                  <c:v>96.969696969696969</c:v>
                </c:pt>
                <c:pt idx="8">
                  <c:v>193.93939393939394</c:v>
                </c:pt>
                <c:pt idx="9">
                  <c:v>387.87878787878788</c:v>
                </c:pt>
                <c:pt idx="10">
                  <c:v>775.75757575757575</c:v>
                </c:pt>
                <c:pt idx="11">
                  <c:v>1551.5151515151515</c:v>
                </c:pt>
                <c:pt idx="12">
                  <c:v>3103.030303030303</c:v>
                </c:pt>
                <c:pt idx="13">
                  <c:v>6206.060606060606</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43889.975687962964</c:v>
                </c:pt>
                <c:pt idx="1">
                  <c:v>43892.975687962964</c:v>
                </c:pt>
                <c:pt idx="2">
                  <c:v>43895.975687962964</c:v>
                </c:pt>
                <c:pt idx="3">
                  <c:v>43898.975687962964</c:v>
                </c:pt>
                <c:pt idx="4">
                  <c:v>43901.975687962964</c:v>
                </c:pt>
                <c:pt idx="5">
                  <c:v>43904.975687962964</c:v>
                </c:pt>
                <c:pt idx="6">
                  <c:v>43907.975687962964</c:v>
                </c:pt>
                <c:pt idx="7">
                  <c:v>43910.975687962964</c:v>
                </c:pt>
                <c:pt idx="8">
                  <c:v>43913.975687962964</c:v>
                </c:pt>
                <c:pt idx="9">
                  <c:v>43916.975687962964</c:v>
                </c:pt>
                <c:pt idx="10">
                  <c:v>43919.975687962964</c:v>
                </c:pt>
                <c:pt idx="11">
                  <c:v>43922.975687962964</c:v>
                </c:pt>
                <c:pt idx="12">
                  <c:v>43925.975687962964</c:v>
                </c:pt>
                <c:pt idx="13">
                  <c:v>43928.975687962964</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86.580086580086572</c:v>
                </c:pt>
                <c:pt idx="1">
                  <c:v>173.16017316017314</c:v>
                </c:pt>
                <c:pt idx="2">
                  <c:v>346.32034632034629</c:v>
                </c:pt>
                <c:pt idx="3">
                  <c:v>692.64069264069258</c:v>
                </c:pt>
                <c:pt idx="4">
                  <c:v>1385.2813852813852</c:v>
                </c:pt>
                <c:pt idx="5">
                  <c:v>2770.5627705627703</c:v>
                </c:pt>
                <c:pt idx="6">
                  <c:v>5541.1255411255406</c:v>
                </c:pt>
                <c:pt idx="7">
                  <c:v>11082.251082251081</c:v>
                </c:pt>
                <c:pt idx="8">
                  <c:v>22164.502164502162</c:v>
                </c:pt>
                <c:pt idx="9">
                  <c:v>44329.004329004325</c:v>
                </c:pt>
                <c:pt idx="10">
                  <c:v>88658.00865800865</c:v>
                </c:pt>
                <c:pt idx="11">
                  <c:v>177316.0173160173</c:v>
                </c:pt>
                <c:pt idx="12">
                  <c:v>354632.0346320346</c:v>
                </c:pt>
                <c:pt idx="13">
                  <c:v>709264.0692640692</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Asymptomatic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43889.975687962964</c:v>
                </c:pt>
                <c:pt idx="1">
                  <c:v>43892.975687962964</c:v>
                </c:pt>
                <c:pt idx="2">
                  <c:v>43895.975687962964</c:v>
                </c:pt>
                <c:pt idx="3">
                  <c:v>43898.975687962964</c:v>
                </c:pt>
                <c:pt idx="4">
                  <c:v>43901.975687962964</c:v>
                </c:pt>
                <c:pt idx="5">
                  <c:v>43904.975687962964</c:v>
                </c:pt>
                <c:pt idx="6">
                  <c:v>43907.975687962964</c:v>
                </c:pt>
                <c:pt idx="7">
                  <c:v>43910.975687962964</c:v>
                </c:pt>
                <c:pt idx="8">
                  <c:v>43913.975687962964</c:v>
                </c:pt>
                <c:pt idx="9">
                  <c:v>43916.975687962964</c:v>
                </c:pt>
                <c:pt idx="10">
                  <c:v>43919.975687962964</c:v>
                </c:pt>
                <c:pt idx="11">
                  <c:v>43922.975687962964</c:v>
                </c:pt>
                <c:pt idx="12">
                  <c:v>43925.975687962964</c:v>
                </c:pt>
                <c:pt idx="13">
                  <c:v>43928.975687962964</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25.97402597402597</c:v>
                </c:pt>
                <c:pt idx="1">
                  <c:v>51.94805194805194</c:v>
                </c:pt>
                <c:pt idx="2">
                  <c:v>103.89610389610388</c:v>
                </c:pt>
                <c:pt idx="3">
                  <c:v>207.79220779220776</c:v>
                </c:pt>
                <c:pt idx="4">
                  <c:v>415.58441558441552</c:v>
                </c:pt>
                <c:pt idx="5">
                  <c:v>831.16883116883105</c:v>
                </c:pt>
                <c:pt idx="6">
                  <c:v>1662.3376623376621</c:v>
                </c:pt>
                <c:pt idx="7">
                  <c:v>3324.6753246753242</c:v>
                </c:pt>
                <c:pt idx="8">
                  <c:v>6649.3506493506484</c:v>
                </c:pt>
                <c:pt idx="9">
                  <c:v>13298.701298701297</c:v>
                </c:pt>
                <c:pt idx="10">
                  <c:v>26597.402597402594</c:v>
                </c:pt>
                <c:pt idx="11">
                  <c:v>53194.805194805187</c:v>
                </c:pt>
                <c:pt idx="12">
                  <c:v>106389.61038961037</c:v>
                </c:pt>
                <c:pt idx="13">
                  <c:v>212779.22077922075</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43889.975687962964</c:v>
                </c:pt>
                <c:pt idx="1">
                  <c:v>43892.975687962964</c:v>
                </c:pt>
                <c:pt idx="2">
                  <c:v>43895.975687962964</c:v>
                </c:pt>
                <c:pt idx="3">
                  <c:v>43898.975687962964</c:v>
                </c:pt>
                <c:pt idx="4">
                  <c:v>43901.975687962964</c:v>
                </c:pt>
                <c:pt idx="5">
                  <c:v>43904.975687962964</c:v>
                </c:pt>
                <c:pt idx="6">
                  <c:v>43907.975687962964</c:v>
                </c:pt>
                <c:pt idx="7">
                  <c:v>43910.975687962964</c:v>
                </c:pt>
                <c:pt idx="8">
                  <c:v>43913.975687962964</c:v>
                </c:pt>
                <c:pt idx="9">
                  <c:v>43916.975687962964</c:v>
                </c:pt>
                <c:pt idx="10">
                  <c:v>43919.975687962964</c:v>
                </c:pt>
                <c:pt idx="11">
                  <c:v>43922.975687962964</c:v>
                </c:pt>
                <c:pt idx="12">
                  <c:v>43925.975687962964</c:v>
                </c:pt>
                <c:pt idx="13">
                  <c:v>43928.975687962964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60.606060606060595</c:v>
                </c:pt>
                <c:pt idx="4">
                  <c:v>121.21212121212119</c:v>
                </c:pt>
                <c:pt idx="5">
                  <c:v>242.42424242424238</c:v>
                </c:pt>
                <c:pt idx="6">
                  <c:v>484.84848484848476</c:v>
                </c:pt>
                <c:pt idx="7">
                  <c:v>969.69696969696952</c:v>
                </c:pt>
                <c:pt idx="8">
                  <c:v>1939.393939393939</c:v>
                </c:pt>
                <c:pt idx="9">
                  <c:v>3878.7878787878781</c:v>
                </c:pt>
                <c:pt idx="10">
                  <c:v>7757.5757575757561</c:v>
                </c:pt>
                <c:pt idx="11">
                  <c:v>15515.151515151512</c:v>
                </c:pt>
                <c:pt idx="12">
                  <c:v>31030.303030303025</c:v>
                </c:pt>
                <c:pt idx="13">
                  <c:v>62060.606060606049</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43889.975687962964</c:v>
                </c:pt>
                <c:pt idx="1">
                  <c:v>43892.975687962964</c:v>
                </c:pt>
                <c:pt idx="2">
                  <c:v>43895.975687962964</c:v>
                </c:pt>
                <c:pt idx="3">
                  <c:v>43898.975687962964</c:v>
                </c:pt>
                <c:pt idx="4">
                  <c:v>43901.975687962964</c:v>
                </c:pt>
                <c:pt idx="5">
                  <c:v>43904.975687962964</c:v>
                </c:pt>
                <c:pt idx="6">
                  <c:v>43907.975687962964</c:v>
                </c:pt>
                <c:pt idx="7">
                  <c:v>43910.975687962964</c:v>
                </c:pt>
                <c:pt idx="8">
                  <c:v>43913.975687962964</c:v>
                </c:pt>
                <c:pt idx="9">
                  <c:v>43916.975687962964</c:v>
                </c:pt>
                <c:pt idx="10">
                  <c:v>43919.975687962964</c:v>
                </c:pt>
                <c:pt idx="11">
                  <c:v>43922.975687962964</c:v>
                </c:pt>
                <c:pt idx="12">
                  <c:v>43925.975687962964</c:v>
                </c:pt>
                <c:pt idx="13">
                  <c:v>43928.975687962964</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60.606060606060595</c:v>
                </c:pt>
                <c:pt idx="4">
                  <c:v>121.21212121212119</c:v>
                </c:pt>
                <c:pt idx="5">
                  <c:v>242.42424242424238</c:v>
                </c:pt>
                <c:pt idx="6">
                  <c:v>484.84848484848476</c:v>
                </c:pt>
                <c:pt idx="7">
                  <c:v>969.69696969696952</c:v>
                </c:pt>
                <c:pt idx="8">
                  <c:v>1939.393939393939</c:v>
                </c:pt>
                <c:pt idx="9">
                  <c:v>3878.7878787878781</c:v>
                </c:pt>
                <c:pt idx="10">
                  <c:v>7757.5757575757561</c:v>
                </c:pt>
                <c:pt idx="11">
                  <c:v>15515.151515151512</c:v>
                </c:pt>
                <c:pt idx="12">
                  <c:v>31030.303030303025</c:v>
                </c:pt>
                <c:pt idx="13">
                  <c:v>62060.606060606049</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43889.975687962964</c:v>
                </c:pt>
                <c:pt idx="1">
                  <c:v>43892.975687962964</c:v>
                </c:pt>
                <c:pt idx="2">
                  <c:v>43895.975687962964</c:v>
                </c:pt>
                <c:pt idx="3">
                  <c:v>43898.975687962964</c:v>
                </c:pt>
                <c:pt idx="4">
                  <c:v>43901.975687962964</c:v>
                </c:pt>
                <c:pt idx="5">
                  <c:v>43904.975687962964</c:v>
                </c:pt>
                <c:pt idx="6">
                  <c:v>43907.975687962964</c:v>
                </c:pt>
                <c:pt idx="7">
                  <c:v>43910.975687962964</c:v>
                </c:pt>
                <c:pt idx="8">
                  <c:v>43913.975687962964</c:v>
                </c:pt>
                <c:pt idx="9">
                  <c:v>43916.975687962964</c:v>
                </c:pt>
                <c:pt idx="10">
                  <c:v>43919.975687962964</c:v>
                </c:pt>
                <c:pt idx="11">
                  <c:v>43922.975687962964</c:v>
                </c:pt>
                <c:pt idx="12">
                  <c:v>43925.975687962964</c:v>
                </c:pt>
                <c:pt idx="13">
                  <c:v>43928.975687962964</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60.606060606060602</c:v>
                </c:pt>
                <c:pt idx="3">
                  <c:v>121.2121212121212</c:v>
                </c:pt>
                <c:pt idx="4">
                  <c:v>196.36363636363637</c:v>
                </c:pt>
                <c:pt idx="5">
                  <c:v>392.72727272727275</c:v>
                </c:pt>
                <c:pt idx="6">
                  <c:v>785.4545454545455</c:v>
                </c:pt>
                <c:pt idx="7">
                  <c:v>1521.818181818182</c:v>
                </c:pt>
                <c:pt idx="8">
                  <c:v>3043.636363636364</c:v>
                </c:pt>
                <c:pt idx="9">
                  <c:v>6087.2727272727279</c:v>
                </c:pt>
                <c:pt idx="10">
                  <c:v>12174.545454545456</c:v>
                </c:pt>
                <c:pt idx="11">
                  <c:v>24349.090909090912</c:v>
                </c:pt>
                <c:pt idx="12">
                  <c:v>48747.272727272728</c:v>
                </c:pt>
                <c:pt idx="13">
                  <c:v>97494.545454545456</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43889.975687962964</c:v>
                </c:pt>
                <c:pt idx="1">
                  <c:v>43892.975687962964</c:v>
                </c:pt>
                <c:pt idx="2">
                  <c:v>43895.975687962964</c:v>
                </c:pt>
                <c:pt idx="3">
                  <c:v>43898.975687962964</c:v>
                </c:pt>
                <c:pt idx="4">
                  <c:v>43901.975687962964</c:v>
                </c:pt>
                <c:pt idx="5">
                  <c:v>43904.975687962964</c:v>
                </c:pt>
                <c:pt idx="6">
                  <c:v>43907.975687962964</c:v>
                </c:pt>
                <c:pt idx="7">
                  <c:v>43910.975687962964</c:v>
                </c:pt>
                <c:pt idx="8">
                  <c:v>43913.975687962964</c:v>
                </c:pt>
                <c:pt idx="9">
                  <c:v>43916.975687962964</c:v>
                </c:pt>
                <c:pt idx="10">
                  <c:v>43919.975687962964</c:v>
                </c:pt>
                <c:pt idx="11">
                  <c:v>43922.975687962964</c:v>
                </c:pt>
                <c:pt idx="12">
                  <c:v>43925.975687962964</c:v>
                </c:pt>
                <c:pt idx="13">
                  <c:v>43928.975687962964</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46.060606060606055</c:v>
                </c:pt>
                <c:pt idx="5">
                  <c:v>92.12121212121211</c:v>
                </c:pt>
                <c:pt idx="6">
                  <c:v>135.75757575757575</c:v>
                </c:pt>
                <c:pt idx="7">
                  <c:v>271.5151515151515</c:v>
                </c:pt>
                <c:pt idx="8">
                  <c:v>543.030303030303</c:v>
                </c:pt>
                <c:pt idx="9">
                  <c:v>1086.060606060606</c:v>
                </c:pt>
                <c:pt idx="10">
                  <c:v>2172.121212121212</c:v>
                </c:pt>
                <c:pt idx="11">
                  <c:v>4344.242424242424</c:v>
                </c:pt>
                <c:pt idx="12">
                  <c:v>8688.484848484848</c:v>
                </c:pt>
                <c:pt idx="13">
                  <c:v>17376.969696969696</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43889.975687962964</c:v>
                </c:pt>
                <c:pt idx="1">
                  <c:v>43892.975687962964</c:v>
                </c:pt>
                <c:pt idx="2">
                  <c:v>43895.975687962964</c:v>
                </c:pt>
                <c:pt idx="3">
                  <c:v>43898.975687962964</c:v>
                </c:pt>
                <c:pt idx="4">
                  <c:v>43901.975687962964</c:v>
                </c:pt>
                <c:pt idx="5">
                  <c:v>43904.975687962964</c:v>
                </c:pt>
                <c:pt idx="6">
                  <c:v>43907.975687962964</c:v>
                </c:pt>
                <c:pt idx="7">
                  <c:v>43910.975687962964</c:v>
                </c:pt>
                <c:pt idx="8">
                  <c:v>43913.975687962964</c:v>
                </c:pt>
                <c:pt idx="9">
                  <c:v>43916.975687962964</c:v>
                </c:pt>
                <c:pt idx="10">
                  <c:v>43919.975687962964</c:v>
                </c:pt>
                <c:pt idx="11">
                  <c:v>43922.975687962964</c:v>
                </c:pt>
                <c:pt idx="12">
                  <c:v>43925.975687962964</c:v>
                </c:pt>
                <c:pt idx="13">
                  <c:v>43928.975687962964</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48.484848484848484</c:v>
                </c:pt>
                <c:pt idx="7">
                  <c:v>96.969696969696969</c:v>
                </c:pt>
                <c:pt idx="8">
                  <c:v>193.93939393939394</c:v>
                </c:pt>
                <c:pt idx="9">
                  <c:v>387.87878787878788</c:v>
                </c:pt>
                <c:pt idx="10">
                  <c:v>775.75757575757575</c:v>
                </c:pt>
                <c:pt idx="11">
                  <c:v>1551.5151515151515</c:v>
                </c:pt>
                <c:pt idx="12">
                  <c:v>3103.030303030303</c:v>
                </c:pt>
                <c:pt idx="13">
                  <c:v>6206.060606060606</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Projections!$G$28:$AA$28</c15:sqref>
                  </c15:fullRef>
                </c:ext>
              </c:extLst>
              <c:f>Projections!$G$28:$Z$28</c:f>
              <c:numCache>
                <c:formatCode>#,##0_ ;[Red]\-#,##0\ </c:formatCode>
                <c:ptCount val="20"/>
                <c:pt idx="0">
                  <c:v>3.1560616297070365</c:v>
                </c:pt>
                <c:pt idx="1">
                  <c:v>4.5905465095103892</c:v>
                </c:pt>
                <c:pt idx="2">
                  <c:v>6.5205368224071405</c:v>
                </c:pt>
                <c:pt idx="3">
                  <c:v>13.846558234822977</c:v>
                </c:pt>
                <c:pt idx="4">
                  <c:v>24.304135205098877</c:v>
                </c:pt>
                <c:pt idx="5">
                  <c:v>46.201171875000007</c:v>
                </c:pt>
                <c:pt idx="6">
                  <c:v>77.164106827176639</c:v>
                </c:pt>
                <c:pt idx="7">
                  <c:v>239.2841574929042</c:v>
                </c:pt>
                <c:pt idx="8">
                  <c:v>7543.2450656814926</c:v>
                </c:pt>
                <c:pt idx="9">
                  <c:v>6836.0248645586234</c:v>
                </c:pt>
                <c:pt idx="10">
                  <c:v>9914.1246295369965</c:v>
                </c:pt>
                <c:pt idx="11">
                  <c:v>16667.846210900734</c:v>
                </c:pt>
                <c:pt idx="12">
                  <c:v>29901.524942552576</c:v>
                </c:pt>
                <c:pt idx="13">
                  <c:v>55510.918866473476</c:v>
                </c:pt>
                <c:pt idx="14">
                  <c:v>105163.45188851724</c:v>
                </c:pt>
                <c:pt idx="15">
                  <c:v>201832.18893057221</c:v>
                </c:pt>
                <c:pt idx="16">
                  <c:v>390792.16273221647</c:v>
                </c:pt>
                <c:pt idx="17">
                  <c:v>761414.22516771429</c:v>
                </c:pt>
                <c:pt idx="18">
                  <c:v>1490379.8924344666</c:v>
                </c:pt>
                <c:pt idx="19">
                  <c:v>2927438.6113480283</c:v>
                </c:pt>
              </c:numCache>
            </c:numRef>
          </c:val>
          <c:smooth val="0"/>
          <c:extLst>
            <c:ext xmlns:c16="http://schemas.microsoft.com/office/drawing/2014/chart" uri="{C3380CC4-5D6E-409C-BE32-E72D297353CC}">
              <c16:uniqueId val="{00000003-5231-4BE2-97ED-54F0C3DB105C}"/>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Projections!$G$29:$AA$29</c15:sqref>
                  </c15:fullRef>
                </c:ext>
              </c:extLst>
              <c:f>Projections!$G$29:$Z$29</c:f>
              <c:numCache>
                <c:formatCode>#,##0_ ;[Red]\-#,##0\ </c:formatCode>
                <c:ptCount val="20"/>
                <c:pt idx="0">
                  <c:v>3.1560616297070365</c:v>
                </c:pt>
                <c:pt idx="1">
                  <c:v>4.5905465095103892</c:v>
                </c:pt>
                <c:pt idx="2">
                  <c:v>6.5205368224071405</c:v>
                </c:pt>
                <c:pt idx="3">
                  <c:v>13.846558234822977</c:v>
                </c:pt>
                <c:pt idx="4">
                  <c:v>22.419707484218328</c:v>
                </c:pt>
                <c:pt idx="5">
                  <c:v>42.557340760572906</c:v>
                </c:pt>
                <c:pt idx="6">
                  <c:v>71.695356827176639</c:v>
                </c:pt>
                <c:pt idx="7">
                  <c:v>224.85890216759663</c:v>
                </c:pt>
                <c:pt idx="8">
                  <c:v>6976.8941158260714</c:v>
                </c:pt>
                <c:pt idx="9">
                  <c:v>6026.6429985428513</c:v>
                </c:pt>
                <c:pt idx="10">
                  <c:v>0</c:v>
                </c:pt>
                <c:pt idx="11">
                  <c:v>6330.9252691020329</c:v>
                </c:pt>
                <c:pt idx="12">
                  <c:v>15824.037264534185</c:v>
                </c:pt>
                <c:pt idx="13">
                  <c:v>32453.350005041611</c:v>
                </c:pt>
                <c:pt idx="14">
                  <c:v>64359.30218223574</c:v>
                </c:pt>
                <c:pt idx="15">
                  <c:v>126705.23898594362</c:v>
                </c:pt>
                <c:pt idx="16">
                  <c:v>249255.4725423498</c:v>
                </c:pt>
                <c:pt idx="17">
                  <c:v>490859.76735039114</c:v>
                </c:pt>
                <c:pt idx="18">
                  <c:v>968116.80009216582</c:v>
                </c:pt>
                <c:pt idx="19">
                  <c:v>1912305.9710841947</c:v>
                </c:pt>
              </c:numCache>
            </c:numRef>
          </c:val>
          <c:smooth val="0"/>
          <c:extLst>
            <c:ext xmlns:c16="http://schemas.microsoft.com/office/drawing/2014/chart" uri="{C3380CC4-5D6E-409C-BE32-E72D297353CC}">
              <c16:uniqueId val="{00000002-9381-4A4E-BB43-DCD8EC2F4E00}"/>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Projections!$G$30:$AA$30</c15:sqref>
                  </c15:fullRef>
                </c:ext>
              </c:extLst>
              <c:f>Projections!$G$30:$Z$30</c:f>
              <c:numCache>
                <c:formatCode>#,##0_ ;[Red]\-#,##0\ </c:formatCode>
                <c:ptCount val="20"/>
                <c:pt idx="0">
                  <c:v>0.43112556312798839</c:v>
                </c:pt>
                <c:pt idx="1">
                  <c:v>0.627079626820088</c:v>
                </c:pt>
                <c:pt idx="2">
                  <c:v>0.91209821918187373</c:v>
                </c:pt>
                <c:pt idx="3">
                  <c:v>1.3266627169079257</c:v>
                </c:pt>
                <c:pt idx="4">
                  <c:v>1.88442772088055</c:v>
                </c:pt>
                <c:pt idx="5">
                  <c:v>3.6438311144270994</c:v>
                </c:pt>
                <c:pt idx="6">
                  <c:v>5.46875</c:v>
                </c:pt>
                <c:pt idx="7">
                  <c:v>14.425255325307573</c:v>
                </c:pt>
                <c:pt idx="8">
                  <c:v>568.30642586002568</c:v>
                </c:pt>
                <c:pt idx="9">
                  <c:v>790.46025075243278</c:v>
                </c:pt>
                <c:pt idx="10">
                  <c:v>1362.9779711941426</c:v>
                </c:pt>
                <c:pt idx="11">
                  <c:v>2516.0344180639681</c:v>
                </c:pt>
                <c:pt idx="12">
                  <c:v>4785.799581875769</c:v>
                </c:pt>
                <c:pt idx="13">
                  <c:v>9248.1758681600404</c:v>
                </c:pt>
                <c:pt idx="14">
                  <c:v>18039.305287579256</c:v>
                </c:pt>
                <c:pt idx="15">
                  <c:v>35398.612176985182</c:v>
                </c:pt>
                <c:pt idx="16">
                  <c:v>69746.155066202744</c:v>
                </c:pt>
                <c:pt idx="17">
                  <c:v>137819.14917136886</c:v>
                </c:pt>
                <c:pt idx="18">
                  <c:v>272911.80994012422</c:v>
                </c:pt>
                <c:pt idx="19">
                  <c:v>541295.28169718897</c:v>
                </c:pt>
              </c:numCache>
            </c:numRef>
          </c:val>
          <c:smooth val="0"/>
          <c:extLst>
            <c:ext xmlns:c16="http://schemas.microsoft.com/office/drawing/2014/chart" uri="{C3380CC4-5D6E-409C-BE32-E72D297353CC}">
              <c16:uniqueId val="{00000000-9381-4A4E-BB43-DCD8EC2F4E00}"/>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Projections!$G$31:$AA$31</c15:sqref>
                  </c15:fullRef>
                </c:ext>
              </c:extLst>
              <c:f>Projections!$G$31:$Z$31</c:f>
              <c:numCache>
                <c:formatCode>#,##0_ ;[Red]\-#,##0\ </c:formatCode>
                <c:ptCount val="20"/>
                <c:pt idx="0">
                  <c:v>0.43112556312798839</c:v>
                </c:pt>
                <c:pt idx="1">
                  <c:v>0.627079626820088</c:v>
                </c:pt>
                <c:pt idx="2">
                  <c:v>0.91209821918187373</c:v>
                </c:pt>
                <c:pt idx="3">
                  <c:v>1.3266627169079257</c:v>
                </c:pt>
                <c:pt idx="4">
                  <c:v>1.88442772088055</c:v>
                </c:pt>
                <c:pt idx="5">
                  <c:v>3.6438311144270994</c:v>
                </c:pt>
                <c:pt idx="6">
                  <c:v>5.46875</c:v>
                </c:pt>
                <c:pt idx="7">
                  <c:v>14.425255325307573</c:v>
                </c:pt>
                <c:pt idx="8">
                  <c:v>556.14822273502568</c:v>
                </c:pt>
                <c:pt idx="9">
                  <c:v>315.1428628657797</c:v>
                </c:pt>
                <c:pt idx="10">
                  <c:v>660.13220089058734</c:v>
                </c:pt>
                <c:pt idx="11">
                  <c:v>1273.7938661703145</c:v>
                </c:pt>
                <c:pt idx="12">
                  <c:v>2461.8119142296591</c:v>
                </c:pt>
                <c:pt idx="13">
                  <c:v>4790.5485139800894</c:v>
                </c:pt>
                <c:pt idx="14">
                  <c:v>9375.8048268098028</c:v>
                </c:pt>
                <c:pt idx="15">
                  <c:v>18429.146184763395</c:v>
                </c:pt>
                <c:pt idx="16">
                  <c:v>36341.125195105065</c:v>
                </c:pt>
                <c:pt idx="17">
                  <c:v>71836.680549013094</c:v>
                </c:pt>
                <c:pt idx="18">
                  <c:v>142267.25801095885</c:v>
                </c:pt>
                <c:pt idx="19">
                  <c:v>282161.75399362238</c:v>
                </c:pt>
              </c:numCache>
            </c:numRef>
          </c:val>
          <c:smooth val="0"/>
          <c:extLst>
            <c:ext xmlns:c16="http://schemas.microsoft.com/office/drawing/2014/chart" uri="{C3380CC4-5D6E-409C-BE32-E72D297353CC}">
              <c16:uniqueId val="{00000003-9381-4A4E-BB43-DCD8EC2F4E00}"/>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Projections!$G$32:$AA$32</c15:sqref>
                  </c15:fullRef>
                </c:ext>
              </c:extLst>
              <c:f>Projections!$G$32:$Z$32</c:f>
              <c:numCache>
                <c:formatCode>#,##0_ ;[Red]\-#,##0\ </c:formatCode>
                <c:ptCount val="20"/>
                <c:pt idx="0">
                  <c:v>1.09375</c:v>
                </c:pt>
                <c:pt idx="1">
                  <c:v>2.1875</c:v>
                </c:pt>
                <c:pt idx="2">
                  <c:v>4.375</c:v>
                </c:pt>
                <c:pt idx="3">
                  <c:v>8.75</c:v>
                </c:pt>
                <c:pt idx="4">
                  <c:v>17.5</c:v>
                </c:pt>
                <c:pt idx="5">
                  <c:v>35</c:v>
                </c:pt>
                <c:pt idx="6">
                  <c:v>70</c:v>
                </c:pt>
                <c:pt idx="7">
                  <c:v>140</c:v>
                </c:pt>
                <c:pt idx="8">
                  <c:v>280</c:v>
                </c:pt>
                <c:pt idx="9">
                  <c:v>560</c:v>
                </c:pt>
                <c:pt idx="10">
                  <c:v>1120</c:v>
                </c:pt>
                <c:pt idx="11">
                  <c:v>2240</c:v>
                </c:pt>
                <c:pt idx="12">
                  <c:v>4480</c:v>
                </c:pt>
                <c:pt idx="13">
                  <c:v>8960</c:v>
                </c:pt>
                <c:pt idx="14">
                  <c:v>17920</c:v>
                </c:pt>
                <c:pt idx="15">
                  <c:v>35840</c:v>
                </c:pt>
                <c:pt idx="16">
                  <c:v>71680</c:v>
                </c:pt>
                <c:pt idx="17">
                  <c:v>143360</c:v>
                </c:pt>
                <c:pt idx="18">
                  <c:v>286720</c:v>
                </c:pt>
                <c:pt idx="19">
                  <c:v>573440</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Projections!$G$49:$AA$49</c15:sqref>
                  </c15:fullRef>
                </c:ext>
              </c:extLst>
              <c:f>Projections!$G$49:$Z$49</c:f>
              <c:numCache>
                <c:formatCode>#,##0</c:formatCode>
                <c:ptCount val="20"/>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29540.225765991756</c:v>
                </c:pt>
                <c:pt idx="16">
                  <c:v>59080.451531983512</c:v>
                </c:pt>
                <c:pt idx="17">
                  <c:v>118160.90306396702</c:v>
                </c:pt>
                <c:pt idx="18">
                  <c:v>236321.80612793405</c:v>
                </c:pt>
                <c:pt idx="19">
                  <c:v>472643.61225586809</c:v>
                </c:pt>
              </c:numCache>
            </c:numRef>
          </c:val>
          <c:smooth val="0"/>
          <c:extLst>
            <c:ext xmlns:c16="http://schemas.microsoft.com/office/drawing/2014/chart" uri="{C3380CC4-5D6E-409C-BE32-E72D297353CC}">
              <c16:uniqueId val="{00000000-04B6-450D-AD81-6BF382C059D1}"/>
            </c:ext>
          </c:extLst>
        </c:ser>
        <c:ser>
          <c:idx val="2"/>
          <c:order val="1"/>
          <c:tx>
            <c:strRef>
              <c:f>Projections!$A$51</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Projections!$G$51:$AA$51</c15:sqref>
                  </c15:fullRef>
                </c:ext>
              </c:extLst>
              <c:f>Projections!$G$51:$Z$51</c:f>
              <c:numCache>
                <c:formatCode>#,##0</c:formatCode>
                <c:ptCount val="20"/>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109170.39956996954</c:v>
                </c:pt>
                <c:pt idx="16">
                  <c:v>218340.79913993907</c:v>
                </c:pt>
                <c:pt idx="17">
                  <c:v>436681.59827987815</c:v>
                </c:pt>
                <c:pt idx="18">
                  <c:v>873363.1965597563</c:v>
                </c:pt>
                <c:pt idx="19">
                  <c:v>1746726.3931195126</c:v>
                </c:pt>
              </c:numCache>
            </c:numRef>
          </c:val>
          <c:smooth val="0"/>
          <c:extLst>
            <c:ext xmlns:c16="http://schemas.microsoft.com/office/drawing/2014/chart" uri="{C3380CC4-5D6E-409C-BE32-E72D297353CC}">
              <c16:uniqueId val="{00000002-04B6-450D-AD81-6BF382C059D1}"/>
            </c:ext>
          </c:extLst>
        </c:ser>
        <c:ser>
          <c:idx val="4"/>
          <c:order val="2"/>
          <c:tx>
            <c:strRef>
              <c:f>Projections!$A$53</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Projections!$G$53:$AA$53</c15:sqref>
                  </c15:fullRef>
                </c:ext>
              </c:extLst>
              <c:f>Projections!$G$53:$Z$53</c:f>
              <c:numCache>
                <c:formatCode>#,##0</c:formatCode>
                <c:ptCount val="20"/>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171370.00537538074</c:v>
                </c:pt>
                <c:pt idx="16">
                  <c:v>342740.01075076149</c:v>
                </c:pt>
                <c:pt idx="17">
                  <c:v>685480.02150152298</c:v>
                </c:pt>
                <c:pt idx="18">
                  <c:v>1370960.043003046</c:v>
                </c:pt>
                <c:pt idx="19">
                  <c:v>2741920.0860060919</c:v>
                </c:pt>
              </c:numCache>
            </c:numRef>
          </c:val>
          <c:smooth val="0"/>
          <c:extLst>
            <c:ext xmlns:c16="http://schemas.microsoft.com/office/drawing/2014/chart" uri="{C3380CC4-5D6E-409C-BE32-E72D297353CC}">
              <c16:uniqueId val="{00000004-04B6-450D-AD81-6BF382C059D1}"/>
            </c:ext>
          </c:extLst>
        </c:ser>
        <c:ser>
          <c:idx val="6"/>
          <c:order val="3"/>
          <c:tx>
            <c:strRef>
              <c:f>Projections!$A$55</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Projections!$G$55:$AA$55</c15:sqref>
                  </c15:fullRef>
                </c:ext>
              </c:extLst>
              <c:f>Projections!$G$55:$Z$55</c:f>
              <c:numCache>
                <c:formatCode>#,##0</c:formatCode>
                <c:ptCount val="20"/>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159076.86794481275</c:v>
                </c:pt>
                <c:pt idx="16">
                  <c:v>318153.7358896255</c:v>
                </c:pt>
                <c:pt idx="17">
                  <c:v>636307.47177925101</c:v>
                </c:pt>
                <c:pt idx="18">
                  <c:v>1272614.943558502</c:v>
                </c:pt>
                <c:pt idx="19">
                  <c:v>2545229.887117004</c:v>
                </c:pt>
              </c:numCache>
            </c:numRef>
          </c:val>
          <c:smooth val="0"/>
          <c:extLst>
            <c:ext xmlns:c16="http://schemas.microsoft.com/office/drawing/2014/chart" uri="{C3380CC4-5D6E-409C-BE32-E72D297353CC}">
              <c16:uniqueId val="{00000006-04B6-450D-AD81-6BF382C059D1}"/>
            </c:ext>
          </c:extLst>
        </c:ser>
        <c:ser>
          <c:idx val="8"/>
          <c:order val="4"/>
          <c:tx>
            <c:strRef>
              <c:f>Projections!$A$57</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Projections!$G$57:$AA$57</c15:sqref>
                  </c15:fullRef>
                </c:ext>
              </c:extLst>
              <c:f>Projections!$G$57:$Z$57</c:f>
              <c:numCache>
                <c:formatCode>#,##0</c:formatCode>
                <c:ptCount val="20"/>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132839.27611539149</c:v>
                </c:pt>
                <c:pt idx="16">
                  <c:v>265678.55223078298</c:v>
                </c:pt>
                <c:pt idx="17">
                  <c:v>531357.10446156596</c:v>
                </c:pt>
                <c:pt idx="18">
                  <c:v>1062714.2089231319</c:v>
                </c:pt>
                <c:pt idx="19">
                  <c:v>2125428.4178462639</c:v>
                </c:pt>
              </c:numCache>
            </c:numRef>
          </c:val>
          <c:smooth val="0"/>
          <c:extLst>
            <c:ext xmlns:c16="http://schemas.microsoft.com/office/drawing/2014/chart" uri="{C3380CC4-5D6E-409C-BE32-E72D297353CC}">
              <c16:uniqueId val="{00000008-04B6-450D-AD81-6BF382C059D1}"/>
            </c:ext>
          </c:extLst>
        </c:ser>
        <c:ser>
          <c:idx val="10"/>
          <c:order val="5"/>
          <c:tx>
            <c:strRef>
              <c:f>Projections!$A$59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Projections!$G$59:$AA$59</c15:sqref>
                  </c15:fullRef>
                </c:ext>
              </c:extLst>
              <c:f>Projections!$G$59:$Z$59</c:f>
              <c:numCache>
                <c:formatCode>#,##0</c:formatCode>
                <c:ptCount val="20"/>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161095.1442393836</c:v>
                </c:pt>
                <c:pt idx="16">
                  <c:v>322190.28847876721</c:v>
                </c:pt>
                <c:pt idx="17">
                  <c:v>644380.57695753442</c:v>
                </c:pt>
                <c:pt idx="18">
                  <c:v>1288761.1539150688</c:v>
                </c:pt>
                <c:pt idx="19">
                  <c:v>2577522.3078301377</c:v>
                </c:pt>
              </c:numCache>
            </c:numRef>
          </c:val>
          <c:smooth val="0"/>
          <c:extLst>
            <c:ext xmlns:c16="http://schemas.microsoft.com/office/drawing/2014/chart" uri="{C3380CC4-5D6E-409C-BE32-E72D297353CC}">
              <c16:uniqueId val="{0000000A-04B6-450D-AD81-6BF382C059D1}"/>
            </c:ext>
          </c:extLst>
        </c:ser>
        <c:ser>
          <c:idx val="12"/>
          <c:order val="6"/>
          <c:tx>
            <c:strRef>
              <c:f>Projections!$A$61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Projections!$G$61:$AA$61</c15:sqref>
                  </c15:fullRef>
                </c:ext>
              </c:extLst>
              <c:f>Projections!$G$61:$Z$61</c:f>
              <c:numCache>
                <c:formatCode>#,##0</c:formatCode>
                <c:ptCount val="20"/>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221276.47375022396</c:v>
                </c:pt>
                <c:pt idx="16">
                  <c:v>442552.94750044792</c:v>
                </c:pt>
                <c:pt idx="17">
                  <c:v>885105.89500089583</c:v>
                </c:pt>
                <c:pt idx="18">
                  <c:v>1770211.7900017917</c:v>
                </c:pt>
                <c:pt idx="19">
                  <c:v>3540423.5800035833</c:v>
                </c:pt>
              </c:numCache>
            </c:numRef>
          </c:val>
          <c:smooth val="0"/>
          <c:extLst>
            <c:ext xmlns:c16="http://schemas.microsoft.com/office/drawing/2014/chart" uri="{C3380CC4-5D6E-409C-BE32-E72D297353CC}">
              <c16:uniqueId val="{0000000C-04B6-450D-AD81-6BF382C059D1}"/>
            </c:ext>
          </c:extLst>
        </c:ser>
        <c:ser>
          <c:idx val="14"/>
          <c:order val="7"/>
          <c:tx>
            <c:strRef>
              <c:f>Projections!$A$63</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Projections!$G$63:$AA$63</c15:sqref>
                  </c15:fullRef>
                </c:ext>
              </c:extLst>
              <c:f>Projections!$G$63:$Z$63</c:f>
              <c:numCache>
                <c:formatCode>#,##0</c:formatCode>
                <c:ptCount val="20"/>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29540.225765991756</c:v>
                </c:pt>
                <c:pt idx="16">
                  <c:v>59080.451531983512</c:v>
                </c:pt>
                <c:pt idx="17">
                  <c:v>118160.90306396702</c:v>
                </c:pt>
                <c:pt idx="18">
                  <c:v>236321.80612793405</c:v>
                </c:pt>
                <c:pt idx="19">
                  <c:v>472643.61225586809</c:v>
                </c:pt>
              </c:numCache>
            </c:numRef>
          </c:val>
          <c:smooth val="0"/>
          <c:extLst>
            <c:ext xmlns:c16="http://schemas.microsoft.com/office/drawing/2014/chart" uri="{C3380CC4-5D6E-409C-BE32-E72D297353CC}">
              <c16:uniqueId val="{0000000E-04B6-450D-AD81-6BF382C059D1}"/>
            </c:ext>
          </c:extLst>
        </c:ser>
        <c:ser>
          <c:idx val="16"/>
          <c:order val="8"/>
          <c:tx>
            <c:strRef>
              <c:f>Projections!$A$65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Projections!$G$65:$AA$65</c15:sqref>
                  </c15:fullRef>
                </c:ext>
              </c:extLst>
              <c:f>Projections!$G$65:$Z$65</c:f>
              <c:numCache>
                <c:formatCode>#,##0</c:formatCode>
                <c:ptCount val="20"/>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10091.381472854326</c:v>
                </c:pt>
                <c:pt idx="16">
                  <c:v>20182.762945708651</c:v>
                </c:pt>
                <c:pt idx="17">
                  <c:v>40365.525891417303</c:v>
                </c:pt>
                <c:pt idx="18">
                  <c:v>80731.051782834606</c:v>
                </c:pt>
                <c:pt idx="19">
                  <c:v>161462.10356566921</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Projections!$A$49</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Projections!$G$50:$AA$50</c15:sqref>
                  </c15:fullRef>
                </c:ext>
              </c:extLst>
              <c:f>Projections!$G$50:$Z$50</c:f>
              <c:numCache>
                <c:formatCode>#,##0</c:formatCode>
                <c:ptCount val="20"/>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4371.9534133667794</c:v>
                </c:pt>
                <c:pt idx="16">
                  <c:v>8743.9068267335588</c:v>
                </c:pt>
                <c:pt idx="17">
                  <c:v>17487.813653467118</c:v>
                </c:pt>
                <c:pt idx="18">
                  <c:v>34975.627306934235</c:v>
                </c:pt>
                <c:pt idx="19">
                  <c:v>69951.25461386847</c:v>
                </c:pt>
              </c:numCache>
            </c:numRef>
          </c:val>
          <c:smooth val="0"/>
          <c:extLst>
            <c:ext xmlns:c16="http://schemas.microsoft.com/office/drawing/2014/chart" uri="{C3380CC4-5D6E-409C-BE32-E72D297353CC}">
              <c16:uniqueId val="{00000001-EBAD-48A5-9277-83F388186C0C}"/>
            </c:ext>
          </c:extLst>
        </c:ser>
        <c:ser>
          <c:idx val="3"/>
          <c:order val="1"/>
          <c:tx>
            <c:strRef>
              <c:f>Projections!$A$51</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Projections!$G$52:$AA$52</c15:sqref>
                  </c15:fullRef>
                </c:ext>
              </c:extLst>
              <c:f>Projections!$G$52:$Z$52</c:f>
              <c:numCache>
                <c:formatCode>#,##0</c:formatCode>
                <c:ptCount val="20"/>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8733.631965597564</c:v>
                </c:pt>
                <c:pt idx="16">
                  <c:v>17467.263931195128</c:v>
                </c:pt>
                <c:pt idx="17">
                  <c:v>34934.527862390256</c:v>
                </c:pt>
                <c:pt idx="18">
                  <c:v>69869.055724780512</c:v>
                </c:pt>
                <c:pt idx="19">
                  <c:v>139738.11144956102</c:v>
                </c:pt>
              </c:numCache>
            </c:numRef>
          </c:val>
          <c:smooth val="0"/>
          <c:extLst>
            <c:ext xmlns:c16="http://schemas.microsoft.com/office/drawing/2014/chart" uri="{C3380CC4-5D6E-409C-BE32-E72D297353CC}">
              <c16:uniqueId val="{00000003-EBAD-48A5-9277-83F388186C0C}"/>
            </c:ext>
          </c:extLst>
        </c:ser>
        <c:ser>
          <c:idx val="5"/>
          <c:order val="2"/>
          <c:tx>
            <c:strRef>
              <c:f>Projections!$A$53</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Projections!$G$54:$AA$54</c15:sqref>
                  </c15:fullRef>
                </c:ext>
              </c:extLst>
              <c:f>Projections!$G$54:$Z$54</c:f>
              <c:numCache>
                <c:formatCode>#,##0</c:formatCode>
                <c:ptCount val="20"/>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6169.3201935137067</c:v>
                </c:pt>
                <c:pt idx="16">
                  <c:v>12338.640387027413</c:v>
                </c:pt>
                <c:pt idx="17">
                  <c:v>24677.280774054827</c:v>
                </c:pt>
                <c:pt idx="18">
                  <c:v>49354.561548109654</c:v>
                </c:pt>
                <c:pt idx="19">
                  <c:v>98709.123096219308</c:v>
                </c:pt>
              </c:numCache>
            </c:numRef>
          </c:val>
          <c:smooth val="0"/>
          <c:extLst>
            <c:ext xmlns:c16="http://schemas.microsoft.com/office/drawing/2014/chart" uri="{C3380CC4-5D6E-409C-BE32-E72D297353CC}">
              <c16:uniqueId val="{00000005-EBAD-48A5-9277-83F388186C0C}"/>
            </c:ext>
          </c:extLst>
        </c:ser>
        <c:ser>
          <c:idx val="7"/>
          <c:order val="3"/>
          <c:tx>
            <c:strRef>
              <c:f>Projections!$A$55</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Projections!$G$56:$AA$56</c15:sqref>
                  </c15:fullRef>
                </c:ext>
              </c:extLst>
              <c:f>Projections!$G$56:$Z$56</c:f>
              <c:numCache>
                <c:formatCode>#,##0</c:formatCode>
                <c:ptCount val="20"/>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2067.9992832825656</c:v>
                </c:pt>
                <c:pt idx="16">
                  <c:v>4135.9985665651311</c:v>
                </c:pt>
                <c:pt idx="17">
                  <c:v>8271.9971331302622</c:v>
                </c:pt>
                <c:pt idx="18">
                  <c:v>16543.994266260524</c:v>
                </c:pt>
                <c:pt idx="19">
                  <c:v>33087.988532521049</c:v>
                </c:pt>
              </c:numCache>
            </c:numRef>
          </c:val>
          <c:smooth val="0"/>
          <c:extLst>
            <c:ext xmlns:c16="http://schemas.microsoft.com/office/drawing/2014/chart" uri="{C3380CC4-5D6E-409C-BE32-E72D297353CC}">
              <c16:uniqueId val="{00000007-EBAD-48A5-9277-83F388186C0C}"/>
            </c:ext>
          </c:extLst>
        </c:ser>
        <c:ser>
          <c:idx val="9"/>
          <c:order val="4"/>
          <c:tx>
            <c:strRef>
              <c:f>Projections!$A$57</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Projections!$G$58:$AA$58</c15:sqref>
                  </c15:fullRef>
                </c:ext>
              </c:extLst>
              <c:f>Projections!$G$58:$Z$58</c:f>
              <c:numCache>
                <c:formatCode>#,##0</c:formatCode>
                <c:ptCount val="20"/>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531.357104461566</c:v>
                </c:pt>
                <c:pt idx="16">
                  <c:v>1062.714208923132</c:v>
                </c:pt>
                <c:pt idx="17">
                  <c:v>2125.428417846264</c:v>
                </c:pt>
                <c:pt idx="18">
                  <c:v>4250.856835692528</c:v>
                </c:pt>
                <c:pt idx="19">
                  <c:v>8501.7136713850559</c:v>
                </c:pt>
              </c:numCache>
            </c:numRef>
          </c:val>
          <c:smooth val="0"/>
          <c:extLst>
            <c:ext xmlns:c16="http://schemas.microsoft.com/office/drawing/2014/chart" uri="{C3380CC4-5D6E-409C-BE32-E72D297353CC}">
              <c16:uniqueId val="{00000009-EBAD-48A5-9277-83F388186C0C}"/>
            </c:ext>
          </c:extLst>
        </c:ser>
        <c:ser>
          <c:idx val="11"/>
          <c:order val="5"/>
          <c:tx>
            <c:strRef>
              <c:f>Projections!$A$59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Projections!$G$60:$AA$60</c15:sqref>
                  </c15:fullRef>
                </c:ext>
              </c:extLst>
              <c:f>Projections!$G$60:$Z$60</c:f>
              <c:numCache>
                <c:formatCode>#,##0</c:formatCode>
                <c:ptCount val="20"/>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322.19028847876723</c:v>
                </c:pt>
                <c:pt idx="16">
                  <c:v>644.38057695753446</c:v>
                </c:pt>
                <c:pt idx="17">
                  <c:v>1288.7611539150689</c:v>
                </c:pt>
                <c:pt idx="18">
                  <c:v>2577.5223078301378</c:v>
                </c:pt>
                <c:pt idx="19">
                  <c:v>5155.0446156602757</c:v>
                </c:pt>
              </c:numCache>
            </c:numRef>
          </c:val>
          <c:smooth val="0"/>
          <c:extLst>
            <c:ext xmlns:c16="http://schemas.microsoft.com/office/drawing/2014/chart" uri="{C3380CC4-5D6E-409C-BE32-E72D297353CC}">
              <c16:uniqueId val="{0000000B-EBAD-48A5-9277-83F388186C0C}"/>
            </c:ext>
          </c:extLst>
        </c:ser>
        <c:ser>
          <c:idx val="13"/>
          <c:order val="6"/>
          <c:tx>
            <c:strRef>
              <c:f>Projections!$A$61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Projections!$G$62:$AA$62</c15:sqref>
                  </c15:fullRef>
                </c:ext>
              </c:extLst>
              <c:f>Projections!$G$62:$Z$62</c:f>
              <c:numCache>
                <c:formatCode>#,##0</c:formatCode>
                <c:ptCount val="20"/>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442.55294750044794</c:v>
                </c:pt>
                <c:pt idx="16">
                  <c:v>885.10589500089588</c:v>
                </c:pt>
                <c:pt idx="17">
                  <c:v>1770.2117900017918</c:v>
                </c:pt>
                <c:pt idx="18">
                  <c:v>3540.4235800035835</c:v>
                </c:pt>
                <c:pt idx="19">
                  <c:v>7080.8471600071671</c:v>
                </c:pt>
              </c:numCache>
            </c:numRef>
          </c:val>
          <c:smooth val="0"/>
          <c:extLst>
            <c:ext xmlns:c16="http://schemas.microsoft.com/office/drawing/2014/chart" uri="{C3380CC4-5D6E-409C-BE32-E72D297353CC}">
              <c16:uniqueId val="{0000000D-EBAD-48A5-9277-83F388186C0C}"/>
            </c:ext>
          </c:extLst>
        </c:ser>
        <c:ser>
          <c:idx val="15"/>
          <c:order val="7"/>
          <c:tx>
            <c:strRef>
              <c:f>Projections!$A$63</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Projections!$G$64:$AA$64</c15:sqref>
                  </c15:fullRef>
                </c:ext>
              </c:extLst>
              <c:f>Projections!$G$64:$Z$64</c:f>
              <c:numCache>
                <c:formatCode>#,##0</c:formatCode>
                <c:ptCount val="20"/>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59.080451531983513</c:v>
                </c:pt>
                <c:pt idx="16">
                  <c:v>118.16090306396703</c:v>
                </c:pt>
                <c:pt idx="17">
                  <c:v>236.32180612793405</c:v>
                </c:pt>
                <c:pt idx="18">
                  <c:v>472.64361225586811</c:v>
                </c:pt>
                <c:pt idx="19">
                  <c:v>945.28722451173621</c:v>
                </c:pt>
              </c:numCache>
            </c:numRef>
          </c:val>
          <c:smooth val="0"/>
          <c:extLst>
            <c:ext xmlns:c16="http://schemas.microsoft.com/office/drawing/2014/chart" uri="{C3380CC4-5D6E-409C-BE32-E72D297353CC}">
              <c16:uniqueId val="{0000000F-EBAD-48A5-9277-83F388186C0C}"/>
            </c:ext>
          </c:extLst>
        </c:ser>
        <c:ser>
          <c:idx val="17"/>
          <c:order val="8"/>
          <c:tx>
            <c:strRef>
              <c:f>Projections!$A$65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Projections!$G$66:$AA$66</c15:sqref>
                  </c15:fullRef>
                </c:ext>
              </c:extLst>
              <c:f>Projections!$G$66:$Z$66</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Projections!$G$78:$AA$78</c15:sqref>
                  </c15:fullRef>
                </c:ext>
              </c:extLst>
              <c:f>Projections!$G$78:$Z$78</c:f>
              <c:numCache>
                <c:formatCode>#,##0</c:formatCode>
                <c:ptCount val="20"/>
                <c:pt idx="0">
                  <c:v>10.53125</c:v>
                </c:pt>
                <c:pt idx="1">
                  <c:v>21.0625</c:v>
                </c:pt>
                <c:pt idx="2">
                  <c:v>42.125</c:v>
                </c:pt>
                <c:pt idx="3">
                  <c:v>84.25</c:v>
                </c:pt>
                <c:pt idx="4">
                  <c:v>168.5</c:v>
                </c:pt>
                <c:pt idx="5">
                  <c:v>337</c:v>
                </c:pt>
                <c:pt idx="6">
                  <c:v>674</c:v>
                </c:pt>
                <c:pt idx="7">
                  <c:v>1348</c:v>
                </c:pt>
                <c:pt idx="8">
                  <c:v>2696</c:v>
                </c:pt>
                <c:pt idx="9">
                  <c:v>5392</c:v>
                </c:pt>
                <c:pt idx="10">
                  <c:v>10784</c:v>
                </c:pt>
                <c:pt idx="11">
                  <c:v>21568</c:v>
                </c:pt>
                <c:pt idx="12">
                  <c:v>43136</c:v>
                </c:pt>
                <c:pt idx="13">
                  <c:v>86272</c:v>
                </c:pt>
                <c:pt idx="14">
                  <c:v>172544</c:v>
                </c:pt>
                <c:pt idx="15">
                  <c:v>345088</c:v>
                </c:pt>
                <c:pt idx="16">
                  <c:v>690176</c:v>
                </c:pt>
                <c:pt idx="17">
                  <c:v>1380352</c:v>
                </c:pt>
                <c:pt idx="18">
                  <c:v>2760704</c:v>
                </c:pt>
                <c:pt idx="19">
                  <c:v>5521408</c:v>
                </c:pt>
              </c:numCache>
            </c:numRef>
          </c:val>
          <c:smooth val="0"/>
          <c:extLst>
            <c:ext xmlns:c16="http://schemas.microsoft.com/office/drawing/2014/chart" uri="{C3380CC4-5D6E-409C-BE32-E72D297353CC}">
              <c16:uniqueId val="{0000001E-05DD-4DD4-A5B5-12D162507280}"/>
            </c:ext>
          </c:extLst>
        </c:ser>
        <c:ser>
          <c:idx val="4"/>
          <c:order val="1"/>
          <c:tx>
            <c:strRef>
              <c:f>Projections!$A$76</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Projections!$G$76:$AA$76</c15:sqref>
                  </c15:fullRef>
                </c:ext>
              </c:extLst>
              <c:f>Projections!$G$76:$Z$76</c:f>
              <c:numCache>
                <c:formatCode>#,##0</c:formatCode>
                <c:ptCount val="20"/>
                <c:pt idx="0">
                  <c:v>9.6875</c:v>
                </c:pt>
                <c:pt idx="1">
                  <c:v>19.375</c:v>
                </c:pt>
                <c:pt idx="2">
                  <c:v>38.75</c:v>
                </c:pt>
                <c:pt idx="3">
                  <c:v>77.5</c:v>
                </c:pt>
                <c:pt idx="4">
                  <c:v>155</c:v>
                </c:pt>
                <c:pt idx="5">
                  <c:v>310</c:v>
                </c:pt>
                <c:pt idx="6">
                  <c:v>620</c:v>
                </c:pt>
                <c:pt idx="7">
                  <c:v>1240</c:v>
                </c:pt>
                <c:pt idx="8">
                  <c:v>2480</c:v>
                </c:pt>
                <c:pt idx="9">
                  <c:v>4960</c:v>
                </c:pt>
                <c:pt idx="10">
                  <c:v>9920</c:v>
                </c:pt>
                <c:pt idx="11">
                  <c:v>19840</c:v>
                </c:pt>
                <c:pt idx="12">
                  <c:v>39680</c:v>
                </c:pt>
                <c:pt idx="13">
                  <c:v>79360</c:v>
                </c:pt>
                <c:pt idx="14">
                  <c:v>158720</c:v>
                </c:pt>
                <c:pt idx="15">
                  <c:v>317440</c:v>
                </c:pt>
                <c:pt idx="16">
                  <c:v>634880</c:v>
                </c:pt>
                <c:pt idx="17">
                  <c:v>1269760</c:v>
                </c:pt>
                <c:pt idx="18">
                  <c:v>2539520</c:v>
                </c:pt>
                <c:pt idx="19">
                  <c:v>5079040</c:v>
                </c:pt>
              </c:numCache>
            </c:numRef>
          </c:val>
          <c:smooth val="0"/>
          <c:extLst>
            <c:ext xmlns:c16="http://schemas.microsoft.com/office/drawing/2014/chart" uri="{C3380CC4-5D6E-409C-BE32-E72D297353CC}">
              <c16:uniqueId val="{0000001C-05DD-4DD4-A5B5-12D162507280}"/>
            </c:ext>
          </c:extLst>
        </c:ser>
        <c:ser>
          <c:idx val="10"/>
          <c:order val="2"/>
          <c:tx>
            <c:strRef>
              <c:f>Projections!$A$82</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Projections!$G$82:$AA$82</c15:sqref>
                  </c15:fullRef>
                </c:ext>
              </c:extLst>
              <c:f>Projections!$G$82:$Z$82</c:f>
              <c:numCache>
                <c:formatCode>#,##0</c:formatCode>
                <c:ptCount val="20"/>
                <c:pt idx="0">
                  <c:v>5.03125</c:v>
                </c:pt>
                <c:pt idx="1">
                  <c:v>10.0625</c:v>
                </c:pt>
                <c:pt idx="2">
                  <c:v>20.125</c:v>
                </c:pt>
                <c:pt idx="3">
                  <c:v>40.25</c:v>
                </c:pt>
                <c:pt idx="4">
                  <c:v>80.5</c:v>
                </c:pt>
                <c:pt idx="5">
                  <c:v>161</c:v>
                </c:pt>
                <c:pt idx="6">
                  <c:v>322</c:v>
                </c:pt>
                <c:pt idx="7">
                  <c:v>644</c:v>
                </c:pt>
                <c:pt idx="8">
                  <c:v>1288</c:v>
                </c:pt>
                <c:pt idx="9">
                  <c:v>2576</c:v>
                </c:pt>
                <c:pt idx="10">
                  <c:v>5152</c:v>
                </c:pt>
                <c:pt idx="11">
                  <c:v>10304</c:v>
                </c:pt>
                <c:pt idx="12">
                  <c:v>20608</c:v>
                </c:pt>
                <c:pt idx="13">
                  <c:v>41216</c:v>
                </c:pt>
                <c:pt idx="14">
                  <c:v>82432</c:v>
                </c:pt>
                <c:pt idx="15">
                  <c:v>164864</c:v>
                </c:pt>
                <c:pt idx="16">
                  <c:v>329728</c:v>
                </c:pt>
                <c:pt idx="17">
                  <c:v>659456</c:v>
                </c:pt>
                <c:pt idx="18">
                  <c:v>1318912</c:v>
                </c:pt>
                <c:pt idx="19">
                  <c:v>2637824</c:v>
                </c:pt>
              </c:numCache>
            </c:numRef>
          </c:val>
          <c:smooth val="0"/>
          <c:extLst>
            <c:ext xmlns:c16="http://schemas.microsoft.com/office/drawing/2014/chart" uri="{C3380CC4-5D6E-409C-BE32-E72D297353CC}">
              <c16:uniqueId val="{00000022-05DD-4DD4-A5B5-12D162507280}"/>
            </c:ext>
          </c:extLst>
        </c:ser>
        <c:ser>
          <c:idx val="0"/>
          <c:order val="3"/>
          <c:tx>
            <c:strRef>
              <c:f>Projections!$A$72</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Projections!$G$72:$AA$72</c15:sqref>
                  </c15:fullRef>
                </c:ext>
              </c:extLst>
              <c:f>Projections!$G$72:$Z$72</c:f>
              <c:numCache>
                <c:formatCode>#,##0</c:formatCode>
                <c:ptCount val="20"/>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51200</c:v>
                </c:pt>
                <c:pt idx="16">
                  <c:v>102400</c:v>
                </c:pt>
                <c:pt idx="17">
                  <c:v>204800</c:v>
                </c:pt>
                <c:pt idx="18">
                  <c:v>409600</c:v>
                </c:pt>
                <c:pt idx="19">
                  <c:v>819200</c:v>
                </c:pt>
              </c:numCache>
            </c:numRef>
          </c:val>
          <c:smooth val="0"/>
          <c:extLst>
            <c:ext xmlns:c16="http://schemas.microsoft.com/office/drawing/2014/chart" uri="{C3380CC4-5D6E-409C-BE32-E72D297353CC}">
              <c16:uniqueId val="{00000018-05DD-4DD4-A5B5-12D162507280}"/>
            </c:ext>
          </c:extLst>
        </c:ser>
        <c:ser>
          <c:idx val="2"/>
          <c:order val="4"/>
          <c:tx>
            <c:strRef>
              <c:f>Projections!$A$74</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Projections!$G$74:$AA$74</c15:sqref>
                  </c15:fullRef>
                </c:ext>
              </c:extLst>
              <c:f>Projections!$G$74:$Z$74</c:f>
              <c:numCache>
                <c:formatCode>#,##0</c:formatCode>
                <c:ptCount val="20"/>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pt idx="14">
                  <c:v>23552</c:v>
                </c:pt>
                <c:pt idx="15">
                  <c:v>47104</c:v>
                </c:pt>
                <c:pt idx="16">
                  <c:v>94208</c:v>
                </c:pt>
                <c:pt idx="17">
                  <c:v>188416</c:v>
                </c:pt>
                <c:pt idx="18">
                  <c:v>376832</c:v>
                </c:pt>
                <c:pt idx="19">
                  <c:v>753664</c:v>
                </c:pt>
              </c:numCache>
            </c:numRef>
          </c:val>
          <c:smooth val="0"/>
          <c:extLst>
            <c:ext xmlns:c16="http://schemas.microsoft.com/office/drawing/2014/chart" uri="{C3380CC4-5D6E-409C-BE32-E72D297353CC}">
              <c16:uniqueId val="{0000001A-05DD-4DD4-A5B5-12D162507280}"/>
            </c:ext>
          </c:extLst>
        </c:ser>
        <c:ser>
          <c:idx val="8"/>
          <c:order val="5"/>
          <c:tx>
            <c:strRef>
              <c:f>Projections!$A$80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Projections!$G$80:$AA$80</c15:sqref>
                  </c15:fullRef>
                </c:ext>
              </c:extLst>
              <c:f>Projections!$G$80:$Z$80</c:f>
              <c:numCache>
                <c:formatCode>#,##0</c:formatCode>
                <c:ptCount val="20"/>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122880</c:v>
                </c:pt>
                <c:pt idx="19">
                  <c:v>245760</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Projections!$G$79:$AA$79</c15:sqref>
                  </c15:fullRef>
                </c:ext>
              </c:extLst>
              <c:f>Projections!$G$79:$Z$79</c:f>
              <c:numCache>
                <c:formatCode>#,##0</c:formatCode>
                <c:ptCount val="20"/>
                <c:pt idx="0">
                  <c:v>0.63187499999999996</c:v>
                </c:pt>
                <c:pt idx="1">
                  <c:v>1.2637499999999999</c:v>
                </c:pt>
                <c:pt idx="2">
                  <c:v>2.5274999999999999</c:v>
                </c:pt>
                <c:pt idx="3">
                  <c:v>5.0549999999999997</c:v>
                </c:pt>
                <c:pt idx="4">
                  <c:v>10.11</c:v>
                </c:pt>
                <c:pt idx="5">
                  <c:v>20.22</c:v>
                </c:pt>
                <c:pt idx="6">
                  <c:v>40.44</c:v>
                </c:pt>
                <c:pt idx="7">
                  <c:v>80.88</c:v>
                </c:pt>
                <c:pt idx="8">
                  <c:v>161.76</c:v>
                </c:pt>
                <c:pt idx="9">
                  <c:v>323.52</c:v>
                </c:pt>
                <c:pt idx="10">
                  <c:v>647.04</c:v>
                </c:pt>
                <c:pt idx="11">
                  <c:v>1294.08</c:v>
                </c:pt>
                <c:pt idx="12">
                  <c:v>2588.16</c:v>
                </c:pt>
                <c:pt idx="13">
                  <c:v>5176.32</c:v>
                </c:pt>
                <c:pt idx="14">
                  <c:v>10352.64</c:v>
                </c:pt>
                <c:pt idx="15">
                  <c:v>20705.28</c:v>
                </c:pt>
                <c:pt idx="16">
                  <c:v>41410.559999999998</c:v>
                </c:pt>
                <c:pt idx="17">
                  <c:v>82821.119999999995</c:v>
                </c:pt>
                <c:pt idx="18">
                  <c:v>165642.23999999999</c:v>
                </c:pt>
                <c:pt idx="19">
                  <c:v>331284.47999999998</c:v>
                </c:pt>
              </c:numCache>
            </c:numRef>
          </c:val>
          <c:smooth val="0"/>
          <c:extLst>
            <c:ext xmlns:c16="http://schemas.microsoft.com/office/drawing/2014/chart" uri="{C3380CC4-5D6E-409C-BE32-E72D297353CC}">
              <c16:uniqueId val="{00000007-65B4-47F9-9B97-64FB989C8893}"/>
            </c:ext>
          </c:extLst>
        </c:ser>
        <c:ser>
          <c:idx val="5"/>
          <c:order val="1"/>
          <c:tx>
            <c:strRef>
              <c:f>Projections!$A$76</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Projections!$G$77:$AA$77</c15:sqref>
                  </c15:fullRef>
                </c:ext>
              </c:extLst>
              <c:f>Projections!$G$77:$Z$77</c:f>
              <c:numCache>
                <c:formatCode>#,##0</c:formatCode>
                <c:ptCount val="20"/>
                <c:pt idx="0">
                  <c:v>0.61031250000000004</c:v>
                </c:pt>
                <c:pt idx="1">
                  <c:v>1.2206250000000001</c:v>
                </c:pt>
                <c:pt idx="2">
                  <c:v>2.4412500000000001</c:v>
                </c:pt>
                <c:pt idx="3">
                  <c:v>4.8825000000000003</c:v>
                </c:pt>
                <c:pt idx="4">
                  <c:v>9.7650000000000006</c:v>
                </c:pt>
                <c:pt idx="5">
                  <c:v>19.53</c:v>
                </c:pt>
                <c:pt idx="6">
                  <c:v>39.06</c:v>
                </c:pt>
                <c:pt idx="7">
                  <c:v>78.12</c:v>
                </c:pt>
                <c:pt idx="8">
                  <c:v>156.24</c:v>
                </c:pt>
                <c:pt idx="9">
                  <c:v>312.48</c:v>
                </c:pt>
                <c:pt idx="10">
                  <c:v>624.96</c:v>
                </c:pt>
                <c:pt idx="11">
                  <c:v>1249.92</c:v>
                </c:pt>
                <c:pt idx="12">
                  <c:v>2499.84</c:v>
                </c:pt>
                <c:pt idx="13">
                  <c:v>4999.68</c:v>
                </c:pt>
                <c:pt idx="14">
                  <c:v>9999.36</c:v>
                </c:pt>
                <c:pt idx="15">
                  <c:v>19998.72</c:v>
                </c:pt>
                <c:pt idx="16">
                  <c:v>39997.440000000002</c:v>
                </c:pt>
                <c:pt idx="17">
                  <c:v>79994.880000000005</c:v>
                </c:pt>
                <c:pt idx="18">
                  <c:v>159989.76000000001</c:v>
                </c:pt>
                <c:pt idx="19">
                  <c:v>319979.52000000002</c:v>
                </c:pt>
              </c:numCache>
            </c:numRef>
          </c:val>
          <c:smooth val="0"/>
          <c:extLst>
            <c:ext xmlns:c16="http://schemas.microsoft.com/office/drawing/2014/chart" uri="{C3380CC4-5D6E-409C-BE32-E72D297353CC}">
              <c16:uniqueId val="{00000005-65B4-47F9-9B97-64FB989C8893}"/>
            </c:ext>
          </c:extLst>
        </c:ser>
        <c:ser>
          <c:idx val="1"/>
          <c:order val="2"/>
          <c:tx>
            <c:strRef>
              <c:f>Projections!$A$72</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Projections!$G$73:$AA$73</c15:sqref>
                  </c15:fullRef>
                </c:ext>
              </c:extLst>
              <c:f>Projections!$G$73:$Z$73</c:f>
              <c:numCache>
                <c:formatCode>#,##0</c:formatCode>
                <c:ptCount val="20"/>
                <c:pt idx="0">
                  <c:v>0.1640625</c:v>
                </c:pt>
                <c:pt idx="1">
                  <c:v>0.328125</c:v>
                </c:pt>
                <c:pt idx="2">
                  <c:v>0.65625</c:v>
                </c:pt>
                <c:pt idx="3">
                  <c:v>1.3125</c:v>
                </c:pt>
                <c:pt idx="4">
                  <c:v>2.625</c:v>
                </c:pt>
                <c:pt idx="5">
                  <c:v>5.25</c:v>
                </c:pt>
                <c:pt idx="6">
                  <c:v>10.5</c:v>
                </c:pt>
                <c:pt idx="7">
                  <c:v>21</c:v>
                </c:pt>
                <c:pt idx="8">
                  <c:v>42</c:v>
                </c:pt>
                <c:pt idx="9">
                  <c:v>84</c:v>
                </c:pt>
                <c:pt idx="10">
                  <c:v>168</c:v>
                </c:pt>
                <c:pt idx="11">
                  <c:v>336</c:v>
                </c:pt>
                <c:pt idx="12">
                  <c:v>672</c:v>
                </c:pt>
                <c:pt idx="13">
                  <c:v>1344</c:v>
                </c:pt>
                <c:pt idx="14">
                  <c:v>2688</c:v>
                </c:pt>
                <c:pt idx="15">
                  <c:v>5376</c:v>
                </c:pt>
                <c:pt idx="16">
                  <c:v>10752</c:v>
                </c:pt>
                <c:pt idx="17">
                  <c:v>21504</c:v>
                </c:pt>
                <c:pt idx="18">
                  <c:v>43008</c:v>
                </c:pt>
                <c:pt idx="19">
                  <c:v>86016</c:v>
                </c:pt>
              </c:numCache>
            </c:numRef>
          </c:val>
          <c:smooth val="0"/>
          <c:extLst>
            <c:ext xmlns:c16="http://schemas.microsoft.com/office/drawing/2014/chart" uri="{C3380CC4-5D6E-409C-BE32-E72D297353CC}">
              <c16:uniqueId val="{00000001-65B4-47F9-9B97-64FB989C8893}"/>
            </c:ext>
          </c:extLst>
        </c:ser>
        <c:ser>
          <c:idx val="3"/>
          <c:order val="3"/>
          <c:tx>
            <c:strRef>
              <c:f>Projections!$A$74</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Projections!$G$75:$AA$75</c15:sqref>
                  </c15:fullRef>
                </c:ext>
              </c:extLst>
              <c:f>Projections!$G$75:$Z$75</c:f>
              <c:numCache>
                <c:formatCode>#,##0</c:formatCode>
                <c:ptCount val="20"/>
                <c:pt idx="0">
                  <c:v>0.10493749999999999</c:v>
                </c:pt>
                <c:pt idx="1">
                  <c:v>0.20987499999999998</c:v>
                </c:pt>
                <c:pt idx="2">
                  <c:v>0.41974999999999996</c:v>
                </c:pt>
                <c:pt idx="3">
                  <c:v>0.83949999999999991</c:v>
                </c:pt>
                <c:pt idx="4">
                  <c:v>1.6789999999999998</c:v>
                </c:pt>
                <c:pt idx="5">
                  <c:v>3.3579999999999997</c:v>
                </c:pt>
                <c:pt idx="6">
                  <c:v>6.7159999999999993</c:v>
                </c:pt>
                <c:pt idx="7">
                  <c:v>13.431999999999999</c:v>
                </c:pt>
                <c:pt idx="8">
                  <c:v>26.863999999999997</c:v>
                </c:pt>
                <c:pt idx="9">
                  <c:v>53.727999999999994</c:v>
                </c:pt>
                <c:pt idx="10">
                  <c:v>107.45599999999999</c:v>
                </c:pt>
                <c:pt idx="11">
                  <c:v>214.91199999999998</c:v>
                </c:pt>
                <c:pt idx="12">
                  <c:v>429.82399999999996</c:v>
                </c:pt>
                <c:pt idx="13">
                  <c:v>859.64799999999991</c:v>
                </c:pt>
                <c:pt idx="14">
                  <c:v>1719.2959999999998</c:v>
                </c:pt>
                <c:pt idx="15">
                  <c:v>3438.5919999999996</c:v>
                </c:pt>
                <c:pt idx="16">
                  <c:v>6877.1839999999993</c:v>
                </c:pt>
                <c:pt idx="17">
                  <c:v>13754.367999999999</c:v>
                </c:pt>
                <c:pt idx="18">
                  <c:v>27508.735999999997</c:v>
                </c:pt>
                <c:pt idx="19">
                  <c:v>55017.471999999994</c:v>
                </c:pt>
              </c:numCache>
            </c:numRef>
          </c:val>
          <c:smooth val="0"/>
          <c:extLst>
            <c:ext xmlns:c16="http://schemas.microsoft.com/office/drawing/2014/chart" uri="{C3380CC4-5D6E-409C-BE32-E72D297353CC}">
              <c16:uniqueId val="{00000003-65B4-47F9-9B97-64FB989C8893}"/>
            </c:ext>
          </c:extLst>
        </c:ser>
        <c:ser>
          <c:idx val="9"/>
          <c:order val="4"/>
          <c:tx>
            <c:strRef>
              <c:f>Projections!$A$80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Projections!$G$17:$AA$17</c15:sqref>
                  </c15:fullRef>
                </c:ext>
              </c:extLst>
              <c:f>Projections!$G$17:$Z$17</c:f>
              <c:numCache>
                <c:formatCode>m/d/yyyy</c:formatCode>
                <c:ptCount val="20"/>
                <c:pt idx="0">
                  <c:v>43892</c:v>
                </c:pt>
                <c:pt idx="1">
                  <c:v>43896</c:v>
                </c:pt>
                <c:pt idx="2">
                  <c:v>43900</c:v>
                </c:pt>
                <c:pt idx="3">
                  <c:v>43904</c:v>
                </c:pt>
                <c:pt idx="4">
                  <c:v>43908</c:v>
                </c:pt>
                <c:pt idx="5">
                  <c:v>43911</c:v>
                </c:pt>
                <c:pt idx="6">
                  <c:v>43914</c:v>
                </c:pt>
                <c:pt idx="7">
                  <c:v>43919</c:v>
                </c:pt>
                <c:pt idx="8">
                  <c:v>43939</c:v>
                </c:pt>
                <c:pt idx="9">
                  <c:v>43959</c:v>
                </c:pt>
                <c:pt idx="10">
                  <c:v>43979</c:v>
                </c:pt>
                <c:pt idx="11">
                  <c:v>43999</c:v>
                </c:pt>
                <c:pt idx="12">
                  <c:v>44019</c:v>
                </c:pt>
                <c:pt idx="13">
                  <c:v>44039</c:v>
                </c:pt>
                <c:pt idx="14">
                  <c:v>44059</c:v>
                </c:pt>
                <c:pt idx="15">
                  <c:v>44079</c:v>
                </c:pt>
                <c:pt idx="16">
                  <c:v>44099</c:v>
                </c:pt>
                <c:pt idx="17">
                  <c:v>44119</c:v>
                </c:pt>
                <c:pt idx="18">
                  <c:v>44139</c:v>
                </c:pt>
                <c:pt idx="19">
                  <c:v>44159</c:v>
                </c:pt>
              </c:numCache>
            </c:numRef>
          </c:cat>
          <c:val>
            <c:numRef>
              <c:extLst>
                <c:ext xmlns:c15="http://schemas.microsoft.com/office/drawing/2012/chart" uri="{02D57815-91ED-43cb-92C2-25804820EDAC}">
                  <c15:fullRef>
                    <c15:sqref>Projections!$G$81:$AA$81</c15:sqref>
                  </c15:fullRef>
                </c:ext>
              </c:extLst>
              <c:f>Projections!$G$81:$Z$81</c:f>
              <c:numCache>
                <c:formatCode>#,##0</c:formatCode>
                <c:ptCount val="20"/>
                <c:pt idx="0">
                  <c:v>2.6249999999999999E-2</c:v>
                </c:pt>
                <c:pt idx="1">
                  <c:v>5.2499999999999998E-2</c:v>
                </c:pt>
                <c:pt idx="2">
                  <c:v>0.105</c:v>
                </c:pt>
                <c:pt idx="3">
                  <c:v>0.21</c:v>
                </c:pt>
                <c:pt idx="4">
                  <c:v>0.42</c:v>
                </c:pt>
                <c:pt idx="5">
                  <c:v>0.84</c:v>
                </c:pt>
                <c:pt idx="6">
                  <c:v>1.68</c:v>
                </c:pt>
                <c:pt idx="7">
                  <c:v>3.36</c:v>
                </c:pt>
                <c:pt idx="8">
                  <c:v>6.72</c:v>
                </c:pt>
                <c:pt idx="9">
                  <c:v>13.44</c:v>
                </c:pt>
                <c:pt idx="10">
                  <c:v>26.88</c:v>
                </c:pt>
                <c:pt idx="11">
                  <c:v>53.76</c:v>
                </c:pt>
                <c:pt idx="12">
                  <c:v>107.52</c:v>
                </c:pt>
                <c:pt idx="13">
                  <c:v>215.04</c:v>
                </c:pt>
                <c:pt idx="14">
                  <c:v>430.08</c:v>
                </c:pt>
                <c:pt idx="15">
                  <c:v>860.16</c:v>
                </c:pt>
                <c:pt idx="16">
                  <c:v>1720.32</c:v>
                </c:pt>
                <c:pt idx="17">
                  <c:v>3440.64</c:v>
                </c:pt>
                <c:pt idx="18">
                  <c:v>6881.28</c:v>
                </c:pt>
                <c:pt idx="19">
                  <c:v>13762.56</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52</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53</xdr:row>
      <xdr:rowOff>4762</xdr:rowOff>
    </xdr:from>
    <xdr:to>
      <xdr:col>18</xdr:col>
      <xdr:colOff>9525</xdr:colOff>
      <xdr:row>71</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52</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53</xdr:row>
      <xdr:rowOff>14287</xdr:rowOff>
    </xdr:from>
    <xdr:to>
      <xdr:col>27</xdr:col>
      <xdr:colOff>19050</xdr:colOff>
      <xdr:row>71</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29</xdr:col>
      <xdr:colOff>9526</xdr:colOff>
      <xdr:row>4</xdr:row>
      <xdr:rowOff>180975</xdr:rowOff>
    </xdr:from>
    <xdr:to>
      <xdr:col>40</xdr:col>
      <xdr:colOff>600075</xdr:colOff>
      <xdr:row>31</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736455</xdr:colOff>
      <xdr:row>75</xdr:row>
      <xdr:rowOff>5814</xdr:rowOff>
    </xdr:from>
    <xdr:to>
      <xdr:col>41</xdr:col>
      <xdr:colOff>19050</xdr:colOff>
      <xdr:row>98</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3031</xdr:colOff>
      <xdr:row>99</xdr:row>
      <xdr:rowOff>10576</xdr:rowOff>
    </xdr:from>
    <xdr:to>
      <xdr:col>41</xdr:col>
      <xdr:colOff>28575</xdr:colOff>
      <xdr:row>115</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741217</xdr:colOff>
      <xdr:row>116</xdr:row>
      <xdr:rowOff>182025</xdr:rowOff>
    </xdr:from>
    <xdr:to>
      <xdr:col>41</xdr:col>
      <xdr:colOff>38099</xdr:colOff>
      <xdr:row>132</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741219</xdr:colOff>
      <xdr:row>134</xdr:row>
      <xdr:rowOff>10575</xdr:rowOff>
    </xdr:from>
    <xdr:to>
      <xdr:col>41</xdr:col>
      <xdr:colOff>19050</xdr:colOff>
      <xdr:row>153</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738187</xdr:colOff>
      <xdr:row>38</xdr:row>
      <xdr:rowOff>4762</xdr:rowOff>
    </xdr:from>
    <xdr:to>
      <xdr:col>41</xdr:col>
      <xdr:colOff>19050</xdr:colOff>
      <xdr:row>57</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740228</xdr:colOff>
      <xdr:row>58</xdr:row>
      <xdr:rowOff>2721</xdr:rowOff>
    </xdr:from>
    <xdr:to>
      <xdr:col>40</xdr:col>
      <xdr:colOff>590550</xdr:colOff>
      <xdr:row>73</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42</xdr:col>
      <xdr:colOff>1</xdr:colOff>
      <xdr:row>4</xdr:row>
      <xdr:rowOff>180975</xdr:rowOff>
    </xdr:from>
    <xdr:to>
      <xdr:col>54</xdr:col>
      <xdr:colOff>161925</xdr:colOff>
      <xdr:row>31</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41</xdr:col>
      <xdr:colOff>607867</xdr:colOff>
      <xdr:row>74</xdr:row>
      <xdr:rowOff>177264</xdr:rowOff>
    </xdr:from>
    <xdr:to>
      <xdr:col>54</xdr:col>
      <xdr:colOff>209550</xdr:colOff>
      <xdr:row>97</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41</xdr:col>
      <xdr:colOff>598343</xdr:colOff>
      <xdr:row>99</xdr:row>
      <xdr:rowOff>1051</xdr:rowOff>
    </xdr:from>
    <xdr:to>
      <xdr:col>54</xdr:col>
      <xdr:colOff>200025</xdr:colOff>
      <xdr:row>115</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42</xdr:col>
      <xdr:colOff>3029</xdr:colOff>
      <xdr:row>116</xdr:row>
      <xdr:rowOff>182025</xdr:rowOff>
    </xdr:from>
    <xdr:to>
      <xdr:col>54</xdr:col>
      <xdr:colOff>219074</xdr:colOff>
      <xdr:row>132</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42</xdr:col>
      <xdr:colOff>22081</xdr:colOff>
      <xdr:row>134</xdr:row>
      <xdr:rowOff>10575</xdr:rowOff>
    </xdr:from>
    <xdr:to>
      <xdr:col>54</xdr:col>
      <xdr:colOff>228600</xdr:colOff>
      <xdr:row>153</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41</xdr:col>
      <xdr:colOff>600074</xdr:colOff>
      <xdr:row>38</xdr:row>
      <xdr:rowOff>14287</xdr:rowOff>
    </xdr:from>
    <xdr:to>
      <xdr:col>54</xdr:col>
      <xdr:colOff>200025</xdr:colOff>
      <xdr:row>57</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41</xdr:col>
      <xdr:colOff>606878</xdr:colOff>
      <xdr:row>58</xdr:row>
      <xdr:rowOff>2721</xdr:rowOff>
    </xdr:from>
    <xdr:to>
      <xdr:col>54</xdr:col>
      <xdr:colOff>161925</xdr:colOff>
      <xdr:row>73</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ourworldindata.org/coronavirus" TargetMode="External"/><Relationship Id="rId7" Type="http://schemas.openxmlformats.org/officeDocument/2006/relationships/drawing" Target="../drawings/drawing2.xml"/><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printerSettings" Target="../printerSettings/printerSettings2.bin"/><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5"/>
  <sheetViews>
    <sheetView workbookViewId="0">
      <selection activeCell="F6" sqref="F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166</v>
      </c>
    </row>
    <row r="3" spans="2:2" x14ac:dyDescent="0.25">
      <c r="B3" t="s">
        <v>146</v>
      </c>
    </row>
    <row r="4" spans="2:2" x14ac:dyDescent="0.25">
      <c r="B4" t="s">
        <v>162</v>
      </c>
    </row>
    <row r="5" spans="2:2" x14ac:dyDescent="0.25">
      <c r="B5" t="s">
        <v>167</v>
      </c>
    </row>
    <row r="6" spans="2:2" x14ac:dyDescent="0.25">
      <c r="B6" t="s">
        <v>168</v>
      </c>
    </row>
    <row r="7" spans="2:2" x14ac:dyDescent="0.25">
      <c r="B7" t="s">
        <v>149</v>
      </c>
    </row>
    <row r="11" spans="2:2" x14ac:dyDescent="0.25">
      <c r="B11" t="s">
        <v>175</v>
      </c>
    </row>
    <row r="12" spans="2:2" x14ac:dyDescent="0.25">
      <c r="B12" t="s">
        <v>188</v>
      </c>
    </row>
    <row r="13" spans="2:2" x14ac:dyDescent="0.25">
      <c r="B13" t="s">
        <v>190</v>
      </c>
    </row>
    <row r="14" spans="2:2" x14ac:dyDescent="0.25">
      <c r="B14" t="s">
        <v>189</v>
      </c>
    </row>
    <row r="15" spans="2:2" x14ac:dyDescent="0.25">
      <c r="B15" t="s">
        <v>199</v>
      </c>
    </row>
    <row r="17" spans="1:43" x14ac:dyDescent="0.25">
      <c r="A17" t="s">
        <v>195</v>
      </c>
      <c r="B17" s="117">
        <f>(AP25/E31) /Projections!B6</f>
        <v>86.580086580086572</v>
      </c>
      <c r="C17" s="118"/>
      <c r="D17" s="119"/>
      <c r="E17" s="113">
        <f>B17*2</f>
        <v>173.16017316017314</v>
      </c>
      <c r="F17" s="118"/>
      <c r="G17" s="113"/>
      <c r="H17" s="113">
        <f>E17*2</f>
        <v>346.32034632034629</v>
      </c>
      <c r="I17" s="118"/>
      <c r="J17" s="119"/>
      <c r="K17" s="110">
        <f>H17*2</f>
        <v>692.64069264069258</v>
      </c>
      <c r="L17" s="108"/>
      <c r="M17" s="109"/>
      <c r="N17" s="110">
        <f>K17*2</f>
        <v>1385.2813852813852</v>
      </c>
      <c r="O17" s="108"/>
      <c r="P17" s="109"/>
      <c r="Q17" s="110">
        <f>N17*2</f>
        <v>2770.5627705627703</v>
      </c>
      <c r="R17" s="108"/>
      <c r="S17" s="109"/>
      <c r="T17" s="110">
        <f>Q17*2</f>
        <v>5541.1255411255406</v>
      </c>
      <c r="U17" s="108"/>
      <c r="V17" s="109"/>
      <c r="W17" s="110">
        <f>T17*2</f>
        <v>11082.251082251081</v>
      </c>
      <c r="X17" s="108"/>
      <c r="Y17" s="109"/>
      <c r="Z17" s="110">
        <f>W17*2</f>
        <v>22164.502164502162</v>
      </c>
      <c r="AA17" s="108"/>
      <c r="AB17" s="109"/>
      <c r="AC17" s="110">
        <f>Z17*2</f>
        <v>44329.004329004325</v>
      </c>
      <c r="AD17" s="108"/>
      <c r="AE17" s="109"/>
      <c r="AF17" s="110">
        <f>AC17*2</f>
        <v>88658.00865800865</v>
      </c>
      <c r="AG17" s="108"/>
      <c r="AH17" s="109"/>
      <c r="AI17" s="110">
        <f>AF17*2</f>
        <v>177316.0173160173</v>
      </c>
      <c r="AJ17" s="108"/>
      <c r="AK17" s="109"/>
      <c r="AL17" s="110">
        <f>AI17*2</f>
        <v>354632.0346320346</v>
      </c>
      <c r="AM17" s="108"/>
      <c r="AN17" s="109"/>
      <c r="AO17" s="110">
        <f>AL17*2</f>
        <v>709264.0692640692</v>
      </c>
      <c r="AP17" s="113"/>
      <c r="AQ17" t="s">
        <v>195</v>
      </c>
    </row>
    <row r="18" spans="1:43" s="81" customFormat="1" x14ac:dyDescent="0.25">
      <c r="A18" s="81" t="s">
        <v>198</v>
      </c>
      <c r="B18" s="101">
        <f>B17*0.3</f>
        <v>25.97402597402597</v>
      </c>
      <c r="C18" s="120"/>
      <c r="D18" s="120"/>
      <c r="E18" s="120">
        <f>E17*0.3</f>
        <v>51.94805194805194</v>
      </c>
      <c r="F18" s="120"/>
      <c r="G18" s="45"/>
      <c r="H18" s="120">
        <f>H17*0.3</f>
        <v>103.89610389610388</v>
      </c>
      <c r="I18" s="120"/>
      <c r="J18" s="120"/>
      <c r="K18" s="120">
        <f>K17*0.3</f>
        <v>207.79220779220776</v>
      </c>
      <c r="L18" s="120"/>
      <c r="M18" s="120"/>
      <c r="N18" s="120">
        <f>N17*0.3</f>
        <v>415.58441558441552</v>
      </c>
      <c r="O18" s="120"/>
      <c r="P18" s="120"/>
      <c r="Q18" s="120">
        <f>Q17*0.3</f>
        <v>831.16883116883105</v>
      </c>
      <c r="R18" s="120"/>
      <c r="S18" s="120"/>
      <c r="T18" s="120">
        <f>T17*0.3</f>
        <v>1662.3376623376621</v>
      </c>
      <c r="U18" s="120"/>
      <c r="V18" s="120"/>
      <c r="W18" s="120">
        <f>W17*0.3</f>
        <v>3324.6753246753242</v>
      </c>
      <c r="X18" s="120"/>
      <c r="Y18" s="120"/>
      <c r="Z18" s="120">
        <f>Z17*0.3</f>
        <v>6649.3506493506484</v>
      </c>
      <c r="AA18" s="120"/>
      <c r="AB18" s="120"/>
      <c r="AC18" s="120">
        <f>AC17*0.3</f>
        <v>13298.701298701297</v>
      </c>
      <c r="AD18" s="120"/>
      <c r="AE18" s="120"/>
      <c r="AF18" s="120">
        <f>AF17*0.3</f>
        <v>26597.402597402594</v>
      </c>
      <c r="AG18" s="120"/>
      <c r="AH18" s="120"/>
      <c r="AI18" s="120">
        <f>AI17*0.3</f>
        <v>53194.805194805187</v>
      </c>
      <c r="AJ18" s="120"/>
      <c r="AK18" s="120"/>
      <c r="AL18" s="120">
        <f>AL17*0.3</f>
        <v>106389.61038961037</v>
      </c>
      <c r="AM18" s="120"/>
      <c r="AN18" s="120"/>
      <c r="AO18" s="120">
        <f>AO17*0.3</f>
        <v>212779.22077922075</v>
      </c>
      <c r="AP18" s="45"/>
      <c r="AQ18" s="81" t="s">
        <v>198</v>
      </c>
    </row>
    <row r="19" spans="1:43" s="81" customFormat="1" x14ac:dyDescent="0.25">
      <c r="A19" s="59" t="s">
        <v>197</v>
      </c>
      <c r="B19" s="99">
        <f>B18</f>
        <v>25.97402597402597</v>
      </c>
      <c r="C19" s="100"/>
      <c r="D19" s="100"/>
      <c r="E19" s="100">
        <f>E18</f>
        <v>51.94805194805194</v>
      </c>
      <c r="F19" s="100"/>
      <c r="G19" s="46"/>
      <c r="H19" s="100">
        <f>H18</f>
        <v>103.89610389610388</v>
      </c>
      <c r="I19" s="100"/>
      <c r="J19" s="100"/>
      <c r="K19" s="100">
        <f>K18</f>
        <v>207.79220779220776</v>
      </c>
      <c r="L19" s="100"/>
      <c r="M19" s="100"/>
      <c r="N19" s="100">
        <f>N18</f>
        <v>415.58441558441552</v>
      </c>
      <c r="O19" s="100"/>
      <c r="P19" s="100"/>
      <c r="Q19" s="100">
        <f>Q18</f>
        <v>831.16883116883105</v>
      </c>
      <c r="R19" s="100"/>
      <c r="S19" s="100"/>
      <c r="T19" s="100">
        <f>T18</f>
        <v>1662.3376623376621</v>
      </c>
      <c r="U19" s="100"/>
      <c r="V19" s="100"/>
      <c r="W19" s="137">
        <f>W18-B18</f>
        <v>3298.7012987012981</v>
      </c>
      <c r="X19" s="137"/>
      <c r="Y19" s="137"/>
      <c r="Z19" s="137">
        <f>Z18-E18</f>
        <v>6597.4025974025963</v>
      </c>
      <c r="AA19" s="137"/>
      <c r="AB19" s="137"/>
      <c r="AC19" s="137">
        <f>AC18-H18</f>
        <v>13194.805194805193</v>
      </c>
      <c r="AD19" s="137"/>
      <c r="AE19" s="137"/>
      <c r="AF19" s="137">
        <f>AF18-K18</f>
        <v>26389.610389610385</v>
      </c>
      <c r="AG19" s="137"/>
      <c r="AH19" s="137"/>
      <c r="AI19" s="137">
        <f>AI18-N18</f>
        <v>52779.22077922077</v>
      </c>
      <c r="AJ19" s="137"/>
      <c r="AK19" s="137"/>
      <c r="AL19" s="137">
        <f>AL18-Q18</f>
        <v>105558.44155844154</v>
      </c>
      <c r="AM19" s="137"/>
      <c r="AN19" s="137"/>
      <c r="AO19" s="137">
        <f>AO18-T18</f>
        <v>211116.88311688308</v>
      </c>
      <c r="AP19" s="138"/>
      <c r="AQ19" s="59" t="s">
        <v>197</v>
      </c>
    </row>
    <row r="20" spans="1:43" s="81" customFormat="1" x14ac:dyDescent="0.25">
      <c r="A20" t="s">
        <v>196</v>
      </c>
      <c r="B20" s="101"/>
      <c r="C20" s="120"/>
      <c r="D20" s="120"/>
      <c r="E20" s="120"/>
      <c r="F20" s="120"/>
      <c r="G20" s="45"/>
      <c r="H20" s="121"/>
      <c r="I20" s="122"/>
      <c r="J20" s="123"/>
      <c r="K20" s="147">
        <f>B17*0.7</f>
        <v>60.606060606060595</v>
      </c>
      <c r="L20" s="144"/>
      <c r="M20" s="145"/>
      <c r="N20" s="146">
        <f>E17*0.7</f>
        <v>121.21212121212119</v>
      </c>
      <c r="O20" s="144"/>
      <c r="P20" s="145"/>
      <c r="Q20" s="146">
        <f>H17*0.7</f>
        <v>242.42424242424238</v>
      </c>
      <c r="R20" s="144"/>
      <c r="S20" s="145"/>
      <c r="T20" s="146">
        <f>K17*0.7</f>
        <v>484.84848484848476</v>
      </c>
      <c r="U20" s="144"/>
      <c r="V20" s="145"/>
      <c r="W20" s="146">
        <f>N17*0.7</f>
        <v>969.69696969696952</v>
      </c>
      <c r="X20" s="144"/>
      <c r="Y20" s="145"/>
      <c r="Z20" s="146">
        <f>Q17*0.7</f>
        <v>1939.393939393939</v>
      </c>
      <c r="AA20" s="144"/>
      <c r="AB20" s="145"/>
      <c r="AC20" s="146">
        <f>T17*0.7</f>
        <v>3878.7878787878781</v>
      </c>
      <c r="AD20" s="144"/>
      <c r="AE20" s="145"/>
      <c r="AF20" s="146">
        <f>W17*0.7</f>
        <v>7757.5757575757561</v>
      </c>
      <c r="AG20" s="144"/>
      <c r="AH20" s="145"/>
      <c r="AI20" s="146">
        <f>Z17*0.7</f>
        <v>15515.151515151512</v>
      </c>
      <c r="AJ20" s="144"/>
      <c r="AK20" s="145"/>
      <c r="AL20" s="146">
        <f>AC17*0.7</f>
        <v>31030.303030303025</v>
      </c>
      <c r="AM20" s="144"/>
      <c r="AN20" s="145"/>
      <c r="AO20" s="146">
        <f>AF17*0.7</f>
        <v>62060.606060606049</v>
      </c>
      <c r="AP20" s="91"/>
      <c r="AQ20" t="s">
        <v>196</v>
      </c>
    </row>
    <row r="21" spans="1:43" s="81" customFormat="1" x14ac:dyDescent="0.25">
      <c r="A21" s="81" t="s">
        <v>176</v>
      </c>
      <c r="B21" s="93"/>
      <c r="C21" s="94"/>
      <c r="D21" s="94"/>
      <c r="E21" s="94"/>
      <c r="F21" s="94"/>
      <c r="G21" s="95"/>
      <c r="H21" s="139">
        <f>B17-B18</f>
        <v>60.606060606060602</v>
      </c>
      <c r="I21" s="139"/>
      <c r="J21" s="139"/>
      <c r="K21" s="139">
        <f>E17-E18</f>
        <v>121.2121212121212</v>
      </c>
      <c r="L21" s="139"/>
      <c r="M21" s="139"/>
      <c r="N21" s="139">
        <f>(H17-H18)*$E$35</f>
        <v>196.36363636363637</v>
      </c>
      <c r="O21" s="139"/>
      <c r="P21" s="139"/>
      <c r="Q21" s="139">
        <f>(K17-K18)*$E$35</f>
        <v>392.72727272727275</v>
      </c>
      <c r="R21" s="139"/>
      <c r="S21" s="139"/>
      <c r="T21" s="139">
        <f>(N17-N18)*$E$35</f>
        <v>785.4545454545455</v>
      </c>
      <c r="U21" s="139"/>
      <c r="V21" s="139"/>
      <c r="W21" s="139">
        <f>((Q17-Q18)*$E$35)-(H21*$E$35)</f>
        <v>1521.818181818182</v>
      </c>
      <c r="X21" s="139"/>
      <c r="Y21" s="139"/>
      <c r="Z21" s="139">
        <f>((T17-T18)*$E$35)-(K21*$E$35)</f>
        <v>3043.636363636364</v>
      </c>
      <c r="AA21" s="139"/>
      <c r="AB21" s="139"/>
      <c r="AC21" s="139">
        <f>((W17-W18)*$E$35)-N21</f>
        <v>6087.2727272727279</v>
      </c>
      <c r="AD21" s="139"/>
      <c r="AE21" s="139"/>
      <c r="AF21" s="139">
        <f>((Z17-Z18)*$E$35)-Q21</f>
        <v>12174.545454545456</v>
      </c>
      <c r="AG21" s="139"/>
      <c r="AH21" s="139"/>
      <c r="AI21" s="139">
        <f>((AC17-AC18)*$E$35)-T21</f>
        <v>24349.090909090912</v>
      </c>
      <c r="AJ21" s="139"/>
      <c r="AK21" s="139"/>
      <c r="AL21" s="139">
        <f>((AF17-AF18)*$E$35)-W21</f>
        <v>48747.272727272728</v>
      </c>
      <c r="AM21" s="139"/>
      <c r="AN21" s="139"/>
      <c r="AO21" s="139">
        <f>((AI17-AI18)*$E$35)-Z21</f>
        <v>97494.545454545456</v>
      </c>
      <c r="AP21" s="140"/>
      <c r="AQ21" s="81" t="s">
        <v>176</v>
      </c>
    </row>
    <row r="22" spans="1:43" s="81" customFormat="1" x14ac:dyDescent="0.25">
      <c r="A22" s="81" t="s">
        <v>177</v>
      </c>
      <c r="B22" s="93"/>
      <c r="C22" s="94"/>
      <c r="D22" s="94"/>
      <c r="E22" s="94"/>
      <c r="F22" s="94"/>
      <c r="G22" s="95"/>
      <c r="H22" s="122"/>
      <c r="I22" s="122"/>
      <c r="J22" s="122"/>
      <c r="K22" s="122"/>
      <c r="L22" s="122"/>
      <c r="M22" s="123"/>
      <c r="N22" s="141">
        <f>(H17-H18)*($E$36+$E$37)</f>
        <v>46.060606060606055</v>
      </c>
      <c r="O22" s="141"/>
      <c r="P22" s="141"/>
      <c r="Q22" s="141">
        <f>(K17-K18)*($E$36+$E$37)</f>
        <v>92.12121212121211</v>
      </c>
      <c r="R22" s="141"/>
      <c r="S22" s="141"/>
      <c r="T22" s="141">
        <f>(N17-N18)*$E$36</f>
        <v>135.75757575757575</v>
      </c>
      <c r="U22" s="141"/>
      <c r="V22" s="141"/>
      <c r="W22" s="141">
        <f>(Q17-Q18)*$E$36</f>
        <v>271.5151515151515</v>
      </c>
      <c r="X22" s="141"/>
      <c r="Y22" s="141"/>
      <c r="Z22" s="141">
        <f>(T17-T18)*$E$36</f>
        <v>543.030303030303</v>
      </c>
      <c r="AA22" s="141"/>
      <c r="AB22" s="141"/>
      <c r="AC22" s="141">
        <f>(W17-W18)*$E$36</f>
        <v>1086.060606060606</v>
      </c>
      <c r="AD22" s="141"/>
      <c r="AE22" s="141"/>
      <c r="AF22" s="141">
        <f>(Z17-Z18)*$E$36</f>
        <v>2172.121212121212</v>
      </c>
      <c r="AG22" s="141"/>
      <c r="AH22" s="141"/>
      <c r="AI22" s="141">
        <f>(AC17-AC18)*$E$36</f>
        <v>4344.242424242424</v>
      </c>
      <c r="AJ22" s="141"/>
      <c r="AK22" s="141"/>
      <c r="AL22" s="141">
        <f>(AF17-AF18)*$E$36</f>
        <v>8688.484848484848</v>
      </c>
      <c r="AM22" s="141"/>
      <c r="AN22" s="141"/>
      <c r="AO22" s="141">
        <f>(AI17-AI18)*$E$36</f>
        <v>17376.969696969696</v>
      </c>
      <c r="AP22" s="142"/>
      <c r="AQ22" s="81" t="s">
        <v>177</v>
      </c>
    </row>
    <row r="23" spans="1:43" s="81" customFormat="1" x14ac:dyDescent="0.25">
      <c r="A23" s="59" t="s">
        <v>178</v>
      </c>
      <c r="B23" s="93"/>
      <c r="C23" s="94"/>
      <c r="D23" s="94"/>
      <c r="E23" s="94"/>
      <c r="F23" s="94"/>
      <c r="G23" s="95"/>
      <c r="H23" s="100"/>
      <c r="I23" s="100"/>
      <c r="J23" s="100"/>
      <c r="K23" s="100"/>
      <c r="L23" s="100"/>
      <c r="M23" s="100"/>
      <c r="N23" s="122"/>
      <c r="O23" s="122"/>
      <c r="P23" s="122"/>
      <c r="Q23" s="122"/>
      <c r="R23" s="122"/>
      <c r="S23" s="123"/>
      <c r="T23" s="52">
        <f>(N17-N18)*$E$37</f>
        <v>48.484848484848484</v>
      </c>
      <c r="U23" s="52"/>
      <c r="V23" s="52"/>
      <c r="W23" s="52">
        <f>(Q17-Q18)*$E$37</f>
        <v>96.969696969696969</v>
      </c>
      <c r="X23" s="52"/>
      <c r="Y23" s="52"/>
      <c r="Z23" s="52">
        <f>(T17-T18)*$E$37</f>
        <v>193.93939393939394</v>
      </c>
      <c r="AA23" s="52"/>
      <c r="AB23" s="52"/>
      <c r="AC23" s="52">
        <f>(W17-W18)*$E$37</f>
        <v>387.87878787878788</v>
      </c>
      <c r="AD23" s="52"/>
      <c r="AE23" s="52"/>
      <c r="AF23" s="52">
        <f>(Z17-Z18)*$E$37</f>
        <v>775.75757575757575</v>
      </c>
      <c r="AG23" s="52"/>
      <c r="AH23" s="52"/>
      <c r="AI23" s="52">
        <f>(AC17-AC18)*$E$37</f>
        <v>1551.5151515151515</v>
      </c>
      <c r="AJ23" s="52"/>
      <c r="AK23" s="52"/>
      <c r="AL23" s="52">
        <f>(AF17-AF18)*$E$37</f>
        <v>3103.030303030303</v>
      </c>
      <c r="AM23" s="52"/>
      <c r="AN23" s="52"/>
      <c r="AO23" s="52">
        <f>(AI17-AI18)*$E$37</f>
        <v>6206.060606060606</v>
      </c>
      <c r="AP23" s="143"/>
      <c r="AQ23" s="59" t="s">
        <v>178</v>
      </c>
    </row>
    <row r="24" spans="1:43" s="81" customFormat="1" x14ac:dyDescent="0.25">
      <c r="A24" s="59" t="s">
        <v>183</v>
      </c>
      <c r="B24" s="99"/>
      <c r="C24" s="100"/>
      <c r="D24" s="100"/>
      <c r="E24" s="100"/>
      <c r="F24" s="100"/>
      <c r="G24" s="46"/>
      <c r="H24" s="100"/>
      <c r="I24" s="100"/>
      <c r="J24" s="100"/>
      <c r="K24" s="100"/>
      <c r="L24" s="100"/>
      <c r="M24" s="100"/>
      <c r="N24" s="100"/>
      <c r="O24" s="100"/>
      <c r="P24" s="100"/>
      <c r="Q24" s="100"/>
      <c r="R24" s="100"/>
      <c r="S24" s="100"/>
      <c r="T24" s="122"/>
      <c r="U24" s="123"/>
      <c r="V24" s="124">
        <f>H21*$E$35</f>
        <v>49.090909090909093</v>
      </c>
      <c r="W24" s="124"/>
      <c r="X24" s="124"/>
      <c r="Y24" s="124">
        <f>K21*$E$35</f>
        <v>98.181818181818187</v>
      </c>
      <c r="Z24" s="124"/>
      <c r="AA24" s="124"/>
      <c r="AB24" s="124">
        <f>N21</f>
        <v>196.36363636363637</v>
      </c>
      <c r="AC24" s="124"/>
      <c r="AD24" s="124"/>
      <c r="AE24" s="124">
        <f>Q21</f>
        <v>392.72727272727275</v>
      </c>
      <c r="AF24" s="124"/>
      <c r="AG24" s="124"/>
      <c r="AH24" s="124">
        <f>T21</f>
        <v>785.4545454545455</v>
      </c>
      <c r="AI24" s="124"/>
      <c r="AJ24" s="124"/>
      <c r="AK24" s="124">
        <f>W21</f>
        <v>1521.818181818182</v>
      </c>
      <c r="AL24" s="124"/>
      <c r="AM24" s="124"/>
      <c r="AN24" s="124">
        <f>Z21</f>
        <v>3043.636363636364</v>
      </c>
      <c r="AO24" s="124"/>
      <c r="AP24" s="125"/>
      <c r="AQ24" s="59" t="s">
        <v>183</v>
      </c>
    </row>
    <row r="25" spans="1:43" x14ac:dyDescent="0.25">
      <c r="A25" s="59" t="s">
        <v>172</v>
      </c>
      <c r="B25" s="114"/>
      <c r="C25" s="115"/>
      <c r="D25" s="115"/>
      <c r="E25" s="115"/>
      <c r="F25" s="115"/>
      <c r="G25" s="116"/>
      <c r="H25" s="107"/>
      <c r="I25" s="107"/>
      <c r="J25" s="107"/>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48">
        <f>E32</f>
        <v>1</v>
      </c>
      <c r="AQ25" s="59" t="s">
        <v>172</v>
      </c>
    </row>
    <row r="26" spans="1:43" x14ac:dyDescent="0.25">
      <c r="A26" s="149" t="s">
        <v>203</v>
      </c>
      <c r="B26" s="104">
        <f t="shared" ref="B26:G26" ca="1" si="0">C26-1</f>
        <v>43889.975687962964</v>
      </c>
      <c r="C26" s="105">
        <f t="shared" ca="1" si="0"/>
        <v>43890.975687962964</v>
      </c>
      <c r="D26" s="105">
        <f t="shared" ca="1" si="0"/>
        <v>43891.975687962964</v>
      </c>
      <c r="E26" s="105">
        <f t="shared" ca="1" si="0"/>
        <v>43892.975687962964</v>
      </c>
      <c r="F26" s="105">
        <f t="shared" ca="1" si="0"/>
        <v>43893.975687962964</v>
      </c>
      <c r="G26" s="106">
        <f t="shared" ca="1" si="0"/>
        <v>43894.975687962964</v>
      </c>
      <c r="H26" s="105">
        <f t="shared" ref="H26:U26" ca="1" si="1">I26-1</f>
        <v>43895.975687962964</v>
      </c>
      <c r="I26" s="105">
        <f t="shared" ca="1" si="1"/>
        <v>43896.975687962964</v>
      </c>
      <c r="J26" s="105">
        <f t="shared" ca="1" si="1"/>
        <v>43897.975687962964</v>
      </c>
      <c r="K26" s="105">
        <f t="shared" ca="1" si="1"/>
        <v>43898.975687962964</v>
      </c>
      <c r="L26" s="105">
        <f t="shared" ca="1" si="1"/>
        <v>43899.975687962964</v>
      </c>
      <c r="M26" s="105">
        <f t="shared" ca="1" si="1"/>
        <v>43900.975687962964</v>
      </c>
      <c r="N26" s="106">
        <f t="shared" ca="1" si="1"/>
        <v>43901.975687962964</v>
      </c>
      <c r="O26" s="104">
        <f t="shared" ca="1" si="1"/>
        <v>43902.975687962964</v>
      </c>
      <c r="P26" s="105">
        <f t="shared" ca="1" si="1"/>
        <v>43903.975687962964</v>
      </c>
      <c r="Q26" s="105">
        <f t="shared" ca="1" si="1"/>
        <v>43904.975687962964</v>
      </c>
      <c r="R26" s="105">
        <f t="shared" ca="1" si="1"/>
        <v>43905.975687962964</v>
      </c>
      <c r="S26" s="105">
        <f t="shared" ca="1" si="1"/>
        <v>43906.975687962964</v>
      </c>
      <c r="T26" s="105">
        <f t="shared" ca="1" si="1"/>
        <v>43907.975687962964</v>
      </c>
      <c r="U26" s="106">
        <f t="shared" ca="1" si="1"/>
        <v>43908.975687962964</v>
      </c>
      <c r="V26" s="104">
        <f t="shared" ref="V26:AN26" ca="1" si="2">W26-1</f>
        <v>43909.975687962964</v>
      </c>
      <c r="W26" s="105">
        <f t="shared" ca="1" si="2"/>
        <v>43910.975687962964</v>
      </c>
      <c r="X26" s="105">
        <f t="shared" ca="1" si="2"/>
        <v>43911.975687962964</v>
      </c>
      <c r="Y26" s="105">
        <f t="shared" ca="1" si="2"/>
        <v>43912.975687962964</v>
      </c>
      <c r="Z26" s="105">
        <f t="shared" ca="1" si="2"/>
        <v>43913.975687962964</v>
      </c>
      <c r="AA26" s="105">
        <f t="shared" ca="1" si="2"/>
        <v>43914.975687962964</v>
      </c>
      <c r="AB26" s="106">
        <f t="shared" ca="1" si="2"/>
        <v>43915.975687962964</v>
      </c>
      <c r="AC26" s="104">
        <f t="shared" ca="1" si="2"/>
        <v>43916.975687962964</v>
      </c>
      <c r="AD26" s="105">
        <f t="shared" ca="1" si="2"/>
        <v>43917.975687962964</v>
      </c>
      <c r="AE26" s="105">
        <f t="shared" ca="1" si="2"/>
        <v>43918.975687962964</v>
      </c>
      <c r="AF26" s="105">
        <f t="shared" ca="1" si="2"/>
        <v>43919.975687962964</v>
      </c>
      <c r="AG26" s="105">
        <f t="shared" ca="1" si="2"/>
        <v>43920.975687962964</v>
      </c>
      <c r="AH26" s="105">
        <f t="shared" ca="1" si="2"/>
        <v>43921.975687962964</v>
      </c>
      <c r="AI26" s="106">
        <f t="shared" ca="1" si="2"/>
        <v>43922.975687962964</v>
      </c>
      <c r="AJ26" s="104">
        <f t="shared" ca="1" si="2"/>
        <v>43923.975687962964</v>
      </c>
      <c r="AK26" s="105">
        <f t="shared" ca="1" si="2"/>
        <v>43924.975687962964</v>
      </c>
      <c r="AL26" s="105">
        <f t="shared" ca="1" si="2"/>
        <v>43925.975687962964</v>
      </c>
      <c r="AM26" s="105">
        <f t="shared" ca="1" si="2"/>
        <v>43926.975687962964</v>
      </c>
      <c r="AN26" s="105">
        <f t="shared" ca="1" si="2"/>
        <v>43927.975687962964</v>
      </c>
      <c r="AO26" s="105">
        <f ca="1">AP26-1</f>
        <v>43928.975687962964</v>
      </c>
      <c r="AP26" s="126">
        <f ca="1">NOW()</f>
        <v>43929.975687962964</v>
      </c>
    </row>
    <row r="27" spans="1:43" x14ac:dyDescent="0.25">
      <c r="A27" s="150" t="s">
        <v>204</v>
      </c>
      <c r="B27" s="133">
        <v>1</v>
      </c>
      <c r="C27" s="134">
        <v>2</v>
      </c>
      <c r="D27" s="133">
        <v>3</v>
      </c>
      <c r="E27" s="134">
        <v>4</v>
      </c>
      <c r="F27" s="133">
        <v>5</v>
      </c>
      <c r="G27" s="135">
        <v>6</v>
      </c>
      <c r="H27" s="134">
        <v>7</v>
      </c>
      <c r="I27" s="134">
        <v>8</v>
      </c>
      <c r="J27" s="134">
        <v>9</v>
      </c>
      <c r="K27" s="134">
        <v>10</v>
      </c>
      <c r="L27" s="134">
        <v>11</v>
      </c>
      <c r="M27" s="134">
        <v>12</v>
      </c>
      <c r="N27" s="135">
        <v>13</v>
      </c>
      <c r="O27" s="133">
        <v>14</v>
      </c>
      <c r="P27" s="134">
        <v>15</v>
      </c>
      <c r="Q27" s="134">
        <v>16</v>
      </c>
      <c r="R27" s="134">
        <v>17</v>
      </c>
      <c r="S27" s="134">
        <v>18</v>
      </c>
      <c r="T27" s="134">
        <v>19</v>
      </c>
      <c r="U27" s="135">
        <v>20</v>
      </c>
      <c r="V27" s="133">
        <v>21</v>
      </c>
      <c r="W27" s="134">
        <v>22</v>
      </c>
      <c r="X27" s="134">
        <v>23</v>
      </c>
      <c r="Y27" s="134">
        <v>24</v>
      </c>
      <c r="Z27" s="134">
        <v>25</v>
      </c>
      <c r="AA27" s="134">
        <v>26</v>
      </c>
      <c r="AB27" s="135">
        <v>27</v>
      </c>
      <c r="AC27" s="133">
        <v>28</v>
      </c>
      <c r="AD27" s="134">
        <v>29</v>
      </c>
      <c r="AE27" s="134">
        <v>30</v>
      </c>
      <c r="AF27" s="134">
        <v>31</v>
      </c>
      <c r="AG27" s="134">
        <v>32</v>
      </c>
      <c r="AH27" s="134">
        <v>33</v>
      </c>
      <c r="AI27" s="135">
        <v>34</v>
      </c>
      <c r="AJ27" s="133">
        <v>35</v>
      </c>
      <c r="AK27" s="134">
        <v>36</v>
      </c>
      <c r="AL27" s="134">
        <v>37</v>
      </c>
      <c r="AM27" s="134">
        <v>38</v>
      </c>
      <c r="AN27" s="134">
        <v>39</v>
      </c>
      <c r="AO27" s="134">
        <v>40</v>
      </c>
      <c r="AP27" s="135">
        <v>41</v>
      </c>
    </row>
    <row r="28" spans="1:43" x14ac:dyDescent="0.25">
      <c r="A28" s="151" t="s">
        <v>205</v>
      </c>
      <c r="B28" s="268" t="s">
        <v>170</v>
      </c>
      <c r="C28" s="269"/>
      <c r="D28" s="269"/>
      <c r="E28" s="269"/>
      <c r="F28" s="269"/>
      <c r="G28" s="270"/>
      <c r="H28" s="274" t="s">
        <v>157</v>
      </c>
      <c r="I28" s="274"/>
      <c r="J28" s="274"/>
      <c r="K28" s="274"/>
      <c r="L28" s="274"/>
      <c r="M28" s="274"/>
      <c r="N28" s="275"/>
      <c r="O28" s="273" t="s">
        <v>158</v>
      </c>
      <c r="P28" s="274"/>
      <c r="Q28" s="274"/>
      <c r="R28" s="274"/>
      <c r="S28" s="274"/>
      <c r="T28" s="274"/>
      <c r="U28" s="275"/>
      <c r="V28" s="273" t="s">
        <v>159</v>
      </c>
      <c r="W28" s="274"/>
      <c r="X28" s="274"/>
      <c r="Y28" s="274"/>
      <c r="Z28" s="274"/>
      <c r="AA28" s="274"/>
      <c r="AB28" s="275"/>
      <c r="AC28" s="273" t="s">
        <v>160</v>
      </c>
      <c r="AD28" s="274"/>
      <c r="AE28" s="274"/>
      <c r="AF28" s="274"/>
      <c r="AG28" s="274"/>
      <c r="AH28" s="274"/>
      <c r="AI28" s="275"/>
      <c r="AJ28" s="273" t="s">
        <v>161</v>
      </c>
      <c r="AK28" s="274"/>
      <c r="AL28" s="274"/>
      <c r="AM28" s="274"/>
      <c r="AN28" s="274"/>
      <c r="AO28" s="274"/>
      <c r="AP28" s="275"/>
    </row>
    <row r="29" spans="1:43" x14ac:dyDescent="0.25">
      <c r="B29" s="63" t="s">
        <v>182</v>
      </c>
      <c r="C29" s="111"/>
      <c r="D29" s="111"/>
      <c r="E29" s="111"/>
      <c r="F29" s="111"/>
      <c r="G29" s="112"/>
      <c r="H29" s="271" t="s">
        <v>169</v>
      </c>
      <c r="I29" s="271"/>
      <c r="J29" s="271"/>
      <c r="K29" s="271"/>
      <c r="L29" s="271"/>
      <c r="M29" s="271"/>
      <c r="N29" s="271"/>
      <c r="O29" s="271"/>
      <c r="P29" s="271"/>
      <c r="Q29" s="271"/>
      <c r="R29" s="271"/>
      <c r="S29" s="271"/>
      <c r="T29" s="271"/>
      <c r="U29" s="271"/>
      <c r="V29" s="271"/>
      <c r="W29" s="271"/>
      <c r="X29" s="271"/>
      <c r="Y29" s="271"/>
      <c r="Z29" s="271"/>
      <c r="AA29" s="271"/>
      <c r="AB29" s="271"/>
      <c r="AC29" s="271"/>
      <c r="AD29" s="271"/>
      <c r="AE29" s="271"/>
      <c r="AF29" s="271"/>
      <c r="AG29" s="271"/>
      <c r="AH29" s="271"/>
      <c r="AI29" s="271"/>
      <c r="AJ29" s="271"/>
      <c r="AK29" s="271"/>
      <c r="AL29" s="271"/>
      <c r="AM29" s="271"/>
      <c r="AN29" s="271"/>
      <c r="AO29" s="271"/>
      <c r="AP29" s="272"/>
    </row>
    <row r="31" spans="1:43" x14ac:dyDescent="0.25">
      <c r="B31" s="69" t="s">
        <v>171</v>
      </c>
      <c r="C31" s="154" t="s">
        <v>192</v>
      </c>
      <c r="D31" s="21"/>
      <c r="E31" s="98">
        <f>VLOOKUP(C31,B43:C53,2,FALSE)</f>
        <v>3.5000000000000003E-2</v>
      </c>
      <c r="F31" s="21"/>
      <c r="G31" s="21"/>
      <c r="H31" s="21"/>
      <c r="I31" s="17"/>
    </row>
    <row r="32" spans="1:43" x14ac:dyDescent="0.25">
      <c r="B32" s="53" t="s">
        <v>202</v>
      </c>
      <c r="C32" s="28"/>
      <c r="D32" s="28"/>
      <c r="E32" s="155">
        <v>1</v>
      </c>
      <c r="F32" s="28"/>
      <c r="G32" s="28"/>
      <c r="H32" s="28"/>
      <c r="I32" s="29"/>
    </row>
    <row r="33" spans="2:22" x14ac:dyDescent="0.25">
      <c r="B33" s="53" t="s">
        <v>173</v>
      </c>
      <c r="C33" s="28"/>
      <c r="D33" s="28"/>
      <c r="E33" s="28">
        <v>3</v>
      </c>
      <c r="F33" s="28" t="s">
        <v>174</v>
      </c>
      <c r="G33" s="28"/>
      <c r="H33" s="28"/>
      <c r="I33" s="29"/>
    </row>
    <row r="34" spans="2:22" x14ac:dyDescent="0.25">
      <c r="B34" s="53" t="s">
        <v>194</v>
      </c>
      <c r="C34" s="28"/>
      <c r="D34" s="28"/>
      <c r="E34" s="87">
        <v>0.3</v>
      </c>
      <c r="F34" s="28" t="s">
        <v>200</v>
      </c>
      <c r="G34" s="28"/>
      <c r="H34" s="28"/>
      <c r="I34" s="29"/>
    </row>
    <row r="35" spans="2:22" x14ac:dyDescent="0.25">
      <c r="B35" s="53" t="s">
        <v>179</v>
      </c>
      <c r="C35" s="28"/>
      <c r="D35" s="28"/>
      <c r="E35" s="156">
        <v>0.81</v>
      </c>
      <c r="F35" s="28" t="s">
        <v>201</v>
      </c>
      <c r="G35" s="28"/>
      <c r="H35" s="28"/>
      <c r="I35" s="29"/>
    </row>
    <row r="36" spans="2:22" x14ac:dyDescent="0.25">
      <c r="B36" s="53" t="s">
        <v>180</v>
      </c>
      <c r="C36" s="28"/>
      <c r="D36" s="28"/>
      <c r="E36" s="156">
        <v>0.14000000000000001</v>
      </c>
      <c r="F36" s="28" t="s">
        <v>201</v>
      </c>
      <c r="G36" s="28"/>
      <c r="H36" s="28"/>
      <c r="I36" s="29"/>
    </row>
    <row r="37" spans="2:22" x14ac:dyDescent="0.25">
      <c r="B37" s="53" t="s">
        <v>181</v>
      </c>
      <c r="C37" s="28"/>
      <c r="D37" s="28"/>
      <c r="E37" s="156">
        <v>0.05</v>
      </c>
      <c r="F37" s="28" t="s">
        <v>201</v>
      </c>
      <c r="G37" s="28"/>
      <c r="H37" s="28"/>
      <c r="I37" s="29"/>
    </row>
    <row r="38" spans="2:22" x14ac:dyDescent="0.25">
      <c r="B38" s="53" t="s">
        <v>184</v>
      </c>
      <c r="C38" s="28"/>
      <c r="D38" s="28"/>
      <c r="E38" s="152">
        <v>2</v>
      </c>
      <c r="F38" s="28" t="s">
        <v>185</v>
      </c>
      <c r="G38" s="28"/>
      <c r="H38" s="28"/>
      <c r="I38" s="29"/>
    </row>
    <row r="39" spans="2:22" x14ac:dyDescent="0.25">
      <c r="B39" s="49" t="s">
        <v>186</v>
      </c>
      <c r="C39" s="153"/>
      <c r="D39" s="51"/>
      <c r="E39" s="132">
        <v>4</v>
      </c>
      <c r="F39" s="51" t="s">
        <v>185</v>
      </c>
      <c r="G39" s="51" t="s">
        <v>187</v>
      </c>
      <c r="H39" s="51"/>
      <c r="I39" s="75"/>
    </row>
    <row r="42" spans="2:22" x14ac:dyDescent="0.25">
      <c r="B42" t="s">
        <v>193</v>
      </c>
    </row>
    <row r="43" spans="2:22" x14ac:dyDescent="0.25">
      <c r="B43" s="16" t="s">
        <v>192</v>
      </c>
      <c r="C43" s="131">
        <v>3.5000000000000003E-2</v>
      </c>
    </row>
    <row r="44" spans="2:22" x14ac:dyDescent="0.25">
      <c r="B44" s="53" t="s">
        <v>191</v>
      </c>
      <c r="C44" s="39">
        <v>2.3E-2</v>
      </c>
    </row>
    <row r="45" spans="2:22" x14ac:dyDescent="0.25">
      <c r="B45" s="53" t="s">
        <v>13</v>
      </c>
      <c r="C45" s="39">
        <v>0.14799999999999999</v>
      </c>
    </row>
    <row r="46" spans="2:22" x14ac:dyDescent="0.25">
      <c r="B46" s="53" t="s">
        <v>14</v>
      </c>
      <c r="C46" s="39">
        <v>0.08</v>
      </c>
    </row>
    <row r="47" spans="2:22" x14ac:dyDescent="0.25">
      <c r="B47" s="53" t="s">
        <v>15</v>
      </c>
      <c r="C47" s="39">
        <v>3.5999999999999997E-2</v>
      </c>
    </row>
    <row r="48" spans="2:22" x14ac:dyDescent="0.25">
      <c r="B48" s="53" t="s">
        <v>16</v>
      </c>
      <c r="C48" s="39">
        <v>1.2999999999999999E-2</v>
      </c>
      <c r="V48" s="136"/>
    </row>
    <row r="49" spans="2:3" x14ac:dyDescent="0.25">
      <c r="B49" s="53" t="s">
        <v>17</v>
      </c>
      <c r="C49" s="39">
        <v>4.0000000000000001E-3</v>
      </c>
    </row>
    <row r="50" spans="2:3" x14ac:dyDescent="0.25">
      <c r="B50" s="53" t="s">
        <v>18</v>
      </c>
      <c r="C50" s="39">
        <v>2E-3</v>
      </c>
    </row>
    <row r="51" spans="2:3" x14ac:dyDescent="0.25">
      <c r="B51" s="53" t="s">
        <v>19</v>
      </c>
      <c r="C51" s="39">
        <v>2E-3</v>
      </c>
    </row>
    <row r="52" spans="2:3" x14ac:dyDescent="0.25">
      <c r="B52" s="54" t="s">
        <v>20</v>
      </c>
      <c r="C52" s="39">
        <v>2E-3</v>
      </c>
    </row>
    <row r="53" spans="2:3" x14ac:dyDescent="0.25">
      <c r="B53" s="55" t="s">
        <v>21</v>
      </c>
      <c r="C53" s="40">
        <v>0</v>
      </c>
    </row>
    <row r="55" spans="2:3" x14ac:dyDescent="0.25">
      <c r="B55" t="s">
        <v>206</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$B$43:$B$53</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E85"/>
  <sheetViews>
    <sheetView tabSelected="1" zoomScaleNormal="100" workbookViewId="0">
      <selection activeCell="W7" sqref="W7"/>
    </sheetView>
  </sheetViews>
  <sheetFormatPr defaultRowHeight="15" x14ac:dyDescent="0.25"/>
  <cols>
    <col min="1" max="1" width="44.28515625" customWidth="1"/>
    <col min="2" max="2" width="16.7109375" bestFit="1" customWidth="1"/>
    <col min="3" max="3" width="10.7109375" bestFit="1" customWidth="1"/>
    <col min="4" max="4" width="13.5703125" bestFit="1" customWidth="1"/>
    <col min="5" max="5" width="10.7109375" bestFit="1" customWidth="1"/>
    <col min="6" max="6" width="11.28515625" customWidth="1"/>
    <col min="7" max="7" width="10.7109375" customWidth="1"/>
    <col min="8" max="8" width="10.85546875" bestFit="1" customWidth="1"/>
    <col min="9" max="9" width="10.7109375" bestFit="1" customWidth="1"/>
    <col min="10" max="11" width="10.85546875" bestFit="1" customWidth="1"/>
    <col min="12" max="12" width="10.5703125" customWidth="1"/>
    <col min="13" max="13" width="11.28515625" bestFit="1" customWidth="1"/>
    <col min="14" max="14" width="11" customWidth="1"/>
    <col min="15" max="15" width="10.7109375" customWidth="1"/>
    <col min="16" max="17" width="10.85546875" bestFit="1" customWidth="1"/>
    <col min="18" max="18" width="10.85546875" customWidth="1"/>
    <col min="19" max="20" width="10.85546875" bestFit="1" customWidth="1"/>
    <col min="21" max="21" width="11.28515625" customWidth="1"/>
    <col min="22" max="23" width="10.7109375" bestFit="1" customWidth="1"/>
    <col min="24" max="24" width="10.7109375" customWidth="1"/>
    <col min="25" max="25" width="11.28515625" customWidth="1"/>
    <col min="26" max="26" width="10.85546875" bestFit="1" customWidth="1"/>
    <col min="27" max="27" width="11.28515625" bestFit="1" customWidth="1"/>
    <col min="28" max="28" width="10.5703125" style="81" bestFit="1" customWidth="1"/>
    <col min="29" max="29" width="11.140625" bestFit="1" customWidth="1"/>
    <col min="30" max="30" width="12.140625" bestFit="1" customWidth="1"/>
  </cols>
  <sheetData>
    <row r="1" spans="1:28" x14ac:dyDescent="0.25">
      <c r="D1" t="s">
        <v>227</v>
      </c>
    </row>
    <row r="2" spans="1:28" x14ac:dyDescent="0.25">
      <c r="D2" s="180">
        <v>43862</v>
      </c>
      <c r="E2" s="181" t="s">
        <v>275</v>
      </c>
      <c r="F2" s="180">
        <f>D2+14</f>
        <v>43876</v>
      </c>
    </row>
    <row r="3" spans="1:28" x14ac:dyDescent="0.25">
      <c r="F3" s="180">
        <v>43891</v>
      </c>
      <c r="G3" s="181" t="s">
        <v>276</v>
      </c>
      <c r="H3" s="181"/>
      <c r="I3" s="181"/>
      <c r="J3" s="180">
        <f>F3+14</f>
        <v>43905</v>
      </c>
    </row>
    <row r="4" spans="1:28" x14ac:dyDescent="0.25">
      <c r="G4" s="180">
        <v>43895</v>
      </c>
      <c r="H4" s="181" t="s">
        <v>277</v>
      </c>
      <c r="I4" s="181"/>
      <c r="J4" s="181"/>
      <c r="K4" s="180">
        <f>G4+14</f>
        <v>43909</v>
      </c>
    </row>
    <row r="5" spans="1:28" x14ac:dyDescent="0.25">
      <c r="A5" s="16" t="s">
        <v>0</v>
      </c>
      <c r="B5" s="175">
        <v>25634000</v>
      </c>
      <c r="C5" t="s">
        <v>151</v>
      </c>
      <c r="I5" s="180">
        <v>43901</v>
      </c>
      <c r="J5" s="181" t="s">
        <v>281</v>
      </c>
      <c r="K5" s="181"/>
      <c r="L5" s="181"/>
      <c r="M5" s="180">
        <f>I5+14</f>
        <v>43915</v>
      </c>
    </row>
    <row r="6" spans="1:28" x14ac:dyDescent="0.25">
      <c r="A6" s="16" t="s">
        <v>221</v>
      </c>
      <c r="B6" s="177">
        <v>0.33</v>
      </c>
      <c r="C6" t="s">
        <v>220</v>
      </c>
      <c r="J6" s="180">
        <v>43906</v>
      </c>
      <c r="K6" s="181" t="s">
        <v>278</v>
      </c>
      <c r="L6" s="181"/>
      <c r="M6" s="181"/>
      <c r="N6" s="180">
        <f>J6+14</f>
        <v>43920</v>
      </c>
    </row>
    <row r="7" spans="1:28" x14ac:dyDescent="0.25">
      <c r="A7" s="49" t="s">
        <v>223</v>
      </c>
      <c r="B7" s="176">
        <v>0.2</v>
      </c>
      <c r="K7" s="180">
        <v>43908</v>
      </c>
      <c r="L7" s="217" t="s">
        <v>279</v>
      </c>
      <c r="M7" s="217"/>
      <c r="N7" s="180">
        <f>K7+14</f>
        <v>43922</v>
      </c>
    </row>
    <row r="8" spans="1:28" x14ac:dyDescent="0.25">
      <c r="A8" s="53" t="s">
        <v>144</v>
      </c>
      <c r="B8" s="127">
        <v>2.6</v>
      </c>
      <c r="C8" s="76">
        <f>(B5/1000)*B8</f>
        <v>66648.400000000009</v>
      </c>
      <c r="L8" s="180">
        <v>43911</v>
      </c>
      <c r="M8" s="181" t="s">
        <v>280</v>
      </c>
      <c r="N8" s="181"/>
      <c r="O8" s="180">
        <f>L8+14</f>
        <v>43925</v>
      </c>
    </row>
    <row r="9" spans="1:28" x14ac:dyDescent="0.25">
      <c r="A9" s="53" t="s">
        <v>145</v>
      </c>
      <c r="B9" s="127">
        <v>7.4</v>
      </c>
      <c r="C9" s="73">
        <f>(B5/100000)*B9</f>
        <v>1896.9159999999999</v>
      </c>
      <c r="L9" s="180">
        <v>43913</v>
      </c>
      <c r="M9" s="181" t="s">
        <v>224</v>
      </c>
      <c r="N9" s="181"/>
      <c r="O9" s="180">
        <f>L9+14</f>
        <v>43927</v>
      </c>
    </row>
    <row r="10" spans="1:28" x14ac:dyDescent="0.25">
      <c r="A10" s="16" t="s">
        <v>176</v>
      </c>
      <c r="B10" s="128">
        <v>0.81</v>
      </c>
      <c r="C10" s="2"/>
      <c r="M10" s="182">
        <v>43915</v>
      </c>
      <c r="N10" s="181" t="s">
        <v>225</v>
      </c>
      <c r="O10" s="180">
        <f>M10+14</f>
        <v>43929</v>
      </c>
    </row>
    <row r="11" spans="1:28" x14ac:dyDescent="0.25">
      <c r="A11" s="53" t="s">
        <v>177</v>
      </c>
      <c r="B11" s="129">
        <v>0.14000000000000001</v>
      </c>
      <c r="C11" s="2"/>
      <c r="L11" s="28"/>
      <c r="N11" s="180">
        <v>43920</v>
      </c>
      <c r="O11" s="181" t="s">
        <v>226</v>
      </c>
      <c r="P11" s="180">
        <f>N11+14</f>
        <v>43934</v>
      </c>
    </row>
    <row r="12" spans="1:28" x14ac:dyDescent="0.25">
      <c r="A12" s="49" t="s">
        <v>216</v>
      </c>
      <c r="B12" s="130">
        <v>0.05</v>
      </c>
      <c r="C12" s="2"/>
      <c r="D12" s="267" t="s">
        <v>289</v>
      </c>
      <c r="K12" s="28"/>
      <c r="L12" s="16" t="s">
        <v>164</v>
      </c>
      <c r="M12" s="21"/>
      <c r="N12" s="17"/>
      <c r="Z12" s="198"/>
    </row>
    <row r="13" spans="1:28" x14ac:dyDescent="0.25">
      <c r="A13" s="49" t="s">
        <v>222</v>
      </c>
      <c r="B13" s="77">
        <v>3.5000000000000003E-2</v>
      </c>
      <c r="C13" s="2"/>
      <c r="D13" t="s">
        <v>274</v>
      </c>
      <c r="L13" s="53" t="s">
        <v>152</v>
      </c>
      <c r="M13" s="28"/>
      <c r="N13" s="29"/>
      <c r="Y13" s="199"/>
    </row>
    <row r="14" spans="1:28" x14ac:dyDescent="0.25">
      <c r="A14" s="173" t="s">
        <v>209</v>
      </c>
      <c r="B14" s="174">
        <v>43855</v>
      </c>
      <c r="C14" s="2"/>
      <c r="D14" s="199">
        <f>(X17-G17)/(LOG(X18/G18)/LOG(2))</f>
        <v>13.352941176470589</v>
      </c>
      <c r="E14" s="198"/>
      <c r="J14" s="28"/>
      <c r="K14" s="28"/>
      <c r="L14" s="53"/>
      <c r="M14" s="28" t="s">
        <v>153</v>
      </c>
      <c r="N14" s="29"/>
    </row>
    <row r="15" spans="1:28" x14ac:dyDescent="0.25">
      <c r="A15" s="28"/>
      <c r="B15" s="62" t="s">
        <v>150</v>
      </c>
      <c r="C15" s="22"/>
      <c r="D15" s="28"/>
      <c r="E15" s="28"/>
      <c r="F15" s="28"/>
      <c r="G15" s="28"/>
      <c r="H15" s="28"/>
      <c r="I15" s="28"/>
      <c r="J15" s="28"/>
      <c r="K15" s="28"/>
      <c r="L15" s="53"/>
      <c r="M15" s="28"/>
      <c r="N15" s="29" t="s">
        <v>154</v>
      </c>
      <c r="O15" s="28"/>
      <c r="P15" s="28"/>
      <c r="Q15" s="28"/>
      <c r="R15" s="28"/>
      <c r="S15" s="28"/>
      <c r="T15" s="28"/>
      <c r="U15" s="28"/>
      <c r="V15" s="28"/>
      <c r="W15" s="28"/>
      <c r="X15" s="28"/>
      <c r="AB15" s="172"/>
    </row>
    <row r="16" spans="1:28" x14ac:dyDescent="0.25">
      <c r="A16" s="65" t="s">
        <v>133</v>
      </c>
      <c r="B16" s="215">
        <v>43892</v>
      </c>
      <c r="C16" s="215">
        <v>43908</v>
      </c>
      <c r="D16" s="215">
        <v>43914</v>
      </c>
      <c r="E16" s="215">
        <v>43919</v>
      </c>
      <c r="F16" s="215"/>
      <c r="G16" s="216" t="s">
        <v>165</v>
      </c>
      <c r="H16" s="28"/>
      <c r="I16" s="28"/>
      <c r="J16" s="28"/>
      <c r="K16" s="28"/>
      <c r="L16" s="49"/>
      <c r="M16" s="51"/>
      <c r="N16" s="75"/>
      <c r="O16" s="102" t="s">
        <v>292</v>
      </c>
      <c r="P16" s="205" t="s">
        <v>290</v>
      </c>
      <c r="Q16" s="28"/>
      <c r="R16" s="28"/>
      <c r="S16" s="28"/>
      <c r="U16" s="28"/>
      <c r="V16" s="28"/>
      <c r="W16" s="28"/>
      <c r="X16" s="28"/>
      <c r="Y16" s="267" t="s">
        <v>291</v>
      </c>
    </row>
    <row r="17" spans="1:31" x14ac:dyDescent="0.25">
      <c r="A17" s="16" t="s">
        <v>12</v>
      </c>
      <c r="B17" s="178">
        <v>4</v>
      </c>
      <c r="C17" s="179">
        <v>3</v>
      </c>
      <c r="D17" s="97">
        <v>5</v>
      </c>
      <c r="E17" s="21">
        <v>20</v>
      </c>
      <c r="F17" s="21"/>
      <c r="G17" s="263">
        <v>43892</v>
      </c>
      <c r="H17" s="264">
        <f>G17+HLOOKUP(G17+1, $B$16:$F$17,2,TRUE)</f>
        <v>43896</v>
      </c>
      <c r="I17" s="264">
        <f t="shared" ref="I17:X17" si="0">H17+HLOOKUP(H17+1, $B$16:$F$17,2,TRUE)</f>
        <v>43900</v>
      </c>
      <c r="J17" s="264">
        <f t="shared" si="0"/>
        <v>43904</v>
      </c>
      <c r="K17" s="264">
        <f t="shared" si="0"/>
        <v>43908</v>
      </c>
      <c r="L17" s="278">
        <f t="shared" si="0"/>
        <v>43911</v>
      </c>
      <c r="M17" s="279">
        <f t="shared" si="0"/>
        <v>43914</v>
      </c>
      <c r="N17" s="280">
        <f t="shared" si="0"/>
        <v>43919</v>
      </c>
      <c r="O17" s="281">
        <f t="shared" si="0"/>
        <v>43939</v>
      </c>
      <c r="P17" s="282">
        <f t="shared" si="0"/>
        <v>43959</v>
      </c>
      <c r="Q17" s="283">
        <f t="shared" si="0"/>
        <v>43979</v>
      </c>
      <c r="R17" s="283">
        <f t="shared" si="0"/>
        <v>43999</v>
      </c>
      <c r="S17" s="283">
        <f t="shared" si="0"/>
        <v>44019</v>
      </c>
      <c r="T17" s="283">
        <f t="shared" si="0"/>
        <v>44039</v>
      </c>
      <c r="U17" s="283">
        <f t="shared" si="0"/>
        <v>44059</v>
      </c>
      <c r="V17" s="283">
        <f t="shared" si="0"/>
        <v>44079</v>
      </c>
      <c r="W17" s="283">
        <f t="shared" si="0"/>
        <v>44099</v>
      </c>
      <c r="X17" s="284">
        <f t="shared" si="0"/>
        <v>44119</v>
      </c>
      <c r="Y17" s="285">
        <f>X17+HLOOKUP(X17+1, $B$16:$F$17,2,TRUE)</f>
        <v>44139</v>
      </c>
      <c r="Z17" s="286">
        <f>Y17+HLOOKUP(Y17+1, $B$16:$F$17,2,TRUE)</f>
        <v>44159</v>
      </c>
      <c r="AA17" s="265">
        <f>Z17+HLOOKUP(Z17+1, $B$16:$F$17,2,TRUE)</f>
        <v>44179</v>
      </c>
      <c r="AB17" s="266">
        <f>AA17+(7*8)</f>
        <v>44235</v>
      </c>
      <c r="AC17" s="82"/>
      <c r="AD17" s="82"/>
      <c r="AE17" s="81"/>
    </row>
    <row r="18" spans="1:31" x14ac:dyDescent="0.25">
      <c r="A18" s="53" t="s">
        <v>214</v>
      </c>
      <c r="B18" s="28"/>
      <c r="C18" s="28"/>
      <c r="D18" s="28"/>
      <c r="E18" s="28"/>
      <c r="F18" s="28"/>
      <c r="G18" s="257">
        <v>31.25</v>
      </c>
      <c r="H18" s="258">
        <f>G18*2</f>
        <v>62.5</v>
      </c>
      <c r="I18" s="258">
        <f t="shared" ref="I18:W18" si="1">H18*2</f>
        <v>125</v>
      </c>
      <c r="J18" s="258">
        <f t="shared" si="1"/>
        <v>250</v>
      </c>
      <c r="K18" s="277">
        <f t="shared" si="1"/>
        <v>500</v>
      </c>
      <c r="L18" s="259">
        <f t="shared" si="1"/>
        <v>1000</v>
      </c>
      <c r="M18" s="258">
        <f t="shared" si="1"/>
        <v>2000</v>
      </c>
      <c r="N18" s="277">
        <f t="shared" si="1"/>
        <v>4000</v>
      </c>
      <c r="O18" s="260">
        <f t="shared" si="1"/>
        <v>8000</v>
      </c>
      <c r="P18" s="259">
        <f>O18*2</f>
        <v>16000</v>
      </c>
      <c r="Q18" s="258">
        <f>P18*2</f>
        <v>32000</v>
      </c>
      <c r="R18" s="258">
        <f>Q18*2</f>
        <v>64000</v>
      </c>
      <c r="S18" s="258">
        <f>R18*2</f>
        <v>128000</v>
      </c>
      <c r="T18" s="258">
        <f t="shared" si="1"/>
        <v>256000</v>
      </c>
      <c r="U18" s="258">
        <f t="shared" si="1"/>
        <v>512000</v>
      </c>
      <c r="V18" s="258">
        <f t="shared" si="1"/>
        <v>1024000</v>
      </c>
      <c r="W18" s="258">
        <f t="shared" si="1"/>
        <v>2048000</v>
      </c>
      <c r="X18" s="258">
        <f>W18*2</f>
        <v>4096000</v>
      </c>
      <c r="Y18" s="243">
        <f>X18*2</f>
        <v>8192000</v>
      </c>
      <c r="Z18" s="245">
        <f>Y18*2</f>
        <v>16384000</v>
      </c>
      <c r="AA18" s="243">
        <f>B5</f>
        <v>25634000</v>
      </c>
      <c r="AB18" s="242">
        <f>B5*AB19</f>
        <v>5126800</v>
      </c>
      <c r="AC18" s="57"/>
      <c r="AD18" s="57"/>
      <c r="AE18" s="81"/>
    </row>
    <row r="19" spans="1:31" x14ac:dyDescent="0.25">
      <c r="A19" s="53" t="s">
        <v>215</v>
      </c>
      <c r="B19" s="28"/>
      <c r="C19" s="28"/>
      <c r="D19" s="28"/>
      <c r="E19" s="28"/>
      <c r="F19" s="28"/>
      <c r="G19" s="220">
        <f t="shared" ref="G19:W19" si="2">G18/$B$5</f>
        <v>1.2190840290239525E-6</v>
      </c>
      <c r="H19" s="221">
        <f t="shared" si="2"/>
        <v>2.438168058047905E-6</v>
      </c>
      <c r="I19" s="78">
        <f t="shared" si="2"/>
        <v>4.87633611609581E-6</v>
      </c>
      <c r="J19" s="48">
        <f t="shared" si="2"/>
        <v>9.7526722321916199E-6</v>
      </c>
      <c r="K19" s="219">
        <f t="shared" si="2"/>
        <v>1.950534446438324E-5</v>
      </c>
      <c r="L19" s="103">
        <f t="shared" si="2"/>
        <v>3.901068892876648E-5</v>
      </c>
      <c r="M19" s="48">
        <f t="shared" si="2"/>
        <v>7.8021377857532959E-5</v>
      </c>
      <c r="N19" s="219">
        <f t="shared" si="2"/>
        <v>1.5604275571506592E-4</v>
      </c>
      <c r="O19" s="261">
        <f t="shared" si="2"/>
        <v>3.1208551143013184E-4</v>
      </c>
      <c r="P19" s="18">
        <f>P18/$B$5</f>
        <v>6.2417102286026367E-4</v>
      </c>
      <c r="Q19" s="26">
        <f>Q18/$B$5</f>
        <v>1.2483420457205273E-3</v>
      </c>
      <c r="R19" s="26">
        <f>R18/$B$5</f>
        <v>2.4966840914410547E-3</v>
      </c>
      <c r="S19" s="27">
        <f>S18/$B$5</f>
        <v>4.9933681828821094E-3</v>
      </c>
      <c r="T19" s="87">
        <f t="shared" si="2"/>
        <v>9.9867363657642188E-3</v>
      </c>
      <c r="U19" s="87">
        <f t="shared" si="2"/>
        <v>1.9973472731528438E-2</v>
      </c>
      <c r="V19" s="87">
        <f t="shared" si="2"/>
        <v>3.9946945463056875E-2</v>
      </c>
      <c r="W19" s="87">
        <f t="shared" si="2"/>
        <v>7.989389092611375E-2</v>
      </c>
      <c r="X19" s="87">
        <f>X18/$B$5</f>
        <v>0.1597877818522275</v>
      </c>
      <c r="Y19" s="200">
        <f>Y18/$B$5</f>
        <v>0.319575563704455</v>
      </c>
      <c r="Z19" s="201">
        <f>Z18/$B$5</f>
        <v>0.63915112740891</v>
      </c>
      <c r="AA19" s="200">
        <f>AA18/$B$5</f>
        <v>1</v>
      </c>
      <c r="AB19" s="222">
        <f>B7</f>
        <v>0.2</v>
      </c>
      <c r="AC19" s="37"/>
      <c r="AD19" s="37"/>
      <c r="AE19" s="81"/>
    </row>
    <row r="20" spans="1:31" x14ac:dyDescent="0.25">
      <c r="A20" s="53" t="s">
        <v>270</v>
      </c>
      <c r="B20" s="28"/>
      <c r="C20" s="28"/>
      <c r="D20" s="28"/>
      <c r="E20" s="28"/>
      <c r="F20" s="28"/>
      <c r="G20" s="237">
        <f t="shared" ref="G20:P20" si="3">MAX(G18-(G26-G27)-(G28-G29)-(G30-G31),0)</f>
        <v>24.265765877326587</v>
      </c>
      <c r="H20" s="238">
        <f t="shared" si="3"/>
        <v>52.341310045514575</v>
      </c>
      <c r="I20" s="238">
        <f t="shared" si="3"/>
        <v>110.22400884925365</v>
      </c>
      <c r="J20" s="238">
        <f t="shared" si="3"/>
        <v>228.5080639860916</v>
      </c>
      <c r="K20" s="239">
        <f t="shared" si="3"/>
        <v>467.58784320085459</v>
      </c>
      <c r="L20" s="237">
        <f t="shared" si="3"/>
        <v>937.32610483185385</v>
      </c>
      <c r="M20" s="238">
        <f t="shared" si="3"/>
        <v>1905.9375</v>
      </c>
      <c r="N20" s="239">
        <f t="shared" si="3"/>
        <v>3751.8856084047097</v>
      </c>
      <c r="O20" s="297">
        <f t="shared" si="3"/>
        <v>941.49084701957872</v>
      </c>
      <c r="P20" s="237">
        <f t="shared" si="3"/>
        <v>1909.8446839081641</v>
      </c>
      <c r="Q20" s="238">
        <f>MAX(Q18-(Q26-Q27)-(Q28-Q29)-(Q30-Q31),0)</f>
        <v>0</v>
      </c>
      <c r="R20" s="238">
        <f t="shared" ref="R20:AA20" si="4">MAX(R18-(R26-R27)-(R28-R29)-(R30-R31),0)</f>
        <v>11661.080933671361</v>
      </c>
      <c r="S20" s="238">
        <f t="shared" si="4"/>
        <v>34068.571427948045</v>
      </c>
      <c r="T20" s="238">
        <f t="shared" si="4"/>
        <v>78664.354720195537</v>
      </c>
      <c r="U20" s="238">
        <f t="shared" si="4"/>
        <v>170295.60417416511</v>
      </c>
      <c r="V20" s="238">
        <f t="shared" si="4"/>
        <v>358446.06679598964</v>
      </c>
      <c r="W20" s="238">
        <f t="shared" si="4"/>
        <v>743170.56786655122</v>
      </c>
      <c r="X20" s="238">
        <f t="shared" si="4"/>
        <v>1526792.8569841459</v>
      </c>
      <c r="Y20" s="227">
        <f t="shared" si="4"/>
        <v>3117921.0346985217</v>
      </c>
      <c r="Z20" s="228">
        <f t="shared" si="4"/>
        <v>6340750.2685381398</v>
      </c>
      <c r="AA20" s="227">
        <f t="shared" si="4"/>
        <v>5721993.8564827228</v>
      </c>
      <c r="AB20" s="242"/>
      <c r="AC20" s="57"/>
      <c r="AD20" s="57"/>
      <c r="AE20" s="81"/>
    </row>
    <row r="21" spans="1:31" x14ac:dyDescent="0.25">
      <c r="A21" s="53" t="s">
        <v>293</v>
      </c>
      <c r="B21" s="28"/>
      <c r="C21" s="28"/>
      <c r="D21" s="28"/>
      <c r="E21" s="28"/>
      <c r="F21" s="28"/>
      <c r="G21" s="99">
        <f>G18-G20</f>
        <v>6.9842341226734135</v>
      </c>
      <c r="H21" s="100">
        <f t="shared" ref="H21:AA21" si="5">H18-H20</f>
        <v>10.158689954485425</v>
      </c>
      <c r="I21" s="100">
        <f t="shared" si="5"/>
        <v>14.77599115074635</v>
      </c>
      <c r="J21" s="100">
        <f t="shared" si="5"/>
        <v>21.491936013908401</v>
      </c>
      <c r="K21" s="138">
        <f t="shared" si="5"/>
        <v>32.412156799145407</v>
      </c>
      <c r="L21" s="289">
        <f t="shared" si="5"/>
        <v>62.673895168146146</v>
      </c>
      <c r="M21" s="137">
        <f t="shared" si="5"/>
        <v>94.0625</v>
      </c>
      <c r="N21" s="138">
        <f t="shared" si="5"/>
        <v>248.11439159529027</v>
      </c>
      <c r="O21" s="298">
        <f t="shared" si="5"/>
        <v>7058.5091529804213</v>
      </c>
      <c r="P21" s="289">
        <f t="shared" si="5"/>
        <v>14090.155316091836</v>
      </c>
      <c r="Q21" s="137">
        <f t="shared" si="5"/>
        <v>32000</v>
      </c>
      <c r="R21" s="137">
        <f t="shared" si="5"/>
        <v>52338.919066328643</v>
      </c>
      <c r="S21" s="137">
        <f t="shared" si="5"/>
        <v>93931.428572051955</v>
      </c>
      <c r="T21" s="137">
        <f t="shared" si="5"/>
        <v>177335.64527980448</v>
      </c>
      <c r="U21" s="137">
        <f t="shared" si="5"/>
        <v>341704.39582583489</v>
      </c>
      <c r="V21" s="137">
        <f t="shared" si="5"/>
        <v>665553.93320401036</v>
      </c>
      <c r="W21" s="137">
        <f t="shared" si="5"/>
        <v>1304829.4321334488</v>
      </c>
      <c r="X21" s="137">
        <f t="shared" si="5"/>
        <v>2569207.1430158541</v>
      </c>
      <c r="Y21" s="287">
        <f t="shared" si="5"/>
        <v>5074078.9653014783</v>
      </c>
      <c r="Z21" s="288">
        <f t="shared" si="5"/>
        <v>10043249.73146186</v>
      </c>
      <c r="AA21" s="295">
        <f t="shared" si="5"/>
        <v>19912006.143517278</v>
      </c>
      <c r="AB21" s="276"/>
      <c r="AC21" s="37"/>
      <c r="AD21" s="37"/>
      <c r="AE21" s="81"/>
    </row>
    <row r="22" spans="1:31" x14ac:dyDescent="0.25">
      <c r="A22" s="16" t="s">
        <v>284</v>
      </c>
      <c r="B22" s="21"/>
      <c r="C22" s="21"/>
      <c r="D22" s="21"/>
      <c r="E22" s="21"/>
      <c r="F22" s="21"/>
      <c r="G22" s="224">
        <f>G18/$B$6</f>
        <v>94.696969696969688</v>
      </c>
      <c r="H22" s="225">
        <f>H18/$B$6</f>
        <v>189.39393939393938</v>
      </c>
      <c r="I22" s="225">
        <f>I18/$B$6</f>
        <v>378.78787878787875</v>
      </c>
      <c r="J22" s="225">
        <f>J18/$B$6</f>
        <v>757.57575757575751</v>
      </c>
      <c r="K22" s="226">
        <f>K18/$B$6</f>
        <v>1515.151515151515</v>
      </c>
      <c r="L22" s="225">
        <f>L18/$B$6</f>
        <v>3030.30303030303</v>
      </c>
      <c r="M22" s="225">
        <f>M18/$B$6</f>
        <v>6060.6060606060601</v>
      </c>
      <c r="N22" s="226">
        <f>N18/$B$6</f>
        <v>12121.21212121212</v>
      </c>
      <c r="O22" s="225">
        <f>O18/$B$6</f>
        <v>24242.42424242424</v>
      </c>
      <c r="P22" s="224">
        <f>P18/$B$6</f>
        <v>48484.84848484848</v>
      </c>
      <c r="Q22" s="225">
        <f>Q18/$B$6</f>
        <v>96969.696969696961</v>
      </c>
      <c r="R22" s="225">
        <f>R18/$B$6</f>
        <v>193939.39393939392</v>
      </c>
      <c r="S22" s="225">
        <f>S18/$B$6</f>
        <v>387878.78787878784</v>
      </c>
      <c r="T22" s="225">
        <f>T18/$B$6</f>
        <v>775757.57575757569</v>
      </c>
      <c r="U22" s="225">
        <f>U18/$B$6</f>
        <v>1551515.1515151514</v>
      </c>
      <c r="V22" s="225">
        <f>V18/$B$6</f>
        <v>3103030.3030303027</v>
      </c>
      <c r="W22" s="225">
        <f>W18/$B$6</f>
        <v>6206060.6060606055</v>
      </c>
      <c r="X22" s="225">
        <f>X18/$B$6</f>
        <v>12412121.212121211</v>
      </c>
      <c r="Y22" s="227">
        <f>Y18/$B$6</f>
        <v>24824242.424242422</v>
      </c>
      <c r="Z22" s="228">
        <f>B5</f>
        <v>25634000</v>
      </c>
      <c r="AA22" s="227">
        <f>AA18</f>
        <v>25634000</v>
      </c>
      <c r="AB22" s="242">
        <f>($B$5*$B$7)/$B$6</f>
        <v>15535757.575757574</v>
      </c>
      <c r="AC22" s="37"/>
      <c r="AD22" s="37"/>
      <c r="AE22" s="81"/>
    </row>
    <row r="23" spans="1:31" x14ac:dyDescent="0.25">
      <c r="A23" s="53" t="s">
        <v>219</v>
      </c>
      <c r="B23" s="28"/>
      <c r="C23" s="28"/>
      <c r="D23" s="28"/>
      <c r="E23" s="28"/>
      <c r="F23" s="28"/>
      <c r="G23" s="220">
        <f>G22/$B$5</f>
        <v>3.6941940273453105E-6</v>
      </c>
      <c r="H23" s="78">
        <f t="shared" ref="H23:Y23" si="6">H22/$B$5</f>
        <v>7.388388054690621E-6</v>
      </c>
      <c r="I23" s="78">
        <f t="shared" si="6"/>
        <v>1.4776776109381242E-5</v>
      </c>
      <c r="J23" s="48">
        <f t="shared" si="6"/>
        <v>2.9553552218762484E-5</v>
      </c>
      <c r="K23" s="219">
        <f t="shared" si="6"/>
        <v>5.9107104437524968E-5</v>
      </c>
      <c r="L23" s="48">
        <f t="shared" si="6"/>
        <v>1.1821420887504994E-4</v>
      </c>
      <c r="M23" s="48">
        <f t="shared" si="6"/>
        <v>2.3642841775009987E-4</v>
      </c>
      <c r="N23" s="223">
        <f t="shared" si="6"/>
        <v>4.7285683550019975E-4</v>
      </c>
      <c r="O23" s="27">
        <f t="shared" si="6"/>
        <v>9.4571367100039949E-4</v>
      </c>
      <c r="P23" s="20">
        <f t="shared" si="6"/>
        <v>1.891427342000799E-3</v>
      </c>
      <c r="Q23" s="27">
        <f t="shared" si="6"/>
        <v>3.782854684001598E-3</v>
      </c>
      <c r="R23" s="27">
        <f t="shared" si="6"/>
        <v>7.5657093680031959E-3</v>
      </c>
      <c r="S23" s="27">
        <f t="shared" si="6"/>
        <v>1.5131418736006392E-2</v>
      </c>
      <c r="T23" s="87">
        <f t="shared" si="6"/>
        <v>3.0262837472012784E-2</v>
      </c>
      <c r="U23" s="87">
        <f t="shared" si="6"/>
        <v>6.0525674944025568E-2</v>
      </c>
      <c r="V23" s="87">
        <f t="shared" si="6"/>
        <v>0.12105134988805114</v>
      </c>
      <c r="W23" s="87">
        <f t="shared" si="6"/>
        <v>0.24210269977610227</v>
      </c>
      <c r="X23" s="87">
        <f t="shared" si="6"/>
        <v>0.48420539955220454</v>
      </c>
      <c r="Y23" s="200">
        <f t="shared" si="6"/>
        <v>0.96841079910440908</v>
      </c>
      <c r="Z23" s="201">
        <f>Z22/$B$5</f>
        <v>1</v>
      </c>
      <c r="AA23" s="200">
        <v>1</v>
      </c>
      <c r="AB23" s="222">
        <f>AB22/B5</f>
        <v>0.60606060606060597</v>
      </c>
      <c r="AC23" s="37"/>
      <c r="AD23" s="37"/>
      <c r="AE23" s="81"/>
    </row>
    <row r="24" spans="1:31" x14ac:dyDescent="0.25">
      <c r="A24" s="53" t="s">
        <v>282</v>
      </c>
      <c r="B24" s="28"/>
      <c r="C24" s="28"/>
      <c r="D24" s="28"/>
      <c r="E24" s="28"/>
      <c r="F24" s="28"/>
      <c r="G24" s="224">
        <f>G22-G18</f>
        <v>63.446969696969688</v>
      </c>
      <c r="H24" s="225">
        <f>H22-H18</f>
        <v>126.89393939393938</v>
      </c>
      <c r="I24" s="225">
        <f>I22-I18</f>
        <v>253.78787878787875</v>
      </c>
      <c r="J24" s="225">
        <f>J22-J18</f>
        <v>507.57575757575751</v>
      </c>
      <c r="K24" s="226">
        <f>K22-K18</f>
        <v>1015.151515151515</v>
      </c>
      <c r="L24" s="225">
        <f>L22-L18</f>
        <v>2030.30303030303</v>
      </c>
      <c r="M24" s="225">
        <f>M22-M18</f>
        <v>4060.6060606060601</v>
      </c>
      <c r="N24" s="226">
        <f>N22-N18</f>
        <v>8121.2121212121201</v>
      </c>
      <c r="O24" s="225">
        <f>O22-O18</f>
        <v>16242.42424242424</v>
      </c>
      <c r="P24" s="224">
        <f>P22-P18</f>
        <v>32484.84848484848</v>
      </c>
      <c r="Q24" s="225">
        <f>Q22-Q18</f>
        <v>64969.696969696961</v>
      </c>
      <c r="R24" s="225">
        <f>R22-R18</f>
        <v>129939.39393939392</v>
      </c>
      <c r="S24" s="225">
        <f>S22-S18</f>
        <v>259878.78787878784</v>
      </c>
      <c r="T24" s="225">
        <f>T22-T18</f>
        <v>519757.57575757569</v>
      </c>
      <c r="U24" s="225">
        <f>U22-U18</f>
        <v>1039515.1515151514</v>
      </c>
      <c r="V24" s="225">
        <f>V22-V18</f>
        <v>2079030.3030303027</v>
      </c>
      <c r="W24" s="225">
        <f>W22-W18</f>
        <v>4158060.6060606055</v>
      </c>
      <c r="X24" s="225">
        <f>X22-X18</f>
        <v>8316121.212121211</v>
      </c>
      <c r="Y24" s="227">
        <f>Y22-Y18</f>
        <v>16632242.424242422</v>
      </c>
      <c r="Z24" s="228">
        <f>Z22</f>
        <v>25634000</v>
      </c>
      <c r="AA24" s="227">
        <f>AA22</f>
        <v>25634000</v>
      </c>
      <c r="AB24" s="229">
        <f>AB22-AB18</f>
        <v>10408957.575757574</v>
      </c>
      <c r="AC24" s="37"/>
      <c r="AD24" s="37"/>
      <c r="AE24" s="81"/>
    </row>
    <row r="25" spans="1:31" x14ac:dyDescent="0.25">
      <c r="A25" s="49" t="s">
        <v>283</v>
      </c>
      <c r="B25" s="51"/>
      <c r="C25" s="51"/>
      <c r="D25" s="51"/>
      <c r="E25" s="51"/>
      <c r="F25" s="51"/>
      <c r="G25" s="240">
        <f>(1/$B$6)*(2^(((G17 - 14) - $B$14)/$G$43))</f>
        <v>26.12882200775687</v>
      </c>
      <c r="H25" s="241">
        <f>(1/$B$6)*(2^(((H17 - 14) - $B$14)/$G$43))</f>
        <v>38.004825867884122</v>
      </c>
      <c r="I25" s="241">
        <f>(1/$B$6)*(2^(((I17 - 14) - $B$14)/$G$43))</f>
        <v>55.278679950416588</v>
      </c>
      <c r="J25" s="241">
        <f>(1/$B$6)*(2^(((J17 - 14) - $B$14)/$G$43))</f>
        <v>80.403801024722753</v>
      </c>
      <c r="K25" s="226">
        <f>($G$18/$B$6)*(2^(((K17 - 14) - $G$17)/HLOOKUP((K17-14)-$B$14,$G$41:$AB$43,3,TRUE)))</f>
        <v>114.20774065942726</v>
      </c>
      <c r="L25" s="225">
        <f>($G$18/$B$6)*(2^(((L17 - 14) - $G$17)/HLOOKUP((L17-14)-$B$14,$G$41:$AB$43,3,TRUE)))</f>
        <v>220.83824935921811</v>
      </c>
      <c r="M25" s="225">
        <f>($G$18/$B$6)*(2^(((M17 - 14) - $G$17)/HLOOKUP((M17-14)-$B$14,$G$41:$AB$43,3,TRUE)))</f>
        <v>331.43939393939388</v>
      </c>
      <c r="N25" s="226">
        <f>($G$18/$B$6)*(2^(((N17 - 14) - $G$17)/HLOOKUP((N17-14)-$B$14,$G$41:$AB$43,3,TRUE)))</f>
        <v>874.25789850348917</v>
      </c>
      <c r="O25" s="233">
        <f>($G$18/$B$6)*(2^(((O17 - 14) - $G$17)/HLOOKUP((O17-14)-$B$14,$G$41:$AB$43,3,TRUE)))</f>
        <v>34442.8136884864</v>
      </c>
      <c r="P25" s="224">
        <f>($G$18/$B$6)*(2^(((P17 - 14) - $G$17)/HLOOKUP((P17-14)-$B$14,$G$41:$AB$43,3,TRUE)))</f>
        <v>47906.681863783801</v>
      </c>
      <c r="Q25" s="225">
        <f>($G$18/$B$6)*(2^(((Q17 - 14) - $G$17)/HLOOKUP((Q17-14)-$B$14,$G$41:$AB$43,3,TRUE)))</f>
        <v>82604.725526917726</v>
      </c>
      <c r="R25" s="225">
        <f>($G$18/$B$6)*(2^(((R17 - 14) - $G$17)/HLOOKUP((R17-14)-$B$14,$G$41:$AB$43,3,TRUE)))</f>
        <v>152486.93442811928</v>
      </c>
      <c r="S25" s="225">
        <f>($G$18/$B$6)*(2^(((S17 - 14) - $G$17)/HLOOKUP((S17-14)-$B$14,$G$41:$AB$43,3,TRUE)))</f>
        <v>290048.45950762229</v>
      </c>
      <c r="T25" s="225">
        <f>($G$18/$B$6)*(2^(((T17 - 14) - $G$17)/HLOOKUP((T17-14)-$B$14,$G$41:$AB$43,3,TRUE)))</f>
        <v>560495.5071612146</v>
      </c>
      <c r="U25" s="225">
        <f>($G$18/$B$6)*(2^(((U17 - 14) - $G$17)/HLOOKUP((U17-14)-$B$14,$G$41:$AB$43,3,TRUE)))</f>
        <v>1093291.2295502578</v>
      </c>
      <c r="V25" s="225">
        <f>($G$18/$B$6)*(2^(((V17 - 14) - $G$17)/HLOOKUP((V17-14)-$B$14,$G$41:$AB$43,3,TRUE)))</f>
        <v>2145370.4349687989</v>
      </c>
      <c r="W25" s="225">
        <f>($G$18/$B$6)*(2^(((W17 - 14) - $G$17)/HLOOKUP((W17-14)-$B$14,$G$41:$AB$43,3,TRUE)))</f>
        <v>4227039.7009819839</v>
      </c>
      <c r="X25" s="225">
        <f>($G$18/$B$6)*(2^(((X17 - 14) - $G$17)/HLOOKUP((X17-14)-$B$14,$G$41:$AB$43,3,TRUE)))</f>
        <v>8352675.7073556874</v>
      </c>
      <c r="Y25" s="227">
        <f>($G$18/$B$6)*(2^(((Y17 - 14) - $G$17)/HLOOKUP((Y17-14)-$B$14,$G$41:$AB$43,3,TRUE)))</f>
        <v>16540109.693340858</v>
      </c>
      <c r="Z25" s="228">
        <f>($G$18/$B$6)*(2^(((Z17 - 14) - $G$17)/HLOOKUP((Z17-14)-$B$14,$G$41:$AB$43,3,TRUE)))</f>
        <v>32805774.64831448</v>
      </c>
      <c r="AA25" s="236">
        <f>($G$18/$B$6)*(2^(((AA17 - 14) - $G$17)/HLOOKUP((AA17-14)-$B$14,$G$41:$AB$43,3,TRUE)))</f>
        <v>65148473.496286839</v>
      </c>
      <c r="AB25" s="229"/>
      <c r="AC25" s="37"/>
      <c r="AD25" s="37"/>
      <c r="AE25" s="81"/>
    </row>
    <row r="26" spans="1:31" x14ac:dyDescent="0.25">
      <c r="A26" s="53" t="s">
        <v>273</v>
      </c>
      <c r="B26" s="28"/>
      <c r="C26" s="28"/>
      <c r="D26" s="28"/>
      <c r="E26" s="28"/>
      <c r="F26" s="28"/>
      <c r="G26" s="290">
        <f>G18*$B$10</f>
        <v>25.3125</v>
      </c>
      <c r="H26" s="291">
        <f>H18*$B$10</f>
        <v>50.625</v>
      </c>
      <c r="I26" s="291">
        <f>I18*$B$10</f>
        <v>101.25</v>
      </c>
      <c r="J26" s="291">
        <f>J18*$B$10</f>
        <v>202.5</v>
      </c>
      <c r="K26" s="291">
        <f>K18*$B$10</f>
        <v>405</v>
      </c>
      <c r="L26" s="290">
        <f>L18*$B$10</f>
        <v>810</v>
      </c>
      <c r="M26" s="291">
        <f>M18*$B$10</f>
        <v>1620</v>
      </c>
      <c r="N26" s="292">
        <f>N18*$B$10</f>
        <v>3240</v>
      </c>
      <c r="O26" s="291">
        <f>O18*$B$10</f>
        <v>6480</v>
      </c>
      <c r="P26" s="290">
        <f>P18*$B$10</f>
        <v>12960</v>
      </c>
      <c r="Q26" s="291">
        <f>Q18*$B$10</f>
        <v>25920</v>
      </c>
      <c r="R26" s="291">
        <f>R18*$B$10</f>
        <v>51840</v>
      </c>
      <c r="S26" s="291">
        <f>S18*$B$10</f>
        <v>103680</v>
      </c>
      <c r="T26" s="291">
        <f>T18*$B$10</f>
        <v>207360</v>
      </c>
      <c r="U26" s="291">
        <f>U18*$B$10</f>
        <v>414720</v>
      </c>
      <c r="V26" s="291">
        <f>V18*$B$10</f>
        <v>829440</v>
      </c>
      <c r="W26" s="291">
        <f>W18*$B$10</f>
        <v>1658880</v>
      </c>
      <c r="X26" s="291">
        <f>X18*$B$10</f>
        <v>3317760</v>
      </c>
      <c r="Y26" s="243">
        <f>Y18*$B$10</f>
        <v>6635520</v>
      </c>
      <c r="Z26" s="245">
        <f>Z18*$B$10</f>
        <v>13271040</v>
      </c>
      <c r="AA26" s="227">
        <f>AA18*$B$10</f>
        <v>20763540</v>
      </c>
      <c r="AB26" s="229">
        <f>AB18*B10</f>
        <v>4152708.0000000005</v>
      </c>
      <c r="AC26" s="37"/>
      <c r="AD26" s="37"/>
      <c r="AE26" s="81"/>
    </row>
    <row r="27" spans="1:31" x14ac:dyDescent="0.25">
      <c r="A27" s="53" t="s">
        <v>294</v>
      </c>
      <c r="B27" s="28"/>
      <c r="C27" s="28"/>
      <c r="D27" s="28"/>
      <c r="E27" s="28"/>
      <c r="F27" s="28"/>
      <c r="G27" s="230">
        <f>G26-(1*$B$10)*(2^(((G17 - 14) - $B$14)/$G$43))</f>
        <v>18.328265877326587</v>
      </c>
      <c r="H27" s="231">
        <f>H26-(1*$B$10)*(2^(((H17 - 14) - $B$14)/$G$43))</f>
        <v>40.466310045514575</v>
      </c>
      <c r="I27" s="231">
        <f>I26-(1*$B$10)*(2^(((I17 - 14) - $B$14)/$G$43))</f>
        <v>86.47400884925365</v>
      </c>
      <c r="J27" s="231">
        <f>J26-(1*$B$10)*(2^(((J17 - 14) - $B$14)/$G$43))</f>
        <v>181.0080639860916</v>
      </c>
      <c r="K27" s="246">
        <f t="shared" ref="K27:N27" si="7">MAX(K26-(($G$18*$B$10)*(2^(((K17 -14) - $G$17)/HLOOKUP((K17-14)-$B$14,$G$41:$AB$43,3,TRUE)))),0)</f>
        <v>374.47227092173512</v>
      </c>
      <c r="L27" s="247">
        <f t="shared" si="7"/>
        <v>750.969935946281</v>
      </c>
      <c r="M27" s="246">
        <f t="shared" si="7"/>
        <v>1531.40625</v>
      </c>
      <c r="N27" s="293">
        <f t="shared" si="7"/>
        <v>3006.3108637300174</v>
      </c>
      <c r="O27" s="246">
        <f>MAX(O26-(($G$18*$B$10)*(2^(((O17 -14) - $G$17)/HLOOKUP((O17-14)-$B$14,$G$41:$AB$43,3,TRUE)))),0)</f>
        <v>0</v>
      </c>
      <c r="P27" s="247">
        <f t="shared" ref="P27" si="8">MAX(P26-(($G$18*$B$10)*(2^(((P17 -14) - $G$17)/HLOOKUP((P17-14)-$B$14,$G$41:$AB$43,3,TRUE)))),0)</f>
        <v>154.54393781058934</v>
      </c>
      <c r="Q27" s="246">
        <f t="shared" ref="Q27" si="9">MAX(Q26-(($G$18*$B$10)*(2^(((Q17 -14) - $G$17)/HLOOKUP((Q17-14)-$B$14,$G$41:$AB$43,3,TRUE)))),0)</f>
        <v>3839.7568666548905</v>
      </c>
      <c r="R27" s="246">
        <f t="shared" ref="R27" si="10">MAX(R26-(($G$18*$B$10)*(2^(((R17 -14) - $G$17)/HLOOKUP((R17-14)-$B$14,$G$41:$AB$43,3,TRUE)))),0)</f>
        <v>11080.242427363715</v>
      </c>
      <c r="S27" s="246">
        <f t="shared" ref="S27:T27" si="11">MAX(S26-(($G$18*$B$10)*(2^(((S17 -14) - $G$17)/HLOOKUP((S17-14)-$B$14,$G$41:$AB$43,3,TRUE)))),0)</f>
        <v>26150.046773612543</v>
      </c>
      <c r="T27" s="246">
        <f t="shared" si="11"/>
        <v>57539.550935807347</v>
      </c>
      <c r="U27" s="246">
        <f t="shared" ref="U27" si="12">MAX(U26-(($G$18*$B$10)*(2^(((U17 -14) - $G$17)/HLOOKUP((U17-14)-$B$14,$G$41:$AB$43,3,TRUE)))),0)</f>
        <v>122483.25434121606</v>
      </c>
      <c r="V27" s="246">
        <f t="shared" ref="V27" si="13">MAX(V26-(($G$18*$B$10)*(2^(((V17 -14) - $G$17)/HLOOKUP((V17-14)-$B$14,$G$41:$AB$43,3,TRUE)))),0)</f>
        <v>255982.48273284</v>
      </c>
      <c r="W27" s="246">
        <f t="shared" ref="W27" si="14">MAX(W26-(($G$18*$B$10)*(2^(((W17 -14) - $G$17)/HLOOKUP((W17-14)-$B$14,$G$41:$AB$43,3,TRUE)))),0)</f>
        <v>528992.28792751557</v>
      </c>
      <c r="X27" s="246">
        <f t="shared" ref="X27:Y27" si="15">MAX(X26-(($G$18*$B$10)*(2^(((X17 -14) - $G$17)/HLOOKUP((X17-14)-$B$14,$G$41:$AB$43,3,TRUE)))),0)</f>
        <v>1085089.7834238247</v>
      </c>
      <c r="Y27" s="235">
        <f t="shared" si="15"/>
        <v>2214348.6789699877</v>
      </c>
      <c r="Z27" s="236">
        <f t="shared" ref="Z27" si="16">MAX(Z26-(($G$18*$B$10)*(2^(((Z17 -14) - $G$17)/HLOOKUP((Z17-14)-$B$14,$G$41:$AB$43,3,TRUE)))),0)</f>
        <v>4502056.4365055393</v>
      </c>
      <c r="AA27" s="236">
        <f t="shared" ref="AA27" si="17">MAX(AA26-(($G$18*$B$10)*(2^(((AA17 -14) - $G$17)/HLOOKUP((AA17-14)-$B$14,$G$41:$AB$43,3,TRUE)))),0)</f>
        <v>3349353.0344425254</v>
      </c>
      <c r="AB27" s="242">
        <f>AB18*B10</f>
        <v>4152708.0000000005</v>
      </c>
      <c r="AC27" s="37"/>
      <c r="AD27" s="37"/>
      <c r="AE27" s="81"/>
    </row>
    <row r="28" spans="1:31" x14ac:dyDescent="0.25">
      <c r="A28" s="74" t="s">
        <v>217</v>
      </c>
      <c r="B28" s="21"/>
      <c r="C28" s="21"/>
      <c r="D28" s="21"/>
      <c r="E28" s="21"/>
      <c r="F28" s="21"/>
      <c r="G28" s="240">
        <f>(1*($B$11+$B$12))*(2^(((G17 - 7) - $B$14)/$G$43))</f>
        <v>3.1560616297070365</v>
      </c>
      <c r="H28" s="241">
        <f>(1*($B$11+$B$12))*(2^(((H17 - 7) - $B$14)/$G$43))</f>
        <v>4.5905465095103892</v>
      </c>
      <c r="I28" s="225">
        <f>($G$18*($B$11+$B$12))*(2^(((I17-7)-$G$17)/HLOOKUP((I17-7)-$B$14,$G$41:$AB$43,3,TRUE)))</f>
        <v>6.5205368224071405</v>
      </c>
      <c r="J28" s="225">
        <f>($G$18*($B$11+$B$12))*(2^(((J17-7)-$G$17)/HLOOKUP((J17-7)-$B$14,$G$41:$AB$43,3,TRUE)))</f>
        <v>13.846558234822977</v>
      </c>
      <c r="K28" s="225">
        <f>($G$18*($B$11+$B$12))*(2^(((K17-7)-$G$17)/HLOOKUP((K17-7)-$B$14,$G$41:$AB$43,3,TRUE)))</f>
        <v>24.304135205098877</v>
      </c>
      <c r="L28" s="224">
        <f>($G$18*($B$11+$B$12))*(2^(((L17-7)-$G$17)/HLOOKUP((L17-7)-$B$14,$G$41:$AB$43,3,TRUE)))</f>
        <v>46.201171875000007</v>
      </c>
      <c r="M28" s="225">
        <f>($G$18*($B$11+$B$12))*(2^(((M17-7)-$G$17)/HLOOKUP((M17-7)-$B$14,$G$41:$AB$43,3,TRUE)))</f>
        <v>77.164106827176639</v>
      </c>
      <c r="N28" s="226">
        <f>($G$18*($B$11+$B$12))*(2^(((N17-7)-$G$17)/HLOOKUP((N17-7)-$B$14,$G$41:$AB$43,3,TRUE)))</f>
        <v>239.2841574929042</v>
      </c>
      <c r="O28" s="296">
        <f>($G$18*($B$11+$B$12))*(2^(((O17-7)-$G$17)/HLOOKUP((O17-7)-$B$14,$G$41:$AB$43,3,TRUE)))</f>
        <v>7543.2450656814926</v>
      </c>
      <c r="P28" s="255">
        <f>($G$18*($B$11+$B$12))*(2^(((P17-7)-$G$17)/HLOOKUP((P17-7)-$B$14,$G$41:$AB$43,3,TRUE)))</f>
        <v>6836.0248645586234</v>
      </c>
      <c r="Q28" s="256">
        <f>($G$18*($B$11+$B$12))*(2^(((Q17-7)-$G$17)/HLOOKUP((Q17-7)-$B$14,$G$41:$AB$43,3,TRUE)))</f>
        <v>9914.1246295369965</v>
      </c>
      <c r="R28" s="256">
        <f>($G$18*($B$11+$B$12))*(2^(((R17-7)-$G$17)/HLOOKUP((R17-7)-$B$14,$G$41:$AB$43,3,TRUE)))</f>
        <v>16667.846210900734</v>
      </c>
      <c r="S28" s="256">
        <f>($G$18*($B$11+$B$12))*(2^(((S17-7)-$G$17)/HLOOKUP((S17-7)-$B$14,$G$41:$AB$43,3,TRUE)))</f>
        <v>29901.524942552576</v>
      </c>
      <c r="T28" s="256">
        <f>($G$18*($B$11+$B$12))*(2^(((T17-7)-$G$17)/HLOOKUP((T17-7)-$B$14,$G$41:$AB$43,3,TRUE)))</f>
        <v>55510.918866473476</v>
      </c>
      <c r="U28" s="256">
        <f>($G$18*($B$11+$B$12))*(2^(((U17-7)-$G$17)/HLOOKUP((U17-7)-$B$14,$G$41:$AB$43,3,TRUE)))</f>
        <v>105163.45188851724</v>
      </c>
      <c r="V28" s="256">
        <f>($G$18*($B$11+$B$12))*(2^(((V17-7)-$G$17)/HLOOKUP((V17-7)-$B$14,$G$41:$AB$43,3,TRUE)))</f>
        <v>201832.18893057221</v>
      </c>
      <c r="W28" s="256">
        <f>($G$18*($B$11+$B$12))*(2^(((W17-7)-$G$17)/HLOOKUP((W17-7)-$B$14,$G$41:$AB$43,3,TRUE)))</f>
        <v>390792.16273221647</v>
      </c>
      <c r="X28" s="256">
        <f>($G$18*($B$11+$B$12))*(2^(((X17-7)-$G$17)/HLOOKUP((X17-7)-$B$14,$G$41:$AB$43,3,TRUE)))</f>
        <v>761414.22516771429</v>
      </c>
      <c r="Y28" s="256">
        <f>($G$18*($B$11+$B$12))*(2^(((Y17-7)-$G$17)/HLOOKUP((Y17-7)-$B$14,$G$41:$AB$43,3,TRUE)))</f>
        <v>1490379.8924344666</v>
      </c>
      <c r="Z28" s="245">
        <f>($G$18*($B$11+$B$12))*(2^(((Z17-7)-$G$17)/HLOOKUP((Z17-7)-$B$14,$G$41:$AB$43,3,TRUE)))</f>
        <v>2927438.6113480283</v>
      </c>
      <c r="AA28" s="243">
        <f>($G$18*($B$11+$B$12))*(2^(((AA17 - 7) - $G$17)/AA43))</f>
        <v>3414115.1192630753</v>
      </c>
      <c r="AB28" s="242">
        <f>AB18*(B11+B12)</f>
        <v>974092</v>
      </c>
      <c r="AC28" s="57"/>
      <c r="AD28" s="57"/>
      <c r="AE28" s="81"/>
    </row>
    <row r="29" spans="1:31" x14ac:dyDescent="0.25">
      <c r="A29" s="49" t="s">
        <v>271</v>
      </c>
      <c r="B29" s="50"/>
      <c r="C29" s="51"/>
      <c r="D29" s="51"/>
      <c r="E29" s="51"/>
      <c r="F29" s="51"/>
      <c r="G29" s="230">
        <f t="shared" ref="G29:J29" si="18">G28</f>
        <v>3.1560616297070365</v>
      </c>
      <c r="H29" s="231">
        <f t="shared" si="18"/>
        <v>4.5905465095103892</v>
      </c>
      <c r="I29" s="233">
        <f t="shared" si="18"/>
        <v>6.5205368224071405</v>
      </c>
      <c r="J29" s="233">
        <f t="shared" si="18"/>
        <v>13.846558234822977</v>
      </c>
      <c r="K29" s="233">
        <f>K28-K31</f>
        <v>22.419707484218328</v>
      </c>
      <c r="L29" s="234">
        <f t="shared" ref="L29:M29" si="19">L28-L31</f>
        <v>42.557340760572906</v>
      </c>
      <c r="M29" s="233">
        <f t="shared" si="19"/>
        <v>71.695356827176639</v>
      </c>
      <c r="N29" s="232">
        <f>N28-N31</f>
        <v>224.85890216759663</v>
      </c>
      <c r="O29" s="262">
        <f t="shared" ref="O29:P29" si="20">MAX(O28-($G$18*$B$11)*(2^(((O17 - 42) - $G$17)/HLOOKUP((O17-42)-$B$14,$G$41:$AB$43,3,TRUE)))-O31,0)</f>
        <v>6976.8941158260714</v>
      </c>
      <c r="P29" s="234">
        <f t="shared" si="20"/>
        <v>6026.6429985428513</v>
      </c>
      <c r="Q29" s="233">
        <f>MAX(Q28-($G$18*$B$11)*(2^(((Q17 - 42) - $G$17)/HLOOKUP((Q17-42)-$B$14,$G$41:$AB$43,3,TRUE)))-Q31,0)</f>
        <v>0</v>
      </c>
      <c r="R29" s="233">
        <f t="shared" ref="R29:AA29" si="21">MAX(R28-($G$18*$B$11)*(2^(((R17 - 42) - $G$17)/HLOOKUP((R17-42)-$B$14,$G$41:$AB$43,3,TRUE)))-R31,0)</f>
        <v>6330.9252691020329</v>
      </c>
      <c r="S29" s="233">
        <f t="shared" si="21"/>
        <v>15824.037264534185</v>
      </c>
      <c r="T29" s="233">
        <f t="shared" si="21"/>
        <v>32453.350005041611</v>
      </c>
      <c r="U29" s="233">
        <f t="shared" si="21"/>
        <v>64359.30218223574</v>
      </c>
      <c r="V29" s="233">
        <f t="shared" si="21"/>
        <v>126705.23898594362</v>
      </c>
      <c r="W29" s="233">
        <f t="shared" si="21"/>
        <v>249255.4725423498</v>
      </c>
      <c r="X29" s="233">
        <f t="shared" si="21"/>
        <v>490859.76735039114</v>
      </c>
      <c r="Y29" s="233">
        <f t="shared" si="21"/>
        <v>968116.80009216582</v>
      </c>
      <c r="Z29" s="236">
        <f t="shared" si="21"/>
        <v>1912305.9710841947</v>
      </c>
      <c r="AA29" s="235">
        <f t="shared" si="21"/>
        <v>1430977.4118289254</v>
      </c>
      <c r="AB29" s="244"/>
      <c r="AC29" s="57"/>
      <c r="AD29" s="57"/>
      <c r="AE29" s="81"/>
    </row>
    <row r="30" spans="1:31" x14ac:dyDescent="0.25">
      <c r="A30" s="60" t="s">
        <v>218</v>
      </c>
      <c r="C30" s="21"/>
      <c r="D30" s="21"/>
      <c r="E30" s="21"/>
      <c r="F30" s="21"/>
      <c r="G30" s="240">
        <f>(1*$B$12)*(2^(((G17 - 14) -$B$14)/$G$43))</f>
        <v>0.43112556312798839</v>
      </c>
      <c r="H30" s="241">
        <f>(1*$B$12)*(2^(((H17 - 14) -$B$14)/$G$43))</f>
        <v>0.627079626820088</v>
      </c>
      <c r="I30" s="241">
        <f>(1*$B$12)*(2^(((I17 - 14) -$B$14)/$G$43))</f>
        <v>0.91209821918187373</v>
      </c>
      <c r="J30" s="241">
        <f>(1*$B$12)*(2^(((J17 - 14) -$B$14)/$G$43))</f>
        <v>1.3266627169079257</v>
      </c>
      <c r="K30" s="226">
        <f>($G$18*$B$12)*(2^(((K17 - 14) - $G$17)/HLOOKUP((K17-14)-$B$14,$G$41:$AB$43,3,TRUE)))</f>
        <v>1.88442772088055</v>
      </c>
      <c r="L30" s="225">
        <f>($G$18*$B$12)*(2^(((L17 - 14) - $G$17)/HLOOKUP((L17-14)-$B$14,$G$41:$AB$43,3,TRUE)))</f>
        <v>3.6438311144270994</v>
      </c>
      <c r="M30" s="225">
        <f>($G$18*$B$12)*(2^(((M17 - 14) - $G$17)/HLOOKUP((M17-14)-$B$14,$G$41:$AB$43,3,TRUE)))</f>
        <v>5.46875</v>
      </c>
      <c r="N30" s="226">
        <f>($G$18*$B$12)*(2^(((N17 - 14) - $G$17)/HLOOKUP((N17-14)-$B$14,$G$41:$AB$43,3,TRUE)))</f>
        <v>14.425255325307573</v>
      </c>
      <c r="O30" s="296">
        <f>($G$18*$B$12)*(2^(((O17 - 14) - $G$17)/HLOOKUP((O17-14)-$B$14,$G$41:$AB$43,3,TRUE)))</f>
        <v>568.30642586002568</v>
      </c>
      <c r="P30" s="255">
        <f>($G$18*$B$12)*(2^(((P17 - 14) - $G$17)/HLOOKUP((P17-14)-$B$14,$G$41:$AB$43,3,TRUE)))</f>
        <v>790.46025075243278</v>
      </c>
      <c r="Q30" s="256">
        <f>($G$18*$B$12)*(2^(((Q17 - 14) - $G$17)/HLOOKUP((Q17-14)-$B$14,$G$41:$AB$43,3,TRUE)))</f>
        <v>1362.9779711941426</v>
      </c>
      <c r="R30" s="256">
        <f>($G$18*$B$12)*(2^(((R17 - 14) - $G$17)/HLOOKUP((R17-14)-$B$14,$G$41:$AB$43,3,TRUE)))</f>
        <v>2516.0344180639681</v>
      </c>
      <c r="S30" s="256">
        <f>($G$18*$B$12)*(2^(((S17 - 14) - $G$17)/HLOOKUP((S17-14)-$B$14,$G$41:$AB$43,3,TRUE)))</f>
        <v>4785.799581875769</v>
      </c>
      <c r="T30" s="256">
        <f>($G$18*$B$12)*(2^(((T17 - 14) - $G$17)/HLOOKUP((T17-14)-$B$14,$G$41:$AB$43,3,TRUE)))</f>
        <v>9248.1758681600404</v>
      </c>
      <c r="U30" s="256">
        <f>($G$18*$B$12)*(2^(((U17 - 14) - $G$17)/HLOOKUP((U17-14)-$B$14,$G$41:$AB$43,3,TRUE)))</f>
        <v>18039.305287579256</v>
      </c>
      <c r="V30" s="256">
        <f>($G$18*$B$12)*(2^(((V17 - 14) - $G$17)/HLOOKUP((V17-14)-$B$14,$G$41:$AB$43,3,TRUE)))</f>
        <v>35398.612176985182</v>
      </c>
      <c r="W30" s="256">
        <f>($G$18*$B$12)*(2^(((W17 - 14) - $G$17)/HLOOKUP((W17-14)-$B$14,$G$41:$AB$43,3,TRUE)))</f>
        <v>69746.155066202744</v>
      </c>
      <c r="X30" s="256">
        <f>($G$18*$B$12)*(2^(((X17 - 14) - $G$17)/HLOOKUP((X17-14)-$B$14,$G$41:$AB$43,3,TRUE)))</f>
        <v>137819.14917136886</v>
      </c>
      <c r="Y30" s="256">
        <f>($G$18*$B$12)*(2^(((Y17 - 14) - $G$17)/HLOOKUP((Y17-14)-$B$14,$G$41:$AB$43,3,TRUE)))</f>
        <v>272911.80994012422</v>
      </c>
      <c r="Z30" s="245">
        <f>($G$18*$B$12)*(2^(((Z17 - 14) - $G$17)/HLOOKUP((Z17-14)-$B$14,$G$41:$AB$43,3,TRUE)))</f>
        <v>541295.28169718897</v>
      </c>
      <c r="AA30" s="245">
        <f>($G$18*$B$12)*(2^(((AA17 - 14) - $G$17)/HLOOKUP((AA17-14)-$B$14,$G$41:$AB$43,3,TRUE)))</f>
        <v>1074949.812688733</v>
      </c>
      <c r="AB30" s="242">
        <f>AB18*B12</f>
        <v>256340</v>
      </c>
      <c r="AC30" s="57"/>
      <c r="AD30" s="57"/>
      <c r="AE30" s="81"/>
    </row>
    <row r="31" spans="1:31" x14ac:dyDescent="0.25">
      <c r="A31" s="53" t="s">
        <v>272</v>
      </c>
      <c r="B31" s="27"/>
      <c r="C31" s="28"/>
      <c r="D31" s="28"/>
      <c r="E31" s="28"/>
      <c r="F31" s="28"/>
      <c r="G31" s="230">
        <f t="shared" ref="G31:J31" si="22">G30</f>
        <v>0.43112556312798839</v>
      </c>
      <c r="H31" s="231">
        <f t="shared" si="22"/>
        <v>0.627079626820088</v>
      </c>
      <c r="I31" s="231">
        <f t="shared" si="22"/>
        <v>0.91209821918187373</v>
      </c>
      <c r="J31" s="231">
        <f t="shared" si="22"/>
        <v>1.3266627169079257</v>
      </c>
      <c r="K31" s="232">
        <f>K30</f>
        <v>1.88442772088055</v>
      </c>
      <c r="L31" s="233">
        <f t="shared" ref="L31:N31" si="23">L30</f>
        <v>3.6438311144270994</v>
      </c>
      <c r="M31" s="233">
        <f t="shared" si="23"/>
        <v>5.46875</v>
      </c>
      <c r="N31" s="232">
        <f t="shared" si="23"/>
        <v>14.425255325307573</v>
      </c>
      <c r="O31" s="294">
        <f t="shared" ref="O31:P31" si="24">MAX(O30-($G$18*$B$12)*(2^(((O17 - 35) - $G$17)/HLOOKUP((O17-35)-$B$14,$G$41:$AB$43,3,TRUE))),0)</f>
        <v>556.14822273502568</v>
      </c>
      <c r="P31" s="247">
        <f t="shared" si="24"/>
        <v>315.1428628657797</v>
      </c>
      <c r="Q31" s="246">
        <f>MAX(Q30-($G$18*$B$12)*(2^(((Q17 - 35) - $G$17)/HLOOKUP((Q17-35)-$B$14,$G$41:$AB$43,3,TRUE))),0)</f>
        <v>660.13220089058734</v>
      </c>
      <c r="R31" s="246">
        <f t="shared" ref="R31:AA31" si="25">MAX(R30-($G$18*$B$12)*(2^(((R17 - 35) - $G$17)/HLOOKUP((R17-35)-$B$14,$G$41:$AB$43,3,TRUE))),0)</f>
        <v>1273.7938661703145</v>
      </c>
      <c r="S31" s="246">
        <f t="shared" si="25"/>
        <v>2461.8119142296591</v>
      </c>
      <c r="T31" s="246">
        <f t="shared" si="25"/>
        <v>4790.5485139800894</v>
      </c>
      <c r="U31" s="246">
        <f t="shared" si="25"/>
        <v>9375.8048268098028</v>
      </c>
      <c r="V31" s="246">
        <f t="shared" si="25"/>
        <v>18429.146184763395</v>
      </c>
      <c r="W31" s="246">
        <f t="shared" si="25"/>
        <v>36341.125195105065</v>
      </c>
      <c r="X31" s="246">
        <f t="shared" si="25"/>
        <v>71836.680549013094</v>
      </c>
      <c r="Y31" s="246">
        <f t="shared" si="25"/>
        <v>142267.25801095885</v>
      </c>
      <c r="Z31" s="236">
        <f t="shared" si="25"/>
        <v>282161.75399362238</v>
      </c>
      <c r="AA31" s="235">
        <f t="shared" si="25"/>
        <v>560268.34216307988</v>
      </c>
      <c r="AB31" s="242"/>
      <c r="AC31" s="57"/>
      <c r="AD31" s="57"/>
      <c r="AE31" s="81"/>
    </row>
    <row r="32" spans="1:31" x14ac:dyDescent="0.25">
      <c r="A32" s="16" t="s">
        <v>156</v>
      </c>
      <c r="B32" s="98"/>
      <c r="C32" s="21"/>
      <c r="D32" s="21"/>
      <c r="E32" s="21"/>
      <c r="F32" s="21"/>
      <c r="G32" s="248">
        <f>G18*$B$13</f>
        <v>1.09375</v>
      </c>
      <c r="H32" s="249">
        <f>H18*$B$13</f>
        <v>2.1875</v>
      </c>
      <c r="I32" s="249">
        <f>I18*$B$13</f>
        <v>4.375</v>
      </c>
      <c r="J32" s="249">
        <f>J18*$B$13</f>
        <v>8.75</v>
      </c>
      <c r="K32" s="249">
        <f>K18*$B$13</f>
        <v>17.5</v>
      </c>
      <c r="L32" s="248">
        <f>L18*$B$13</f>
        <v>35</v>
      </c>
      <c r="M32" s="249">
        <f>M18*$B$13</f>
        <v>70</v>
      </c>
      <c r="N32" s="250">
        <f>N18*$B$13</f>
        <v>140</v>
      </c>
      <c r="O32" s="249">
        <f>O18*$B$13</f>
        <v>280</v>
      </c>
      <c r="P32" s="248">
        <f>P18*$B$13</f>
        <v>560</v>
      </c>
      <c r="Q32" s="249">
        <f>Q18*$B$13</f>
        <v>1120</v>
      </c>
      <c r="R32" s="249">
        <f>R18*$B$13</f>
        <v>2240</v>
      </c>
      <c r="S32" s="249">
        <f>S18*$B$13</f>
        <v>4480</v>
      </c>
      <c r="T32" s="249">
        <f>T18*$B$13</f>
        <v>8960</v>
      </c>
      <c r="U32" s="249">
        <f>U18*$B$13</f>
        <v>17920</v>
      </c>
      <c r="V32" s="249">
        <f>V18*$B$13</f>
        <v>35840</v>
      </c>
      <c r="W32" s="249">
        <f>W18*$B$13</f>
        <v>71680</v>
      </c>
      <c r="X32" s="249">
        <f>X18*$B$13</f>
        <v>143360</v>
      </c>
      <c r="Y32" s="227">
        <f>Y18*$B$13</f>
        <v>286720</v>
      </c>
      <c r="Z32" s="228">
        <f>Z18*$B$13</f>
        <v>573440</v>
      </c>
      <c r="AA32" s="243">
        <f>AA18*$B$13</f>
        <v>897190.00000000012</v>
      </c>
      <c r="AB32" s="242">
        <f>AB18*B13</f>
        <v>179438.00000000003</v>
      </c>
      <c r="AC32" s="57"/>
      <c r="AD32" s="57"/>
      <c r="AE32" s="81"/>
    </row>
    <row r="33" spans="1:31" x14ac:dyDescent="0.25">
      <c r="A33" s="49" t="s">
        <v>155</v>
      </c>
      <c r="B33" s="50"/>
      <c r="C33" s="51"/>
      <c r="D33" s="51"/>
      <c r="E33" s="51"/>
      <c r="F33" s="51"/>
      <c r="G33" s="230"/>
      <c r="H33" s="231"/>
      <c r="I33" s="231"/>
      <c r="J33" s="231"/>
      <c r="K33" s="231"/>
      <c r="L33" s="230"/>
      <c r="M33" s="231"/>
      <c r="N33" s="251">
        <f>($G$18*$B$13)*(2^(((N17-35)-$G$17)/$G$43))</f>
        <v>0.51698772649090208</v>
      </c>
      <c r="O33" s="252">
        <f>($G$18*$B$13)*(2^(((O17-35)-$G$17)/HLOOKUP((O17-35)-$B$14,$G$41:$AB$43,3,TRUE)))</f>
        <v>8.5107421875000018</v>
      </c>
      <c r="P33" s="253">
        <f>($G$18*$B$13)*(2^(((P17-35)-$G$17)/HLOOKUP((P17-35)-$B$14,$G$41:$AB$43,3,TRUE)))</f>
        <v>332.72217152065718</v>
      </c>
      <c r="Q33" s="252">
        <f>($G$18*$B$13)*(2^(((Q17-35)-$G$17)/HLOOKUP((Q17-35)-$B$14,$G$41:$AB$43,3,TRUE)))</f>
        <v>491.99203921248863</v>
      </c>
      <c r="R33" s="252">
        <f>($G$18*$B$13)*(2^(((R17-35)-$G$17)/HLOOKUP((R17-35)-$B$14,$G$41:$AB$43,3,TRUE)))</f>
        <v>869.56838632555764</v>
      </c>
      <c r="S33" s="252">
        <f>($G$18*$B$13)*(2^(((S17-35)-$G$17)/HLOOKUP((S17-35)-$B$14,$G$41:$AB$43,3,TRUE)))</f>
        <v>1626.7913673522769</v>
      </c>
      <c r="T33" s="252">
        <f>($G$18*$B$13)*(2^(((T17-35)-$G$17)/HLOOKUP((T17-35)-$B$14,$G$41:$AB$43,3,TRUE)))</f>
        <v>3120.3391479259658</v>
      </c>
      <c r="U33" s="252">
        <f>($G$18*$B$13)*(2^(((U17-35)-$G$17)/HLOOKUP((U17-35)-$B$14,$G$41:$AB$43,3,TRUE)))</f>
        <v>6064.4503225386179</v>
      </c>
      <c r="V33" s="252">
        <f>($G$18*$B$13)*(2^(((V17-35)-$G$17)/HLOOKUP((V17-35)-$B$14,$G$41:$AB$43,3,TRUE)))</f>
        <v>11878.626194555252</v>
      </c>
      <c r="W33" s="252">
        <f>($G$18*$B$13)*(2^(((W17-35)-$G$17)/HLOOKUP((W17-35)-$B$14,$G$41:$AB$43,3,TRUE)))</f>
        <v>23383.520909768376</v>
      </c>
      <c r="X33" s="252">
        <f>($G$18*$B$13)*(2^(((X17-35)-$G$17)/HLOOKUP((X17-35)-$B$14,$G$41:$AB$43,3,TRUE)))</f>
        <v>46187.728035649037</v>
      </c>
      <c r="Y33" s="252">
        <f>($G$18*$B$13)*(2^(((Y17-35)-$G$17)/HLOOKUP((Y17-35)-$B$14,$G$41:$AB$43,3,TRUE)))</f>
        <v>91451.186350415752</v>
      </c>
      <c r="Z33" s="236">
        <f>($G$18*$B$13)*(2^(((Z17-35)-$G$17)/HLOOKUP((Z17-35)-$B$14,$G$41:$AB$43,3,TRUE)))</f>
        <v>181393.46939249663</v>
      </c>
      <c r="AA33" s="235">
        <f>($G$18*$B$13)*(2^(((AA17-35)-$G$17)/HLOOKUP((AA17-35)-$B$14,$G$41:$AB$43,3,TRUE)))</f>
        <v>360277.02936795721</v>
      </c>
      <c r="AB33" s="254">
        <f>($G$18*$B$13)*(2^(((AB17 - 35) - $G$17)/AB43))</f>
        <v>218861.5792946399</v>
      </c>
      <c r="AC33" s="57"/>
      <c r="AD33" s="57"/>
      <c r="AE33" s="81"/>
    </row>
    <row r="34" spans="1:31" s="81" customFormat="1" hidden="1" x14ac:dyDescent="0.25">
      <c r="A34" s="60" t="s">
        <v>212</v>
      </c>
      <c r="B34" s="37"/>
      <c r="C34" s="59"/>
      <c r="D34" s="59"/>
      <c r="E34" s="59"/>
      <c r="F34" s="59"/>
      <c r="G34" s="170">
        <f>G17-7</f>
        <v>43885</v>
      </c>
      <c r="H34" s="170">
        <f>H17-7</f>
        <v>43889</v>
      </c>
      <c r="I34" s="170">
        <f>I17-7</f>
        <v>43893</v>
      </c>
      <c r="J34" s="170">
        <f>J17-7</f>
        <v>43897</v>
      </c>
      <c r="K34" s="170">
        <f>K17-7</f>
        <v>43901</v>
      </c>
      <c r="L34" s="170">
        <f>L17-7</f>
        <v>43904</v>
      </c>
      <c r="M34" s="170">
        <f>M17-7</f>
        <v>43907</v>
      </c>
      <c r="N34" s="170">
        <f>N17-7</f>
        <v>43912</v>
      </c>
      <c r="O34" s="170">
        <f>O17-7</f>
        <v>43932</v>
      </c>
      <c r="P34" s="170">
        <f>P17-7</f>
        <v>43952</v>
      </c>
      <c r="Q34" s="170">
        <f>Q17-7</f>
        <v>43972</v>
      </c>
      <c r="R34" s="170">
        <f>R17-7</f>
        <v>43992</v>
      </c>
      <c r="S34" s="170">
        <f>S17-7</f>
        <v>44012</v>
      </c>
      <c r="T34" s="170">
        <f>T17-7</f>
        <v>44032</v>
      </c>
      <c r="U34" s="170">
        <f>U17-7</f>
        <v>44052</v>
      </c>
      <c r="V34" s="170">
        <f>V17-7</f>
        <v>44072</v>
      </c>
      <c r="W34" s="170">
        <f>W17-7</f>
        <v>44092</v>
      </c>
      <c r="X34" s="170">
        <f>X17-7</f>
        <v>44112</v>
      </c>
      <c r="Y34" s="170">
        <f>Y17-7</f>
        <v>44132</v>
      </c>
      <c r="Z34" s="170">
        <f>Z17-7</f>
        <v>44152</v>
      </c>
      <c r="AA34" s="170">
        <f>AA17-7</f>
        <v>44172</v>
      </c>
      <c r="AB34" s="170"/>
      <c r="AC34" s="57"/>
      <c r="AD34" s="57"/>
    </row>
    <row r="35" spans="1:31" s="81" customFormat="1" hidden="1" x14ac:dyDescent="0.25">
      <c r="A35" s="60" t="s">
        <v>210</v>
      </c>
      <c r="B35" s="37"/>
      <c r="C35" s="59"/>
      <c r="D35" s="59"/>
      <c r="E35" s="59"/>
      <c r="F35" s="59"/>
      <c r="G35" s="170">
        <f>G17-14</f>
        <v>43878</v>
      </c>
      <c r="H35" s="170">
        <f>H17-14</f>
        <v>43882</v>
      </c>
      <c r="I35" s="170">
        <f>I17-14</f>
        <v>43886</v>
      </c>
      <c r="J35" s="170">
        <f>J17-14</f>
        <v>43890</v>
      </c>
      <c r="K35" s="170">
        <f>K17-14</f>
        <v>43894</v>
      </c>
      <c r="L35" s="170">
        <f>L17-14</f>
        <v>43897</v>
      </c>
      <c r="M35" s="170">
        <f>M17-14</f>
        <v>43900</v>
      </c>
      <c r="N35" s="170">
        <f>N17-14</f>
        <v>43905</v>
      </c>
      <c r="O35" s="170">
        <f>O17-14</f>
        <v>43925</v>
      </c>
      <c r="P35" s="170">
        <f>P17-14</f>
        <v>43945</v>
      </c>
      <c r="Q35" s="170">
        <f>Q17-14</f>
        <v>43965</v>
      </c>
      <c r="R35" s="170">
        <f>R17-14</f>
        <v>43985</v>
      </c>
      <c r="S35" s="170">
        <f>S17-14</f>
        <v>44005</v>
      </c>
      <c r="T35" s="170">
        <f>T17-14</f>
        <v>44025</v>
      </c>
      <c r="U35" s="170">
        <f>U17-14</f>
        <v>44045</v>
      </c>
      <c r="V35" s="170">
        <f>V17-14</f>
        <v>44065</v>
      </c>
      <c r="W35" s="170">
        <f>W17-14</f>
        <v>44085</v>
      </c>
      <c r="X35" s="170">
        <f>X17-14</f>
        <v>44105</v>
      </c>
      <c r="Y35" s="170">
        <f>Y17-14</f>
        <v>44125</v>
      </c>
      <c r="Z35" s="170">
        <f>Z17-14</f>
        <v>44145</v>
      </c>
      <c r="AA35" s="170">
        <f>AA17-14</f>
        <v>44165</v>
      </c>
      <c r="AB35" s="170"/>
      <c r="AC35" s="57"/>
      <c r="AD35" s="57"/>
    </row>
    <row r="36" spans="1:31" s="81" customFormat="1" hidden="1" x14ac:dyDescent="0.25">
      <c r="A36" s="60" t="s">
        <v>213</v>
      </c>
      <c r="B36" s="37"/>
      <c r="C36" s="59"/>
      <c r="D36" s="59"/>
      <c r="E36" s="59"/>
      <c r="F36" s="59"/>
      <c r="G36" s="170">
        <f>G17-(7*5)</f>
        <v>43857</v>
      </c>
      <c r="H36" s="170">
        <f>H17-(7*5)</f>
        <v>43861</v>
      </c>
      <c r="I36" s="170">
        <f>I17-(7*5)</f>
        <v>43865</v>
      </c>
      <c r="J36" s="170">
        <f>J17-(7*5)</f>
        <v>43869</v>
      </c>
      <c r="K36" s="170">
        <f>K17-(7*5)</f>
        <v>43873</v>
      </c>
      <c r="L36" s="170">
        <f>L17-(7*5)</f>
        <v>43876</v>
      </c>
      <c r="M36" s="170">
        <f>M17-(7*5)</f>
        <v>43879</v>
      </c>
      <c r="N36" s="170">
        <f>N17-(7*5)</f>
        <v>43884</v>
      </c>
      <c r="O36" s="170">
        <f>O17-(7*5)</f>
        <v>43904</v>
      </c>
      <c r="P36" s="170">
        <f>P17-(7*5)</f>
        <v>43924</v>
      </c>
      <c r="Q36" s="170">
        <f>Q17-(7*5)</f>
        <v>43944</v>
      </c>
      <c r="R36" s="170">
        <f>R17-(7*5)</f>
        <v>43964</v>
      </c>
      <c r="S36" s="170">
        <f>S17-(7*5)</f>
        <v>43984</v>
      </c>
      <c r="T36" s="170">
        <f>T17-(7*5)</f>
        <v>44004</v>
      </c>
      <c r="U36" s="170">
        <f>U17-(7*5)</f>
        <v>44024</v>
      </c>
      <c r="V36" s="170">
        <f>V17-(7*5)</f>
        <v>44044</v>
      </c>
      <c r="W36" s="170">
        <f>W17-(7*5)</f>
        <v>44064</v>
      </c>
      <c r="X36" s="170">
        <f>X17-(7*5)</f>
        <v>44084</v>
      </c>
      <c r="Y36" s="170">
        <f>Y17-(7*5)</f>
        <v>44104</v>
      </c>
      <c r="Z36" s="170">
        <f>Z17-(7*5)</f>
        <v>44124</v>
      </c>
      <c r="AA36" s="170">
        <f>AA17-(7*5)</f>
        <v>44144</v>
      </c>
      <c r="AB36" s="170"/>
      <c r="AC36" s="57"/>
      <c r="AD36" s="57"/>
    </row>
    <row r="37" spans="1:31" s="81" customFormat="1" hidden="1" x14ac:dyDescent="0.25">
      <c r="A37" s="60" t="s">
        <v>211</v>
      </c>
      <c r="B37" s="37"/>
      <c r="C37" s="59"/>
      <c r="D37" s="59"/>
      <c r="E37" s="59"/>
      <c r="F37" s="59"/>
      <c r="G37" s="170">
        <f>G17-(6*7)</f>
        <v>43850</v>
      </c>
      <c r="H37" s="170">
        <f>H17-(6*7)</f>
        <v>43854</v>
      </c>
      <c r="I37" s="170">
        <f>I17-(6*7)</f>
        <v>43858</v>
      </c>
      <c r="J37" s="170">
        <f>J17-(6*7)</f>
        <v>43862</v>
      </c>
      <c r="K37" s="170">
        <f>K17-(6*7)</f>
        <v>43866</v>
      </c>
      <c r="L37" s="170">
        <f>L17-(6*7)</f>
        <v>43869</v>
      </c>
      <c r="M37" s="170">
        <f>M17-(6*7)</f>
        <v>43872</v>
      </c>
      <c r="N37" s="170">
        <f>N17-(6*7)</f>
        <v>43877</v>
      </c>
      <c r="O37" s="170">
        <f>O17-(6*7)</f>
        <v>43897</v>
      </c>
      <c r="P37" s="170">
        <f>P17-(6*7)</f>
        <v>43917</v>
      </c>
      <c r="Q37" s="170">
        <f>Q17-(6*7)</f>
        <v>43937</v>
      </c>
      <c r="R37" s="170">
        <f>R17-(6*7)</f>
        <v>43957</v>
      </c>
      <c r="S37" s="170">
        <f>S17-(6*7)</f>
        <v>43977</v>
      </c>
      <c r="T37" s="170">
        <f>T17-(6*7)</f>
        <v>43997</v>
      </c>
      <c r="U37" s="170">
        <f>U17-(6*7)</f>
        <v>44017</v>
      </c>
      <c r="V37" s="170">
        <f>V17-(6*7)</f>
        <v>44037</v>
      </c>
      <c r="W37" s="170">
        <f>W17-(6*7)</f>
        <v>44057</v>
      </c>
      <c r="X37" s="170">
        <f>X17-(6*7)</f>
        <v>44077</v>
      </c>
      <c r="Y37" s="170">
        <f>Y17-(6*7)</f>
        <v>44097</v>
      </c>
      <c r="Z37" s="170">
        <f>Z17-(6*7)</f>
        <v>44117</v>
      </c>
      <c r="AA37" s="170">
        <f>AA17-(6*7)</f>
        <v>44137</v>
      </c>
      <c r="AB37" s="170"/>
      <c r="AC37" s="57"/>
      <c r="AD37" s="57"/>
    </row>
    <row r="39" spans="1:31" x14ac:dyDescent="0.25">
      <c r="A39" s="65" t="s">
        <v>140</v>
      </c>
      <c r="B39" s="27"/>
      <c r="C39" s="28"/>
      <c r="D39" s="28"/>
      <c r="E39" s="28"/>
      <c r="F39" s="28"/>
    </row>
    <row r="40" spans="1:31" s="81" customFormat="1" x14ac:dyDescent="0.25">
      <c r="A40" s="160" t="s">
        <v>208</v>
      </c>
      <c r="B40" s="37"/>
      <c r="C40" s="59"/>
      <c r="D40" s="59"/>
      <c r="E40" s="59"/>
      <c r="F40" s="59"/>
      <c r="G40" s="161">
        <f>(G17-$B$14)/7</f>
        <v>5.2857142857142856</v>
      </c>
      <c r="H40" s="157">
        <f>(H17-$B$14)/7</f>
        <v>5.8571428571428568</v>
      </c>
      <c r="I40" s="158">
        <f>(I17-$B$14)/7</f>
        <v>6.4285714285714288</v>
      </c>
      <c r="J40" s="161">
        <f>(J17-$B$14)/7</f>
        <v>7</v>
      </c>
      <c r="K40" s="157">
        <f>(K17-$B$14)/7</f>
        <v>7.5714285714285712</v>
      </c>
      <c r="L40" s="162">
        <f>(L17-$B$14)/7</f>
        <v>8</v>
      </c>
      <c r="M40" s="158">
        <f>(M17-$B$14)/7</f>
        <v>8.4285714285714288</v>
      </c>
      <c r="N40" s="161">
        <f>(N17-$B$14)/7</f>
        <v>9.1428571428571423</v>
      </c>
      <c r="O40" s="157">
        <f>(O17-$B$14)/7</f>
        <v>12</v>
      </c>
      <c r="P40" s="161">
        <f>(P17-$B$14)/7</f>
        <v>14.857142857142858</v>
      </c>
      <c r="Q40" s="158">
        <f>(Q17-$B$14)/7</f>
        <v>17.714285714285715</v>
      </c>
      <c r="R40" s="161">
        <f>(R17-$B$14)/7</f>
        <v>20.571428571428573</v>
      </c>
      <c r="S40" s="161">
        <f>(S17-$B$14)/7</f>
        <v>23.428571428571427</v>
      </c>
      <c r="T40" s="158">
        <f>(T17-$B$14)/7</f>
        <v>26.285714285714285</v>
      </c>
      <c r="U40" s="161">
        <f>(U17-$B$14)/7</f>
        <v>29.142857142857142</v>
      </c>
      <c r="V40" s="161">
        <f>(V17-$B$14)/7</f>
        <v>32</v>
      </c>
      <c r="W40" s="161">
        <f>(W17-$B$14)/7</f>
        <v>34.857142857142854</v>
      </c>
      <c r="X40" s="158">
        <f>(X17-$B$14)/7</f>
        <v>37.714285714285715</v>
      </c>
      <c r="Y40" s="161">
        <f>(Y17-$B$14)/7</f>
        <v>40.571428571428569</v>
      </c>
      <c r="Z40" s="157">
        <f>(Z17-$B$14)/7</f>
        <v>43.428571428571431</v>
      </c>
      <c r="AA40" s="161">
        <f>(AA17-$B$14)/7</f>
        <v>46.285714285714285</v>
      </c>
      <c r="AB40" s="161">
        <f>(AB17-$B$14)/7</f>
        <v>54.285714285714285</v>
      </c>
    </row>
    <row r="41" spans="1:31" s="81" customFormat="1" x14ac:dyDescent="0.25">
      <c r="A41" s="160" t="s">
        <v>207</v>
      </c>
      <c r="B41" s="37"/>
      <c r="C41" s="59"/>
      <c r="D41" s="59"/>
      <c r="E41" s="59"/>
      <c r="F41" s="59"/>
      <c r="G41" s="163">
        <f>G17-B14</f>
        <v>37</v>
      </c>
      <c r="H41" s="159">
        <f>H17-$B$14</f>
        <v>41</v>
      </c>
      <c r="I41" s="159">
        <f>I17-$B$14</f>
        <v>45</v>
      </c>
      <c r="J41" s="159">
        <f>J17-$B$14</f>
        <v>49</v>
      </c>
      <c r="K41" s="159">
        <f>K17-$B$14</f>
        <v>53</v>
      </c>
      <c r="L41" s="159">
        <f>L17-$B$14</f>
        <v>56</v>
      </c>
      <c r="M41" s="159">
        <f>M17-$B$14</f>
        <v>59</v>
      </c>
      <c r="N41" s="159">
        <f>N17-$B$14</f>
        <v>64</v>
      </c>
      <c r="O41" s="159">
        <f>O17-$B$14</f>
        <v>84</v>
      </c>
      <c r="P41" s="159">
        <f>P17-$B$14</f>
        <v>104</v>
      </c>
      <c r="Q41" s="159">
        <f>Q17-$B$14</f>
        <v>124</v>
      </c>
      <c r="R41" s="159">
        <f>R17-$B$14</f>
        <v>144</v>
      </c>
      <c r="S41" s="159">
        <f>S17-$B$14</f>
        <v>164</v>
      </c>
      <c r="T41" s="159">
        <f>T17-$B$14</f>
        <v>184</v>
      </c>
      <c r="U41" s="159">
        <f>U17-$B$14</f>
        <v>204</v>
      </c>
      <c r="V41" s="159">
        <f>V17-$B$14</f>
        <v>224</v>
      </c>
      <c r="W41" s="159">
        <f>W17-$B$14</f>
        <v>244</v>
      </c>
      <c r="X41" s="159">
        <f>X17-$B$14</f>
        <v>264</v>
      </c>
      <c r="Y41" s="159">
        <f>Y17-$B$14</f>
        <v>284</v>
      </c>
      <c r="Z41" s="159">
        <f>Z17-$B$14</f>
        <v>304</v>
      </c>
      <c r="AA41" s="214">
        <f>AA17-$B$14</f>
        <v>324</v>
      </c>
      <c r="AB41" s="214">
        <f>AB17-$B$14</f>
        <v>380</v>
      </c>
    </row>
    <row r="42" spans="1:31" x14ac:dyDescent="0.25">
      <c r="A42" s="53" t="s">
        <v>134</v>
      </c>
      <c r="B42" s="28"/>
      <c r="C42" s="28"/>
      <c r="D42" s="28"/>
      <c r="E42" s="28"/>
      <c r="F42" s="28"/>
      <c r="G42" s="164">
        <v>32</v>
      </c>
      <c r="H42" s="165">
        <v>63</v>
      </c>
      <c r="I42" s="166">
        <v>112</v>
      </c>
      <c r="J42" s="166">
        <v>249</v>
      </c>
      <c r="K42" s="166">
        <v>567</v>
      </c>
      <c r="L42" s="166">
        <v>1072</v>
      </c>
      <c r="M42" s="166">
        <v>2050</v>
      </c>
      <c r="N42" s="166">
        <v>3984</v>
      </c>
      <c r="O42" s="206">
        <v>8000</v>
      </c>
      <c r="P42" s="206">
        <f>O42*2</f>
        <v>16000</v>
      </c>
      <c r="Q42" s="206">
        <f t="shared" ref="Q42:Z42" si="26">P42*2</f>
        <v>32000</v>
      </c>
      <c r="R42" s="206">
        <f t="shared" si="26"/>
        <v>64000</v>
      </c>
      <c r="S42" s="206">
        <f t="shared" si="26"/>
        <v>128000</v>
      </c>
      <c r="T42" s="206">
        <f t="shared" si="26"/>
        <v>256000</v>
      </c>
      <c r="U42" s="206">
        <f t="shared" si="26"/>
        <v>512000</v>
      </c>
      <c r="V42" s="206">
        <f t="shared" si="26"/>
        <v>1024000</v>
      </c>
      <c r="W42" s="206">
        <f t="shared" si="26"/>
        <v>2048000</v>
      </c>
      <c r="X42" s="206">
        <f t="shared" si="26"/>
        <v>4096000</v>
      </c>
      <c r="Y42" s="206">
        <f t="shared" si="26"/>
        <v>8192000</v>
      </c>
      <c r="Z42" s="206">
        <f t="shared" si="26"/>
        <v>16384000</v>
      </c>
      <c r="AA42" s="210">
        <f>AA18</f>
        <v>25634000</v>
      </c>
      <c r="AB42" s="211">
        <f>AA42</f>
        <v>25634000</v>
      </c>
    </row>
    <row r="43" spans="1:31" x14ac:dyDescent="0.25">
      <c r="A43" s="53" t="s">
        <v>269</v>
      </c>
      <c r="B43" s="28"/>
      <c r="C43" s="28"/>
      <c r="D43" s="28"/>
      <c r="E43" s="28"/>
      <c r="F43" s="28"/>
      <c r="G43" s="218">
        <f>(G17-B14)/(LOG(G42/1)/LOG(2))</f>
        <v>7.4</v>
      </c>
      <c r="H43" s="197">
        <f>(H17-$G$17)/(LOG(H42/$G$42)/LOG(2))</f>
        <v>4.0929931167263378</v>
      </c>
      <c r="I43" s="197">
        <f>(I17-$G$17)/(LOG(I42/$G$42)/LOG(2))</f>
        <v>4.4263580453208977</v>
      </c>
      <c r="J43" s="197">
        <f>(J17-$G$17)/(LOG(J42/$G$42)/LOG(2))</f>
        <v>4.0540514078704986</v>
      </c>
      <c r="K43" s="197">
        <f>(K17-$G$17)/(LOG(K42/$G$42)/LOG(2))</f>
        <v>3.8580201098268327</v>
      </c>
      <c r="L43" s="197">
        <f>(L17-$G$17)/(LOG(L42/$G$42)/LOG(2))</f>
        <v>3.7504274570979592</v>
      </c>
      <c r="M43" s="197">
        <f>(M17-$G$17)/(LOG(M42/$G$42)/LOG(2))</f>
        <v>3.6658063053526138</v>
      </c>
      <c r="N43" s="197">
        <f>(N17-$G$17)/(LOG(N42/$G$42)/LOG(2))</f>
        <v>3.879309267946895</v>
      </c>
      <c r="O43" s="207">
        <f>(O17-$G$17)/(LOG(O42/$G$42)/LOG(2))</f>
        <v>5.9002350955570426</v>
      </c>
      <c r="P43" s="207">
        <f>(P17-$G$17)/(LOG(P42/$G$42)/LOG(2))</f>
        <v>7.4728543396496825</v>
      </c>
      <c r="Q43" s="207">
        <f>(Q17-$G$17)/(LOG(Q42/$G$42)/LOG(2))</f>
        <v>8.7298698742554546</v>
      </c>
      <c r="R43" s="207">
        <f>(R17-$G$17)/(LOG(R42/$G$42)/LOG(2))</f>
        <v>9.7576240077658269</v>
      </c>
      <c r="S43" s="207">
        <f>(S17-$G$17)/(LOG(S42/$G$42)/LOG(2))</f>
        <v>10.613595981568078</v>
      </c>
      <c r="T43" s="207">
        <f>(T17-$G$17)/(LOG(T42/$G$42)/LOG(2))</f>
        <v>11.3375324448282</v>
      </c>
      <c r="U43" s="207">
        <f>(U17-$G$17)/(LOG(U42/$G$42)/LOG(2))</f>
        <v>11.957796038952688</v>
      </c>
      <c r="V43" s="207">
        <f>(V17-$G$17)/(LOG(V42/$G$42)/LOG(2))</f>
        <v>12.49516874245273</v>
      </c>
      <c r="W43" s="207">
        <f>(W17-$G$17)/(LOG(W42/$G$42)/LOG(2))</f>
        <v>12.965225904928422</v>
      </c>
      <c r="X43" s="207">
        <f>(X17-$G$17)/(LOG(X42/$G$42)/LOG(2))</f>
        <v>13.379870696883684</v>
      </c>
      <c r="Y43" s="207">
        <f>(Y17-$G$17)/(LOG(Y42/$G$42)/LOG(2))</f>
        <v>13.748356102153087</v>
      </c>
      <c r="Z43" s="207">
        <f>(Z17-$G$17)/(LOG(Z42/$G$42)/LOG(2))</f>
        <v>14.077983593640623</v>
      </c>
      <c r="AA43" s="212">
        <f>(AA17-$G$17)/(LOG(AA42/$G$42)/LOG(2))</f>
        <v>14.634229456337399</v>
      </c>
      <c r="AB43" s="213">
        <f>(AB17-$G$17)/(LOG(AB42/$G$42)/LOG(2))</f>
        <v>17.489688862452013</v>
      </c>
    </row>
    <row r="44" spans="1:31" x14ac:dyDescent="0.25">
      <c r="A44" s="53" t="s">
        <v>163</v>
      </c>
      <c r="B44" s="28"/>
      <c r="C44" s="28"/>
      <c r="D44" s="28"/>
      <c r="E44" s="28"/>
      <c r="F44" s="28"/>
      <c r="G44" s="167">
        <v>5</v>
      </c>
      <c r="H44" s="168">
        <v>12</v>
      </c>
      <c r="I44" s="122">
        <v>12</v>
      </c>
      <c r="J44" s="122">
        <v>17</v>
      </c>
      <c r="K44" s="169">
        <v>33</v>
      </c>
      <c r="L44" s="169">
        <v>53</v>
      </c>
      <c r="M44" s="169">
        <v>97</v>
      </c>
      <c r="N44" s="169" t="s">
        <v>228</v>
      </c>
      <c r="O44" s="208">
        <v>2813</v>
      </c>
      <c r="P44" s="208"/>
      <c r="Q44" s="208"/>
      <c r="R44" s="208"/>
      <c r="S44" s="208"/>
      <c r="T44" s="208"/>
      <c r="U44" s="208"/>
      <c r="V44" s="208"/>
      <c r="W44" s="208"/>
      <c r="X44" s="208"/>
      <c r="Y44" s="208"/>
      <c r="Z44" s="208"/>
      <c r="AA44" s="122"/>
      <c r="AB44" s="123"/>
    </row>
    <row r="45" spans="1:31" x14ac:dyDescent="0.25">
      <c r="A45" s="61" t="s">
        <v>135</v>
      </c>
      <c r="B45" s="50"/>
      <c r="C45" s="51"/>
      <c r="D45" s="51"/>
      <c r="E45" s="51"/>
      <c r="F45" s="51"/>
      <c r="G45" s="79">
        <v>1</v>
      </c>
      <c r="H45" s="80">
        <v>2</v>
      </c>
      <c r="I45" s="64">
        <v>3</v>
      </c>
      <c r="J45" s="64">
        <v>5</v>
      </c>
      <c r="K45" s="64">
        <v>6</v>
      </c>
      <c r="L45" s="64">
        <v>7</v>
      </c>
      <c r="M45" s="64">
        <v>8</v>
      </c>
      <c r="N45" s="64">
        <v>16</v>
      </c>
      <c r="O45" s="209">
        <v>50</v>
      </c>
      <c r="P45" s="209"/>
      <c r="Q45" s="209"/>
      <c r="R45" s="209"/>
      <c r="S45" s="209"/>
      <c r="T45" s="209"/>
      <c r="U45" s="209"/>
      <c r="V45" s="209"/>
      <c r="W45" s="209"/>
      <c r="X45" s="209"/>
      <c r="Y45" s="209"/>
      <c r="Z45" s="209"/>
      <c r="AA45" s="122"/>
      <c r="AB45" s="123"/>
    </row>
    <row r="46" spans="1:31" x14ac:dyDescent="0.25">
      <c r="B46" s="3"/>
      <c r="G46" s="47"/>
      <c r="H46" s="47"/>
      <c r="I46" s="47"/>
      <c r="J46" s="47"/>
      <c r="K46" s="47"/>
      <c r="L46" s="47"/>
      <c r="M46" s="47"/>
      <c r="N46" s="47"/>
      <c r="O46" s="47"/>
      <c r="P46" s="47"/>
      <c r="Q46" s="47"/>
      <c r="R46" s="47"/>
      <c r="S46" s="47"/>
      <c r="T46" s="47"/>
      <c r="U46" s="47"/>
      <c r="V46" s="47"/>
      <c r="W46" s="47"/>
      <c r="X46" s="47"/>
    </row>
    <row r="47" spans="1:31" x14ac:dyDescent="0.25">
      <c r="A47" s="86" t="s">
        <v>141</v>
      </c>
      <c r="X47" s="28"/>
    </row>
    <row r="48" spans="1:31" x14ac:dyDescent="0.25">
      <c r="A48" s="16" t="s">
        <v>1</v>
      </c>
      <c r="B48" s="69" t="s">
        <v>147</v>
      </c>
      <c r="C48" s="17" t="s">
        <v>4</v>
      </c>
      <c r="D48" s="69" t="s">
        <v>143</v>
      </c>
      <c r="E48" s="70" t="s">
        <v>3</v>
      </c>
      <c r="F48" s="21" t="s">
        <v>4</v>
      </c>
      <c r="G48" s="21"/>
      <c r="H48" s="21"/>
      <c r="I48" s="21"/>
      <c r="J48" s="21"/>
      <c r="K48" s="21"/>
      <c r="L48" s="21"/>
      <c r="M48" s="21"/>
      <c r="N48" s="21"/>
      <c r="O48" s="21"/>
      <c r="P48" s="21"/>
      <c r="Q48" s="21"/>
      <c r="R48" s="21"/>
      <c r="S48" s="21"/>
      <c r="T48" s="21"/>
      <c r="U48" s="21"/>
      <c r="V48" s="21"/>
      <c r="W48" s="21"/>
      <c r="X48" s="21"/>
      <c r="Y48" s="21"/>
      <c r="Z48" s="21"/>
      <c r="AA48" s="17"/>
      <c r="AB48" s="59"/>
    </row>
    <row r="49" spans="1:28" x14ac:dyDescent="0.25">
      <c r="A49" s="53" t="s">
        <v>13</v>
      </c>
      <c r="B49" s="25">
        <f>'ABS Population by Age Range'!D107</f>
        <v>4.0260989985204748E-2</v>
      </c>
      <c r="C49" s="24">
        <f>$B$5*B49</f>
        <v>1032050.2172807385</v>
      </c>
      <c r="D49" s="34">
        <f>'AU Infection Rate by Age'!C4</f>
        <v>2.8847876724601325E-2</v>
      </c>
      <c r="E49" s="17"/>
      <c r="F49" s="28"/>
      <c r="G49" s="30">
        <f>G$18*$D$49</f>
        <v>0.90149614764379138</v>
      </c>
      <c r="H49" s="31">
        <f>H$18*$D$49</f>
        <v>1.8029922952875828</v>
      </c>
      <c r="I49" s="31">
        <f>I$18*$D$49</f>
        <v>3.6059845905751655</v>
      </c>
      <c r="J49" s="31">
        <f>J$18*$D$49</f>
        <v>7.211969181150331</v>
      </c>
      <c r="K49" s="31">
        <f>K$18*$D$49</f>
        <v>14.423938362300662</v>
      </c>
      <c r="L49" s="31">
        <f>L$18*$D$49</f>
        <v>28.847876724601324</v>
      </c>
      <c r="M49" s="31">
        <f>M$18*$D$49</f>
        <v>57.695753449202648</v>
      </c>
      <c r="N49" s="31">
        <f>N$18*$D$49</f>
        <v>115.3915068984053</v>
      </c>
      <c r="O49" s="31">
        <f>O$18*$D$49</f>
        <v>230.78301379681059</v>
      </c>
      <c r="P49" s="31">
        <f>P$18*$D$49</f>
        <v>461.56602759362119</v>
      </c>
      <c r="Q49" s="31">
        <f>Q$18*$D$49</f>
        <v>923.13205518724237</v>
      </c>
      <c r="R49" s="31">
        <f>R$18*$D$49</f>
        <v>1846.2641103744847</v>
      </c>
      <c r="S49" s="31">
        <f>S$18*$D$49</f>
        <v>3692.5282207489695</v>
      </c>
      <c r="T49" s="31">
        <f>T$18*$D$49</f>
        <v>7385.056441497939</v>
      </c>
      <c r="U49" s="31">
        <f>U$18*$D$49</f>
        <v>14770.112882995878</v>
      </c>
      <c r="V49" s="31">
        <f>V$18*$D$49</f>
        <v>29540.225765991756</v>
      </c>
      <c r="W49" s="31">
        <f>W$18*$D$49</f>
        <v>59080.451531983512</v>
      </c>
      <c r="X49" s="31">
        <f>X$18*$D$49</f>
        <v>118160.90306396702</v>
      </c>
      <c r="Y49" s="31">
        <f>Y$18*$D$49</f>
        <v>236321.80612793405</v>
      </c>
      <c r="Z49" s="31">
        <f>Z$18*$D$49</f>
        <v>472643.61225586809</v>
      </c>
      <c r="AA49" s="72">
        <f>AA$18*$D$49</f>
        <v>739486.47195843037</v>
      </c>
      <c r="AB49" s="57"/>
    </row>
    <row r="50" spans="1:28" x14ac:dyDescent="0.25">
      <c r="A50" s="53"/>
      <c r="B50" s="18"/>
      <c r="C50" s="22"/>
      <c r="D50" s="20"/>
      <c r="E50" s="39">
        <v>0.14799999999999999</v>
      </c>
      <c r="F50" s="22"/>
      <c r="G50" s="41">
        <f>G$18*$D$49*$E$50</f>
        <v>0.13342142985128111</v>
      </c>
      <c r="H50" s="42">
        <f>H$18*$D$49*$E$50</f>
        <v>0.26684285970256222</v>
      </c>
      <c r="I50" s="42">
        <f>I$18*$D$49*$E$50</f>
        <v>0.53368571940512444</v>
      </c>
      <c r="J50" s="42">
        <f>J$18*$D$49*$E$50</f>
        <v>1.0673714388102489</v>
      </c>
      <c r="K50" s="42">
        <f>K$18*$D$49*$E$50</f>
        <v>2.1347428776204977</v>
      </c>
      <c r="L50" s="42">
        <f>L$18*$D$49*$E$50</f>
        <v>4.2694857552409955</v>
      </c>
      <c r="M50" s="42">
        <f>M$18*$D$49*$E$50</f>
        <v>8.538971510481991</v>
      </c>
      <c r="N50" s="42">
        <f>N$18*$D$49*$E$50</f>
        <v>17.077943020963982</v>
      </c>
      <c r="O50" s="42">
        <f>O$18*$D$49*$E$50</f>
        <v>34.155886041927964</v>
      </c>
      <c r="P50" s="42">
        <f>P$18*$D$49*$E$50</f>
        <v>68.311772083855928</v>
      </c>
      <c r="Q50" s="42">
        <f>Q$18*$D$49*$E$50</f>
        <v>136.62354416771186</v>
      </c>
      <c r="R50" s="42">
        <f>R$18*$D$49*$E$50</f>
        <v>273.24708833542371</v>
      </c>
      <c r="S50" s="42">
        <f>S$18*$D$49*$E$50</f>
        <v>546.49417667084742</v>
      </c>
      <c r="T50" s="42">
        <f>T$18*$D$49*$E$50</f>
        <v>1092.9883533416948</v>
      </c>
      <c r="U50" s="42">
        <f>U$18*$D$49*$E$50</f>
        <v>2185.9767066833897</v>
      </c>
      <c r="V50" s="42">
        <f>V$18*$D$49*$E$50</f>
        <v>4371.9534133667794</v>
      </c>
      <c r="W50" s="42">
        <f>W$18*$D$49*$E$50</f>
        <v>8743.9068267335588</v>
      </c>
      <c r="X50" s="42">
        <f>X$18*$D$49*$E$50</f>
        <v>17487.813653467118</v>
      </c>
      <c r="Y50" s="42">
        <f>Y$18*$D$49*$E$50</f>
        <v>34975.627306934235</v>
      </c>
      <c r="Z50" s="42">
        <f>Z$18*$D$49*$E$50</f>
        <v>69951.25461386847</v>
      </c>
      <c r="AA50" s="83">
        <f>AA$18*$D$49*$E$50</f>
        <v>109443.99784984768</v>
      </c>
      <c r="AB50" s="57"/>
    </row>
    <row r="51" spans="1:28" x14ac:dyDescent="0.25">
      <c r="A51" s="53" t="s">
        <v>14</v>
      </c>
      <c r="B51" s="18">
        <f>'ABS Population by Age Range'!D97</f>
        <v>7.065336711718416E-2</v>
      </c>
      <c r="C51" s="22">
        <f t="shared" ref="C51:C65" si="27">$B$5*B51</f>
        <v>1811128.4126818988</v>
      </c>
      <c r="D51" s="92">
        <f>'AU Infection Rate by Age'!C5</f>
        <v>0.10661171833004837</v>
      </c>
      <c r="E51" s="29"/>
      <c r="F51" s="28"/>
      <c r="G51" s="32">
        <f>G$18*$D$51</f>
        <v>3.3316161978140117</v>
      </c>
      <c r="H51" s="33">
        <f>H$18*$D$51</f>
        <v>6.6632323956280235</v>
      </c>
      <c r="I51" s="33">
        <f>I$18*$D$51</f>
        <v>13.326464791256047</v>
      </c>
      <c r="J51" s="33">
        <f>J$18*$D$51</f>
        <v>26.652929582512094</v>
      </c>
      <c r="K51" s="33">
        <f>K$18*$D$51</f>
        <v>53.305859165024188</v>
      </c>
      <c r="L51" s="33">
        <f>L$18*$D$51</f>
        <v>106.61171833004838</v>
      </c>
      <c r="M51" s="33">
        <f>M$18*$D$51</f>
        <v>213.22343666009675</v>
      </c>
      <c r="N51" s="33">
        <f>N$18*$D$51</f>
        <v>426.4468733201935</v>
      </c>
      <c r="O51" s="33">
        <f>O$18*$D$51</f>
        <v>852.89374664038701</v>
      </c>
      <c r="P51" s="33">
        <f>P$18*$D$51</f>
        <v>1705.787493280774</v>
      </c>
      <c r="Q51" s="33">
        <f>Q$18*$D$51</f>
        <v>3411.574986561548</v>
      </c>
      <c r="R51" s="33">
        <f>R$18*$D$51</f>
        <v>6823.1499731230961</v>
      </c>
      <c r="S51" s="33">
        <f>S$18*$D$51</f>
        <v>13646.299946246192</v>
      </c>
      <c r="T51" s="33">
        <f>T$18*$D$51</f>
        <v>27292.599892492384</v>
      </c>
      <c r="U51" s="33">
        <f>U$18*$D$51</f>
        <v>54585.199784984768</v>
      </c>
      <c r="V51" s="33">
        <f>V$18*$D$51</f>
        <v>109170.39956996954</v>
      </c>
      <c r="W51" s="33">
        <f>W$18*$D$51</f>
        <v>218340.79913993907</v>
      </c>
      <c r="X51" s="33">
        <f>X$18*$D$51</f>
        <v>436681.59827987815</v>
      </c>
      <c r="Y51" s="33">
        <f>Y$18*$D$51</f>
        <v>873363.1965597563</v>
      </c>
      <c r="Z51" s="33">
        <f>Z$18*$D$51</f>
        <v>1746726.3931195126</v>
      </c>
      <c r="AA51" s="84">
        <f>AA$18*$D$51</f>
        <v>2732884.7876724601</v>
      </c>
      <c r="AB51" s="57"/>
    </row>
    <row r="52" spans="1:28" x14ac:dyDescent="0.25">
      <c r="A52" s="53"/>
      <c r="B52" s="18"/>
      <c r="C52" s="22"/>
      <c r="D52" s="20"/>
      <c r="E52" s="39">
        <v>0.08</v>
      </c>
      <c r="F52" s="22"/>
      <c r="G52" s="41">
        <f>G$18*$D$51*$E$52</f>
        <v>0.26652929582512097</v>
      </c>
      <c r="H52" s="42">
        <f>H$18*$D$51*$E$52</f>
        <v>0.53305859165024194</v>
      </c>
      <c r="I52" s="42">
        <f>I$18*$D$51*$E$52</f>
        <v>1.0661171833004839</v>
      </c>
      <c r="J52" s="42">
        <f>J$18*$D$51*$E$52</f>
        <v>2.1322343666009678</v>
      </c>
      <c r="K52" s="42">
        <f>K$18*$D$51*$E$52</f>
        <v>4.2644687332019355</v>
      </c>
      <c r="L52" s="42">
        <f>L$18*$D$51*$E$52</f>
        <v>8.5289374664038711</v>
      </c>
      <c r="M52" s="42">
        <f>M$18*$D$51*$E$52</f>
        <v>17.057874932807742</v>
      </c>
      <c r="N52" s="42">
        <f>N$18*$D$51*$E$52</f>
        <v>34.115749865615484</v>
      </c>
      <c r="O52" s="42">
        <f>O$18*$D$51*$E$52</f>
        <v>68.231499731230969</v>
      </c>
      <c r="P52" s="42">
        <f>P$18*$D$51*$E$52</f>
        <v>136.46299946246194</v>
      </c>
      <c r="Q52" s="42">
        <f>Q$18*$D$51*$E$52</f>
        <v>272.92599892492387</v>
      </c>
      <c r="R52" s="42">
        <f>R$18*$D$51*$E$52</f>
        <v>545.85199784984775</v>
      </c>
      <c r="S52" s="42">
        <f>S$18*$D$51*$E$52</f>
        <v>1091.7039956996955</v>
      </c>
      <c r="T52" s="42">
        <f>T$18*$D$51*$E$52</f>
        <v>2183.407991399391</v>
      </c>
      <c r="U52" s="42">
        <f>U$18*$D$51*$E$52</f>
        <v>4366.815982798782</v>
      </c>
      <c r="V52" s="42">
        <f>V$18*$D$51*$E$52</f>
        <v>8733.631965597564</v>
      </c>
      <c r="W52" s="42">
        <f>W$18*$D$51*$E$52</f>
        <v>17467.263931195128</v>
      </c>
      <c r="X52" s="42">
        <f>X$18*$D$51*$E$52</f>
        <v>34934.527862390256</v>
      </c>
      <c r="Y52" s="42">
        <f>Y$18*$D$51*$E$52</f>
        <v>69869.055724780512</v>
      </c>
      <c r="Z52" s="42">
        <f>Z$18*$D$51*$E$52</f>
        <v>139738.11144956102</v>
      </c>
      <c r="AA52" s="83">
        <f>AA$18*$D$51*$E$52</f>
        <v>218630.78301379681</v>
      </c>
      <c r="AB52" s="57"/>
    </row>
    <row r="53" spans="1:28" x14ac:dyDescent="0.25">
      <c r="A53" s="53" t="s">
        <v>15</v>
      </c>
      <c r="B53" s="18">
        <f>'ABS Population by Age Range'!D85</f>
        <v>0.10301766910746854</v>
      </c>
      <c r="C53" s="22">
        <f t="shared" si="27"/>
        <v>2640754.9299008488</v>
      </c>
      <c r="D53" s="92">
        <f>'AU Infection Rate by Age'!C6</f>
        <v>0.16735352087439526</v>
      </c>
      <c r="E53" s="29"/>
      <c r="F53" s="22"/>
      <c r="G53" s="32">
        <f>G$18*$D$53</f>
        <v>5.2297975273248518</v>
      </c>
      <c r="H53" s="33">
        <f>H$18*$D$53</f>
        <v>10.459595054649704</v>
      </c>
      <c r="I53" s="33">
        <f>I$18*$D$53</f>
        <v>20.919190109299407</v>
      </c>
      <c r="J53" s="33">
        <f>J$18*$D$53</f>
        <v>41.838380218598815</v>
      </c>
      <c r="K53" s="33">
        <f>K$18*$D$53</f>
        <v>83.676760437197629</v>
      </c>
      <c r="L53" s="33">
        <f>L$18*$D$53</f>
        <v>167.35352087439526</v>
      </c>
      <c r="M53" s="33">
        <f>M$18*$D$53</f>
        <v>334.70704174879052</v>
      </c>
      <c r="N53" s="33">
        <f>N$18*$D$53</f>
        <v>669.41408349758103</v>
      </c>
      <c r="O53" s="33">
        <f>O$18*$D$53</f>
        <v>1338.8281669951621</v>
      </c>
      <c r="P53" s="33">
        <f>P$18*$D$53</f>
        <v>2677.6563339903241</v>
      </c>
      <c r="Q53" s="33">
        <f>Q$18*$D$53</f>
        <v>5355.3126679806483</v>
      </c>
      <c r="R53" s="33">
        <f>R$18*$D$53</f>
        <v>10710.625335961297</v>
      </c>
      <c r="S53" s="33">
        <f>S$18*$D$53</f>
        <v>21421.250671922593</v>
      </c>
      <c r="T53" s="33">
        <f>T$18*$D$53</f>
        <v>42842.501343845186</v>
      </c>
      <c r="U53" s="33">
        <f>U$18*$D$53</f>
        <v>85685.002687690372</v>
      </c>
      <c r="V53" s="33">
        <f>V$18*$D$53</f>
        <v>171370.00537538074</v>
      </c>
      <c r="W53" s="33">
        <f>W$18*$D$53</f>
        <v>342740.01075076149</v>
      </c>
      <c r="X53" s="33">
        <f>X$18*$D$53</f>
        <v>685480.02150152298</v>
      </c>
      <c r="Y53" s="33">
        <f>Y$18*$D$53</f>
        <v>1370960.043003046</v>
      </c>
      <c r="Z53" s="33">
        <f>Z$18*$D$53</f>
        <v>2741920.0860060919</v>
      </c>
      <c r="AA53" s="84">
        <f>AA$18*$D$53</f>
        <v>4289940.1540942481</v>
      </c>
      <c r="AB53" s="57"/>
    </row>
    <row r="54" spans="1:28" x14ac:dyDescent="0.25">
      <c r="A54" s="53"/>
      <c r="B54" s="18"/>
      <c r="C54" s="22"/>
      <c r="D54" s="20"/>
      <c r="E54" s="39">
        <v>3.5999999999999997E-2</v>
      </c>
      <c r="F54" s="22"/>
      <c r="G54" s="41">
        <f>G$18*$D$53*$E$54</f>
        <v>0.18827271098369466</v>
      </c>
      <c r="H54" s="42">
        <f>H$18*$D$53*$E$54</f>
        <v>0.37654542196738933</v>
      </c>
      <c r="I54" s="42">
        <f>I$18*$D$53*$E$54</f>
        <v>0.75309084393477865</v>
      </c>
      <c r="J54" s="42">
        <f>J$18*$D$53*$E$54</f>
        <v>1.5061816878695573</v>
      </c>
      <c r="K54" s="42">
        <f>K$18*$D$53*$E$54</f>
        <v>3.0123633757391146</v>
      </c>
      <c r="L54" s="42">
        <f>L$18*$D$53*$E$54</f>
        <v>6.0247267514782292</v>
      </c>
      <c r="M54" s="42">
        <f>M$18*$D$53*$E$54</f>
        <v>12.049453502956458</v>
      </c>
      <c r="N54" s="42">
        <f>N$18*$D$53*$E$54</f>
        <v>24.098907005912917</v>
      </c>
      <c r="O54" s="42">
        <f>O$18*$D$53*$E$54</f>
        <v>48.197814011825834</v>
      </c>
      <c r="P54" s="42">
        <f>P$18*$D$53*$E$54</f>
        <v>96.395628023651668</v>
      </c>
      <c r="Q54" s="42">
        <f>Q$18*$D$53*$E$54</f>
        <v>192.79125604730334</v>
      </c>
      <c r="R54" s="42">
        <f>R$18*$D$53*$E$54</f>
        <v>385.58251209460667</v>
      </c>
      <c r="S54" s="42">
        <f>S$18*$D$53*$E$54</f>
        <v>771.16502418921334</v>
      </c>
      <c r="T54" s="42">
        <f>T$18*$D$53*$E$54</f>
        <v>1542.3300483784267</v>
      </c>
      <c r="U54" s="42">
        <f>U$18*$D$53*$E$54</f>
        <v>3084.6600967568534</v>
      </c>
      <c r="V54" s="42">
        <f>V$18*$D$53*$E$54</f>
        <v>6169.3201935137067</v>
      </c>
      <c r="W54" s="42">
        <f>W$18*$D$53*$E$54</f>
        <v>12338.640387027413</v>
      </c>
      <c r="X54" s="42">
        <f>X$18*$D$53*$E$54</f>
        <v>24677.280774054827</v>
      </c>
      <c r="Y54" s="42">
        <f>Y$18*$D$53*$E$54</f>
        <v>49354.561548109654</v>
      </c>
      <c r="Z54" s="42">
        <f>Z$18*$D$53*$E$54</f>
        <v>98709.123096219308</v>
      </c>
      <c r="AA54" s="83">
        <f>AA$18*$D$53*$E$54</f>
        <v>154437.84554739291</v>
      </c>
      <c r="AB54" s="57"/>
    </row>
    <row r="55" spans="1:28" x14ac:dyDescent="0.25">
      <c r="A55" s="53" t="s">
        <v>16</v>
      </c>
      <c r="B55" s="18">
        <f>'ABS Population by Age Range'!D73</f>
        <v>0.12142789925761971</v>
      </c>
      <c r="C55" s="22">
        <f t="shared" si="27"/>
        <v>3112682.7695698235</v>
      </c>
      <c r="D55" s="92">
        <f>'AU Infection Rate by Age'!C7</f>
        <v>0.15534850385235621</v>
      </c>
      <c r="E55" s="29"/>
      <c r="F55" s="22"/>
      <c r="G55" s="32">
        <f>G$18*$D$55</f>
        <v>4.8546407453861313</v>
      </c>
      <c r="H55" s="33">
        <f>H$18*$D$55</f>
        <v>9.7092814907722627</v>
      </c>
      <c r="I55" s="33">
        <f>I$18*$D$55</f>
        <v>19.418562981544525</v>
      </c>
      <c r="J55" s="33">
        <f>J$18*$D$55</f>
        <v>38.837125963089051</v>
      </c>
      <c r="K55" s="33">
        <f>K$18*$D$55</f>
        <v>77.674251926178101</v>
      </c>
      <c r="L55" s="33">
        <f>L$18*$D$55</f>
        <v>155.3485038523562</v>
      </c>
      <c r="M55" s="33">
        <f>M$18*$D$55</f>
        <v>310.69700770471241</v>
      </c>
      <c r="N55" s="33">
        <f>N$18*$D$55</f>
        <v>621.39401540942481</v>
      </c>
      <c r="O55" s="33">
        <f>O$18*$D$55</f>
        <v>1242.7880308188496</v>
      </c>
      <c r="P55" s="33">
        <f>P$18*$D$55</f>
        <v>2485.5760616376992</v>
      </c>
      <c r="Q55" s="33">
        <f>Q$18*$D$55</f>
        <v>4971.1521232753985</v>
      </c>
      <c r="R55" s="33">
        <f>R$18*$D$55</f>
        <v>9942.304246550797</v>
      </c>
      <c r="S55" s="33">
        <f>S$18*$D$55</f>
        <v>19884.608493101594</v>
      </c>
      <c r="T55" s="33">
        <f>T$18*$D$55</f>
        <v>39769.216986203188</v>
      </c>
      <c r="U55" s="33">
        <f>U$18*$D$55</f>
        <v>79538.433972406376</v>
      </c>
      <c r="V55" s="33">
        <f>V$18*$D$55</f>
        <v>159076.86794481275</v>
      </c>
      <c r="W55" s="33">
        <f>W$18*$D$55</f>
        <v>318153.7358896255</v>
      </c>
      <c r="X55" s="33">
        <f>X$18*$D$55</f>
        <v>636307.47177925101</v>
      </c>
      <c r="Y55" s="33">
        <f>Y$18*$D$55</f>
        <v>1272614.943558502</v>
      </c>
      <c r="Z55" s="33">
        <f>Z$18*$D$55</f>
        <v>2545229.887117004</v>
      </c>
      <c r="AA55" s="84">
        <f>AA$18*$D$55</f>
        <v>3982203.5477512991</v>
      </c>
      <c r="AB55" s="57"/>
    </row>
    <row r="56" spans="1:28" x14ac:dyDescent="0.25">
      <c r="A56" s="53"/>
      <c r="B56" s="18"/>
      <c r="C56" s="22"/>
      <c r="D56" s="20"/>
      <c r="E56" s="39">
        <v>1.2999999999999999E-2</v>
      </c>
      <c r="F56" s="22"/>
      <c r="G56" s="41">
        <f>G$18*$D$55*$E$56</f>
        <v>6.3110329690019701E-2</v>
      </c>
      <c r="H56" s="42">
        <f>H$18*$D$55*$E$56</f>
        <v>0.1262206593800394</v>
      </c>
      <c r="I56" s="42">
        <f>I$18*$D$55*$E$56</f>
        <v>0.2524413187600788</v>
      </c>
      <c r="J56" s="42">
        <f>J$18*$D$55*$E$56</f>
        <v>0.50488263752015761</v>
      </c>
      <c r="K56" s="42">
        <f>K$18*$D$55*$E$56</f>
        <v>1.0097652750403152</v>
      </c>
      <c r="L56" s="42">
        <f>L$18*$D$55*$E$56</f>
        <v>2.0195305500806304</v>
      </c>
      <c r="M56" s="42">
        <f>M$18*$D$55*$E$56</f>
        <v>4.0390611001612609</v>
      </c>
      <c r="N56" s="42">
        <f>N$18*$D$55*$E$56</f>
        <v>8.0781222003225217</v>
      </c>
      <c r="O56" s="42">
        <f>O$18*$D$55*$E$56</f>
        <v>16.156244400645043</v>
      </c>
      <c r="P56" s="42">
        <f>P$18*$D$55*$E$56</f>
        <v>32.312488801290087</v>
      </c>
      <c r="Q56" s="42">
        <f>Q$18*$D$55*$E$56</f>
        <v>64.624977602580174</v>
      </c>
      <c r="R56" s="42">
        <f>R$18*$D$55*$E$56</f>
        <v>129.24995520516035</v>
      </c>
      <c r="S56" s="42">
        <f>S$18*$D$55*$E$56</f>
        <v>258.49991041032069</v>
      </c>
      <c r="T56" s="42">
        <f>T$18*$D$55*$E$56</f>
        <v>516.99982082064139</v>
      </c>
      <c r="U56" s="42">
        <f>U$18*$D$55*$E$56</f>
        <v>1033.9996416412828</v>
      </c>
      <c r="V56" s="42">
        <f>V$18*$D$55*$E$56</f>
        <v>2067.9992832825656</v>
      </c>
      <c r="W56" s="42">
        <f>W$18*$D$55*$E$56</f>
        <v>4135.9985665651311</v>
      </c>
      <c r="X56" s="42">
        <f>X$18*$D$55*$E$56</f>
        <v>8271.9971331302622</v>
      </c>
      <c r="Y56" s="42">
        <f>Y$18*$D$55*$E$56</f>
        <v>16543.994266260524</v>
      </c>
      <c r="Z56" s="42">
        <f>Z$18*$D$55*$E$56</f>
        <v>33087.988532521049</v>
      </c>
      <c r="AA56" s="83">
        <f>AA$18*$D$55*$E$56</f>
        <v>51768.646120766884</v>
      </c>
      <c r="AB56" s="57"/>
    </row>
    <row r="57" spans="1:28" x14ac:dyDescent="0.25">
      <c r="A57" s="53" t="s">
        <v>17</v>
      </c>
      <c r="B57" s="18">
        <f>'ABS Population by Age Range'!D61</f>
        <v>0.12908272398046944</v>
      </c>
      <c r="C57" s="22">
        <f t="shared" si="27"/>
        <v>3308906.5465153535</v>
      </c>
      <c r="D57" s="92">
        <f>'AU Infection Rate by Age'!C8</f>
        <v>0.12972585558143701</v>
      </c>
      <c r="E57" s="29"/>
      <c r="F57" s="22"/>
      <c r="G57" s="32">
        <f>G$18*$D$57</f>
        <v>4.0539329869199063</v>
      </c>
      <c r="H57" s="33">
        <f>H$18*$D$57</f>
        <v>8.1078659738398127</v>
      </c>
      <c r="I57" s="33">
        <f>I$18*$D$57</f>
        <v>16.215731947679625</v>
      </c>
      <c r="J57" s="33">
        <f>J$18*$D$57</f>
        <v>32.431463895359251</v>
      </c>
      <c r="K57" s="33">
        <f>K$18*$D$57</f>
        <v>64.862927790718501</v>
      </c>
      <c r="L57" s="33">
        <f>L$18*$D$57</f>
        <v>129.725855581437</v>
      </c>
      <c r="M57" s="33">
        <f>M$18*$D$57</f>
        <v>259.45171116287401</v>
      </c>
      <c r="N57" s="33">
        <f>N$18*$D$57</f>
        <v>518.90342232574801</v>
      </c>
      <c r="O57" s="33">
        <f>O$18*$D$57</f>
        <v>1037.806844651496</v>
      </c>
      <c r="P57" s="33">
        <f>P$18*$D$57</f>
        <v>2075.613689302992</v>
      </c>
      <c r="Q57" s="33">
        <f>Q$18*$D$57</f>
        <v>4151.2273786059841</v>
      </c>
      <c r="R57" s="33">
        <f>R$18*$D$57</f>
        <v>8302.4547572119682</v>
      </c>
      <c r="S57" s="33">
        <f>S$18*$D$57</f>
        <v>16604.909514423936</v>
      </c>
      <c r="T57" s="33">
        <f>T$18*$D$57</f>
        <v>33209.819028847873</v>
      </c>
      <c r="U57" s="33">
        <f>U$18*$D$57</f>
        <v>66419.638057695745</v>
      </c>
      <c r="V57" s="33">
        <f>V$18*$D$57</f>
        <v>132839.27611539149</v>
      </c>
      <c r="W57" s="33">
        <f>W$18*$D$57</f>
        <v>265678.55223078298</v>
      </c>
      <c r="X57" s="33">
        <f>X$18*$D$57</f>
        <v>531357.10446156596</v>
      </c>
      <c r="Y57" s="33">
        <f>Y$18*$D$57</f>
        <v>1062714.2089231319</v>
      </c>
      <c r="Z57" s="33">
        <f>Z$18*$D$57</f>
        <v>2125428.4178462639</v>
      </c>
      <c r="AA57" s="84">
        <f>AA$18*$D$57</f>
        <v>3325392.5819745562</v>
      </c>
      <c r="AB57" s="57"/>
    </row>
    <row r="58" spans="1:28" x14ac:dyDescent="0.25">
      <c r="A58" s="53"/>
      <c r="B58" s="18"/>
      <c r="C58" s="22"/>
      <c r="D58" s="20"/>
      <c r="E58" s="39">
        <v>4.0000000000000001E-3</v>
      </c>
      <c r="F58" s="22"/>
      <c r="G58" s="41">
        <f>G$18*$D$57*$E$58</f>
        <v>1.6215731947679626E-2</v>
      </c>
      <c r="H58" s="42">
        <f>H$18*$D$57*$E$58</f>
        <v>3.2431463895359253E-2</v>
      </c>
      <c r="I58" s="42">
        <f>I$18*$D$57*$E$58</f>
        <v>6.4862927790718505E-2</v>
      </c>
      <c r="J58" s="42">
        <f>J$18*$D$57*$E$58</f>
        <v>0.12972585558143701</v>
      </c>
      <c r="K58" s="42">
        <f>K$18*$D$57*$E$58</f>
        <v>0.25945171116287402</v>
      </c>
      <c r="L58" s="42">
        <f>L$18*$D$57*$E$58</f>
        <v>0.51890342232574804</v>
      </c>
      <c r="M58" s="42">
        <f>M$18*$D$57*$E$58</f>
        <v>1.0378068446514961</v>
      </c>
      <c r="N58" s="42">
        <f>N$18*$D$57*$E$58</f>
        <v>2.0756136893029922</v>
      </c>
      <c r="O58" s="42">
        <f>O$18*$D$57*$E$58</f>
        <v>4.1512273786059843</v>
      </c>
      <c r="P58" s="42">
        <f>P$18*$D$57*$E$58</f>
        <v>8.3024547572119687</v>
      </c>
      <c r="Q58" s="42">
        <f>Q$18*$D$57*$E$58</f>
        <v>16.604909514423937</v>
      </c>
      <c r="R58" s="42">
        <f>R$18*$D$57*$E$58</f>
        <v>33.209819028847875</v>
      </c>
      <c r="S58" s="42">
        <f>S$18*$D$57*$E$58</f>
        <v>66.419638057695749</v>
      </c>
      <c r="T58" s="42">
        <f>T$18*$D$57*$E$58</f>
        <v>132.8392761153915</v>
      </c>
      <c r="U58" s="42">
        <f>U$18*$D$57*$E$58</f>
        <v>265.678552230783</v>
      </c>
      <c r="V58" s="42">
        <f>V$18*$D$57*$E$58</f>
        <v>531.357104461566</v>
      </c>
      <c r="W58" s="42">
        <f>W$18*$D$57*$E$58</f>
        <v>1062.714208923132</v>
      </c>
      <c r="X58" s="42">
        <f>X$18*$D$57*$E$58</f>
        <v>2125.428417846264</v>
      </c>
      <c r="Y58" s="42">
        <f>Y$18*$D$57*$E$58</f>
        <v>4250.856835692528</v>
      </c>
      <c r="Z58" s="42">
        <f>Z$18*$D$57*$E$58</f>
        <v>8501.7136713850559</v>
      </c>
      <c r="AA58" s="83">
        <f>AA$18*$D$57*$E$58</f>
        <v>13301.570327898226</v>
      </c>
      <c r="AB58" s="57"/>
    </row>
    <row r="59" spans="1:28" x14ac:dyDescent="0.25">
      <c r="A59" s="53" t="s">
        <v>18</v>
      </c>
      <c r="B59" s="18">
        <f>'ABS Population by Age Range'!D49</f>
        <v>0.14481341657950456</v>
      </c>
      <c r="C59" s="22">
        <f t="shared" si="27"/>
        <v>3712147.1205990198</v>
      </c>
      <c r="D59" s="92">
        <f>'AU Infection Rate by Age'!C9</f>
        <v>0.15731947679627306</v>
      </c>
      <c r="E59" s="29"/>
      <c r="F59" s="22"/>
      <c r="G59" s="32">
        <f>G$18*$D$59</f>
        <v>4.9162336498835328</v>
      </c>
      <c r="H59" s="33">
        <f>H$18*$D$59</f>
        <v>9.8324672997670657</v>
      </c>
      <c r="I59" s="33">
        <f>I$18*$D$59</f>
        <v>19.664934599534131</v>
      </c>
      <c r="J59" s="33">
        <f>J$18*$D$59</f>
        <v>39.329869199068263</v>
      </c>
      <c r="K59" s="33">
        <f>K$18*$D$59</f>
        <v>78.659738398136525</v>
      </c>
      <c r="L59" s="33">
        <f>L$18*$D$59</f>
        <v>157.31947679627305</v>
      </c>
      <c r="M59" s="33">
        <f>M$18*$D$59</f>
        <v>314.6389535925461</v>
      </c>
      <c r="N59" s="33">
        <f>N$18*$D$59</f>
        <v>629.2779071850922</v>
      </c>
      <c r="O59" s="33">
        <f>O$18*$D$59</f>
        <v>1258.5558143701844</v>
      </c>
      <c r="P59" s="33">
        <f>P$18*$D$59</f>
        <v>2517.1116287403688</v>
      </c>
      <c r="Q59" s="33">
        <f>Q$18*$D$59</f>
        <v>5034.2232574807376</v>
      </c>
      <c r="R59" s="33">
        <f>R$18*$D$59</f>
        <v>10068.446514961475</v>
      </c>
      <c r="S59" s="33">
        <f>S$18*$D$59</f>
        <v>20136.893029922951</v>
      </c>
      <c r="T59" s="33">
        <f>T$18*$D$59</f>
        <v>40273.786059845901</v>
      </c>
      <c r="U59" s="33">
        <f>U$18*$D$59</f>
        <v>80547.572119691802</v>
      </c>
      <c r="V59" s="33">
        <f>V$18*$D$59</f>
        <v>161095.1442393836</v>
      </c>
      <c r="W59" s="33">
        <f>W$18*$D$59</f>
        <v>322190.28847876721</v>
      </c>
      <c r="X59" s="33">
        <f>X$18*$D$59</f>
        <v>644380.57695753442</v>
      </c>
      <c r="Y59" s="33">
        <f>Y$18*$D$59</f>
        <v>1288761.1539150688</v>
      </c>
      <c r="Z59" s="33">
        <f>Z$18*$D$59</f>
        <v>2577522.3078301377</v>
      </c>
      <c r="AA59" s="84">
        <f>AA$18*$D$59</f>
        <v>4032727.4681956638</v>
      </c>
      <c r="AB59" s="57"/>
    </row>
    <row r="60" spans="1:28" x14ac:dyDescent="0.25">
      <c r="A60" s="53"/>
      <c r="B60" s="18"/>
      <c r="C60" s="22"/>
      <c r="D60" s="20"/>
      <c r="E60" s="39">
        <v>2E-3</v>
      </c>
      <c r="F60" s="22"/>
      <c r="G60" s="41">
        <f>G$18*$D$59*$E$60</f>
        <v>9.8324672997670663E-3</v>
      </c>
      <c r="H60" s="42">
        <f>H$18*$D$59*$E$60</f>
        <v>1.9664934599534133E-2</v>
      </c>
      <c r="I60" s="42">
        <f>I$18*$D$59*$E$60</f>
        <v>3.9329869199068265E-2</v>
      </c>
      <c r="J60" s="42">
        <f>J$18*$D$59*$E$60</f>
        <v>7.8659738398136531E-2</v>
      </c>
      <c r="K60" s="42">
        <f>K$18*$D$59*$E$60</f>
        <v>0.15731947679627306</v>
      </c>
      <c r="L60" s="42">
        <f>L$18*$D$59*$E$60</f>
        <v>0.31463895359254612</v>
      </c>
      <c r="M60" s="42">
        <f>M$18*$D$59*$E$60</f>
        <v>0.62927790718509224</v>
      </c>
      <c r="N60" s="42">
        <f>N$18*$D$59*$E$60</f>
        <v>1.2585558143701845</v>
      </c>
      <c r="O60" s="42">
        <f>O$18*$D$59*$E$60</f>
        <v>2.517111628740369</v>
      </c>
      <c r="P60" s="42">
        <f>P$18*$D$59*$E$60</f>
        <v>5.034223257480738</v>
      </c>
      <c r="Q60" s="42">
        <f>Q$18*$D$59*$E$60</f>
        <v>10.068446514961476</v>
      </c>
      <c r="R60" s="42">
        <f>R$18*$D$59*$E$60</f>
        <v>20.136893029922952</v>
      </c>
      <c r="S60" s="42">
        <f>S$18*$D$59*$E$60</f>
        <v>40.273786059845904</v>
      </c>
      <c r="T60" s="42">
        <f>T$18*$D$59*$E$60</f>
        <v>80.547572119691807</v>
      </c>
      <c r="U60" s="42">
        <f>U$18*$D$59*$E$60</f>
        <v>161.09514423938361</v>
      </c>
      <c r="V60" s="42">
        <f>V$18*$D$59*$E$60</f>
        <v>322.19028847876723</v>
      </c>
      <c r="W60" s="42">
        <f>W$18*$D$59*$E$60</f>
        <v>644.38057695753446</v>
      </c>
      <c r="X60" s="42">
        <f>X$18*$D$59*$E$60</f>
        <v>1288.7611539150689</v>
      </c>
      <c r="Y60" s="42">
        <f>Y$18*$D$59*$E$60</f>
        <v>2577.5223078301378</v>
      </c>
      <c r="Z60" s="42">
        <f>Z$18*$D$59*$E$60</f>
        <v>5155.0446156602757</v>
      </c>
      <c r="AA60" s="83">
        <f>AA$18*$D$59*$E$60</f>
        <v>8065.4549363913275</v>
      </c>
      <c r="AB60" s="57"/>
    </row>
    <row r="61" spans="1:28" x14ac:dyDescent="0.25">
      <c r="A61" s="53" t="s">
        <v>19</v>
      </c>
      <c r="B61" s="18">
        <f>'ABS Population by Age Range'!D37</f>
        <v>0.14458334093878666</v>
      </c>
      <c r="C61" s="22">
        <f t="shared" si="27"/>
        <v>3706249.3616248574</v>
      </c>
      <c r="D61" s="92">
        <f>'AU Infection Rate by Age'!C10</f>
        <v>0.2160903063967031</v>
      </c>
      <c r="E61" s="29"/>
      <c r="F61" s="22"/>
      <c r="G61" s="32">
        <f>G$18*$D$61</f>
        <v>6.7528220748969714</v>
      </c>
      <c r="H61" s="33">
        <f>H$18*$D$61</f>
        <v>13.505644149793943</v>
      </c>
      <c r="I61" s="33">
        <f>I$18*$D$61</f>
        <v>27.011288299587886</v>
      </c>
      <c r="J61" s="33">
        <f>J$18*$D$61</f>
        <v>54.022576599175771</v>
      </c>
      <c r="K61" s="33">
        <f>K$18*$D$61</f>
        <v>108.04515319835154</v>
      </c>
      <c r="L61" s="33">
        <f>L$18*$D$61</f>
        <v>216.09030639670308</v>
      </c>
      <c r="M61" s="33">
        <f>M$18*$D$61</f>
        <v>432.18061279340617</v>
      </c>
      <c r="N61" s="33">
        <f>N$18*$D$61</f>
        <v>864.36122558681234</v>
      </c>
      <c r="O61" s="33">
        <f>O$18*$D$61</f>
        <v>1728.7224511736247</v>
      </c>
      <c r="P61" s="33">
        <f>P$18*$D$61</f>
        <v>3457.4449023472494</v>
      </c>
      <c r="Q61" s="33">
        <f>Q$18*$D$61</f>
        <v>6914.8898046944987</v>
      </c>
      <c r="R61" s="33">
        <f>R$18*$D$61</f>
        <v>13829.779609388997</v>
      </c>
      <c r="S61" s="33">
        <f>S$18*$D$61</f>
        <v>27659.559218777995</v>
      </c>
      <c r="T61" s="33">
        <f>T$18*$D$61</f>
        <v>55319.11843755599</v>
      </c>
      <c r="U61" s="33">
        <f>U$18*$D$61</f>
        <v>110638.23687511198</v>
      </c>
      <c r="V61" s="33">
        <f>V$18*$D$61</f>
        <v>221276.47375022396</v>
      </c>
      <c r="W61" s="33">
        <f>W$18*$D$61</f>
        <v>442552.94750044792</v>
      </c>
      <c r="X61" s="33">
        <f>X$18*$D$61</f>
        <v>885105.89500089583</v>
      </c>
      <c r="Y61" s="33">
        <f>Y$18*$D$61</f>
        <v>1770211.7900017917</v>
      </c>
      <c r="Z61" s="33">
        <f>Z$18*$D$61</f>
        <v>3540423.5800035833</v>
      </c>
      <c r="AA61" s="84">
        <f>AA$18*$D$61</f>
        <v>5539258.9141730871</v>
      </c>
      <c r="AB61" s="57"/>
    </row>
    <row r="62" spans="1:28" x14ac:dyDescent="0.25">
      <c r="A62" s="53"/>
      <c r="B62" s="18"/>
      <c r="C62" s="22"/>
      <c r="D62" s="20"/>
      <c r="E62" s="39">
        <v>2E-3</v>
      </c>
      <c r="F62" s="22"/>
      <c r="G62" s="41">
        <f>G$18*$D$61*$E$62</f>
        <v>1.3505644149793944E-2</v>
      </c>
      <c r="H62" s="42">
        <f>H$18*$D$61*$E$62</f>
        <v>2.7011288299587887E-2</v>
      </c>
      <c r="I62" s="42">
        <f>I$18*$D$61*$E$62</f>
        <v>5.4022576599175774E-2</v>
      </c>
      <c r="J62" s="42">
        <f>J$18*$D$61*$E$62</f>
        <v>0.10804515319835155</v>
      </c>
      <c r="K62" s="42">
        <f>K$18*$D$61*$E$62</f>
        <v>0.2160903063967031</v>
      </c>
      <c r="L62" s="42">
        <f>L$18*$D$61*$E$62</f>
        <v>0.43218061279340619</v>
      </c>
      <c r="M62" s="42">
        <f>M$18*$D$61*$E$62</f>
        <v>0.86436122558681239</v>
      </c>
      <c r="N62" s="42">
        <f>N$18*$D$61*$E$62</f>
        <v>1.7287224511736248</v>
      </c>
      <c r="O62" s="42">
        <f>O$18*$D$61*$E$62</f>
        <v>3.4574449023472495</v>
      </c>
      <c r="P62" s="42">
        <f>P$18*$D$61*$E$62</f>
        <v>6.9148898046944991</v>
      </c>
      <c r="Q62" s="42">
        <f>Q$18*$D$61*$E$62</f>
        <v>13.829779609388998</v>
      </c>
      <c r="R62" s="42">
        <f>R$18*$D$61*$E$62</f>
        <v>27.659559218777996</v>
      </c>
      <c r="S62" s="42">
        <f>S$18*$D$61*$E$62</f>
        <v>55.319118437555993</v>
      </c>
      <c r="T62" s="42">
        <f>T$18*$D$61*$E$62</f>
        <v>110.63823687511199</v>
      </c>
      <c r="U62" s="42">
        <f>U$18*$D$61*$E$62</f>
        <v>221.27647375022397</v>
      </c>
      <c r="V62" s="42">
        <f>V$18*$D$61*$E$62</f>
        <v>442.55294750044794</v>
      </c>
      <c r="W62" s="42">
        <f>W$18*$D$61*$E$62</f>
        <v>885.10589500089588</v>
      </c>
      <c r="X62" s="42">
        <f>X$18*$D$61*$E$62</f>
        <v>1770.2117900017918</v>
      </c>
      <c r="Y62" s="42">
        <f>Y$18*$D$61*$E$62</f>
        <v>3540.4235800035835</v>
      </c>
      <c r="Z62" s="42">
        <f>Z$18*$D$61*$E$62</f>
        <v>7080.8471600071671</v>
      </c>
      <c r="AA62" s="83">
        <f>AA$18*$D$61*$E$62</f>
        <v>11078.517828346174</v>
      </c>
      <c r="AB62" s="57"/>
    </row>
    <row r="63" spans="1:28" x14ac:dyDescent="0.25">
      <c r="A63" s="54" t="s">
        <v>20</v>
      </c>
      <c r="B63" s="18">
        <f>'ABS Population by Age Range'!D25</f>
        <v>0.12056476079328157</v>
      </c>
      <c r="C63" s="22">
        <f t="shared" si="27"/>
        <v>3090557.0781749799</v>
      </c>
      <c r="D63" s="35">
        <f>'AU Infection Rate by Age'!C11</f>
        <v>2.8847876724601325E-2</v>
      </c>
      <c r="E63" s="29"/>
      <c r="F63" s="22"/>
      <c r="G63" s="32">
        <f>G$18*$D$63</f>
        <v>0.90149614764379138</v>
      </c>
      <c r="H63" s="33">
        <f>H$18*$D$63</f>
        <v>1.8029922952875828</v>
      </c>
      <c r="I63" s="33">
        <f>I$18*$D$63</f>
        <v>3.6059845905751655</v>
      </c>
      <c r="J63" s="33">
        <f>J$18*$D$63</f>
        <v>7.211969181150331</v>
      </c>
      <c r="K63" s="33">
        <f>K$18*$D$63</f>
        <v>14.423938362300662</v>
      </c>
      <c r="L63" s="33">
        <f>L$18*$D$63</f>
        <v>28.847876724601324</v>
      </c>
      <c r="M63" s="33">
        <f>M$18*$D$63</f>
        <v>57.695753449202648</v>
      </c>
      <c r="N63" s="33">
        <f>N$18*$D$63</f>
        <v>115.3915068984053</v>
      </c>
      <c r="O63" s="33">
        <f>O$18*$D$63</f>
        <v>230.78301379681059</v>
      </c>
      <c r="P63" s="33">
        <f>P$18*$D$63</f>
        <v>461.56602759362119</v>
      </c>
      <c r="Q63" s="33">
        <f>Q$18*$D$63</f>
        <v>923.13205518724237</v>
      </c>
      <c r="R63" s="33">
        <f>R$18*$D$63</f>
        <v>1846.2641103744847</v>
      </c>
      <c r="S63" s="33">
        <f>S$18*$D$63</f>
        <v>3692.5282207489695</v>
      </c>
      <c r="T63" s="33">
        <f>T$18*$D$63</f>
        <v>7385.056441497939</v>
      </c>
      <c r="U63" s="33">
        <f>U$18*$D$63</f>
        <v>14770.112882995878</v>
      </c>
      <c r="V63" s="33">
        <f>V$18*$D$63</f>
        <v>29540.225765991756</v>
      </c>
      <c r="W63" s="33">
        <f>W$18*$D$63</f>
        <v>59080.451531983512</v>
      </c>
      <c r="X63" s="33">
        <f>X$18*$D$63</f>
        <v>118160.90306396702</v>
      </c>
      <c r="Y63" s="33">
        <f>Y$18*$D$63</f>
        <v>236321.80612793405</v>
      </c>
      <c r="Z63" s="33">
        <f>Z$18*$D$63</f>
        <v>472643.61225586809</v>
      </c>
      <c r="AA63" s="84">
        <f>AA$18*$D$63</f>
        <v>739486.47195843037</v>
      </c>
      <c r="AB63" s="57"/>
    </row>
    <row r="64" spans="1:28" x14ac:dyDescent="0.25">
      <c r="A64" s="54"/>
      <c r="B64" s="18"/>
      <c r="C64" s="22"/>
      <c r="D64" s="20"/>
      <c r="E64" s="39">
        <v>2E-3</v>
      </c>
      <c r="F64" s="22"/>
      <c r="G64" s="41">
        <f>G$18*$D$63*$E$64</f>
        <v>1.8029922952875828E-3</v>
      </c>
      <c r="H64" s="42">
        <f>H$18*$D$63*$E$64</f>
        <v>3.6059845905751656E-3</v>
      </c>
      <c r="I64" s="42">
        <f>I$18*$D$63*$E$64</f>
        <v>7.2119691811503312E-3</v>
      </c>
      <c r="J64" s="42">
        <f>J$18*$D$63*$E$64</f>
        <v>1.4423938362300662E-2</v>
      </c>
      <c r="K64" s="42">
        <f>K$18*$D$63*$E$64</f>
        <v>2.8847876724601325E-2</v>
      </c>
      <c r="L64" s="42">
        <f>L$18*$D$63*$E$64</f>
        <v>5.769575344920265E-2</v>
      </c>
      <c r="M64" s="42">
        <f>M$18*$D$63*$E$64</f>
        <v>0.1153915068984053</v>
      </c>
      <c r="N64" s="42">
        <f>N$18*$D$63*$E$64</f>
        <v>0.2307830137968106</v>
      </c>
      <c r="O64" s="42">
        <f>O$18*$D$63*$E$64</f>
        <v>0.4615660275936212</v>
      </c>
      <c r="P64" s="42">
        <f>P$18*$D$63*$E$64</f>
        <v>0.9231320551872424</v>
      </c>
      <c r="Q64" s="42">
        <f>Q$18*$D$63*$E$64</f>
        <v>1.8462641103744848</v>
      </c>
      <c r="R64" s="42">
        <f>R$18*$D$63*$E$64</f>
        <v>3.6925282207489696</v>
      </c>
      <c r="S64" s="42">
        <f>S$18*$D$63*$E$64</f>
        <v>7.3850564414979392</v>
      </c>
      <c r="T64" s="42">
        <f>T$18*$D$63*$E$64</f>
        <v>14.770112882995878</v>
      </c>
      <c r="U64" s="42">
        <f>U$18*$D$63*$E$64</f>
        <v>29.540225765991757</v>
      </c>
      <c r="V64" s="42">
        <f>V$18*$D$63*$E$64</f>
        <v>59.080451531983513</v>
      </c>
      <c r="W64" s="42">
        <f>W$18*$D$63*$E$64</f>
        <v>118.16090306396703</v>
      </c>
      <c r="X64" s="42">
        <f>X$18*$D$63*$E$64</f>
        <v>236.32180612793405</v>
      </c>
      <c r="Y64" s="42">
        <f>Y$18*$D$63*$E$64</f>
        <v>472.64361225586811</v>
      </c>
      <c r="Z64" s="42">
        <f>Z$18*$D$63*$E$64</f>
        <v>945.28722451173621</v>
      </c>
      <c r="AA64" s="83">
        <f>AA$18*$D$63*$E$64</f>
        <v>1478.9729439168607</v>
      </c>
      <c r="AB64" s="57"/>
    </row>
    <row r="65" spans="1:28" x14ac:dyDescent="0.25">
      <c r="A65" s="54" t="s">
        <v>21</v>
      </c>
      <c r="B65" s="18">
        <f>'ABS Population by Age Range'!D13</f>
        <v>0.1255958322404806</v>
      </c>
      <c r="C65" s="22">
        <f t="shared" si="27"/>
        <v>3219523.5636524796</v>
      </c>
      <c r="D65" s="35">
        <f>'AU Infection Rate by Age'!C12</f>
        <v>9.8548647195843032E-3</v>
      </c>
      <c r="E65" s="29"/>
      <c r="F65" s="22"/>
      <c r="G65" s="32">
        <f>G$18*$D$65</f>
        <v>0.30796452248700945</v>
      </c>
      <c r="H65" s="33">
        <f>H$18*$D$65</f>
        <v>0.6159290449740189</v>
      </c>
      <c r="I65" s="33">
        <f>I$18*$D$65</f>
        <v>1.2318580899480378</v>
      </c>
      <c r="J65" s="33">
        <f>J$18*$D$65</f>
        <v>2.4637161798960756</v>
      </c>
      <c r="K65" s="33">
        <f>K$18*$D$65</f>
        <v>4.9274323597921512</v>
      </c>
      <c r="L65" s="33">
        <f>L$18*$D$65</f>
        <v>9.8548647195843024</v>
      </c>
      <c r="M65" s="33">
        <f>M$18*$D$65</f>
        <v>19.709729439168605</v>
      </c>
      <c r="N65" s="33">
        <f>N$18*$D$65</f>
        <v>39.41945887833721</v>
      </c>
      <c r="O65" s="33">
        <f>O$18*$D$65</f>
        <v>78.838917756674419</v>
      </c>
      <c r="P65" s="33">
        <f>P$18*$D$65</f>
        <v>157.67783551334884</v>
      </c>
      <c r="Q65" s="33">
        <f>Q$18*$D$65</f>
        <v>315.35567102669768</v>
      </c>
      <c r="R65" s="33">
        <f>R$18*$D$65</f>
        <v>630.71134205339536</v>
      </c>
      <c r="S65" s="33">
        <f>S$18*$D$65</f>
        <v>1261.4226841067907</v>
      </c>
      <c r="T65" s="33">
        <f>T$18*$D$65</f>
        <v>2522.8453682135814</v>
      </c>
      <c r="U65" s="33">
        <f>U$18*$D$65</f>
        <v>5045.6907364271628</v>
      </c>
      <c r="V65" s="33">
        <f>V$18*$D$65</f>
        <v>10091.381472854326</v>
      </c>
      <c r="W65" s="33">
        <f>W$18*$D$65</f>
        <v>20182.762945708651</v>
      </c>
      <c r="X65" s="33">
        <f>X$18*$D$65</f>
        <v>40365.525891417303</v>
      </c>
      <c r="Y65" s="33">
        <f>Y$18*$D$65</f>
        <v>80731.051782834606</v>
      </c>
      <c r="Z65" s="33">
        <f>Z$18*$D$65</f>
        <v>161462.10356566921</v>
      </c>
      <c r="AA65" s="84">
        <f>AA$18*$D$65</f>
        <v>252619.60222182403</v>
      </c>
      <c r="AB65" s="57"/>
    </row>
    <row r="66" spans="1:28" x14ac:dyDescent="0.25">
      <c r="A66" s="54"/>
      <c r="B66" s="19"/>
      <c r="C66" s="23"/>
      <c r="D66" s="38"/>
      <c r="E66" s="40">
        <v>0</v>
      </c>
      <c r="F66" s="22"/>
      <c r="G66" s="43">
        <f>G$18*$D$65*$E$66</f>
        <v>0</v>
      </c>
      <c r="H66" s="44">
        <f>H$18*$D$65*$E$66</f>
        <v>0</v>
      </c>
      <c r="I66" s="44">
        <f>I$18*$D$65*$E$66</f>
        <v>0</v>
      </c>
      <c r="J66" s="44">
        <f>J$18*$D$65*$E$66</f>
        <v>0</v>
      </c>
      <c r="K66" s="44">
        <f>K$18*$D$65*$E$66</f>
        <v>0</v>
      </c>
      <c r="L66" s="44">
        <f>L$18*$D$65*$E$66</f>
        <v>0</v>
      </c>
      <c r="M66" s="44">
        <f>M$18*$D$65*$E$66</f>
        <v>0</v>
      </c>
      <c r="N66" s="44">
        <f>N$18*$D$65*$E$66</f>
        <v>0</v>
      </c>
      <c r="O66" s="44">
        <f>O$18*$D$65*$E$66</f>
        <v>0</v>
      </c>
      <c r="P66" s="44">
        <f>P$18*$D$65*$E$66</f>
        <v>0</v>
      </c>
      <c r="Q66" s="44">
        <f>Q$18*$D$65*$E$66</f>
        <v>0</v>
      </c>
      <c r="R66" s="44">
        <f>R$18*$D$65*$E$66</f>
        <v>0</v>
      </c>
      <c r="S66" s="44">
        <f>S$18*$D$65*$E$66</f>
        <v>0</v>
      </c>
      <c r="T66" s="44">
        <f>T$18*$D$65*$E$66</f>
        <v>0</v>
      </c>
      <c r="U66" s="44">
        <f>U$18*$D$65*$E$66</f>
        <v>0</v>
      </c>
      <c r="V66" s="44">
        <f>V$18*$D$65*$E$66</f>
        <v>0</v>
      </c>
      <c r="W66" s="44">
        <f>W$18*$D$65*$E$66</f>
        <v>0</v>
      </c>
      <c r="X66" s="44">
        <f>X$18*$D$65*$E$66</f>
        <v>0</v>
      </c>
      <c r="Y66" s="44">
        <f>Y$18*$D$65*$E$66</f>
        <v>0</v>
      </c>
      <c r="Z66" s="44">
        <f>Z$18*$D$65*$E$66</f>
        <v>0</v>
      </c>
      <c r="AA66" s="85">
        <f>AA$18*$D$65*$E$66</f>
        <v>0</v>
      </c>
      <c r="AB66" s="57"/>
    </row>
    <row r="67" spans="1:28" x14ac:dyDescent="0.25">
      <c r="A67" s="53" t="s">
        <v>131</v>
      </c>
      <c r="B67" s="26"/>
      <c r="C67" s="22"/>
      <c r="D67" s="22"/>
      <c r="E67" s="27"/>
      <c r="F67" s="22"/>
      <c r="G67" s="30">
        <f t="shared" ref="G67:W67" si="28">SUM(G49,G51,G53,G55,G57,G59,G61,G63,G65)</f>
        <v>31.249999999999996</v>
      </c>
      <c r="H67" s="31">
        <f t="shared" si="28"/>
        <v>62.499999999999993</v>
      </c>
      <c r="I67" s="31">
        <f t="shared" si="28"/>
        <v>124.99999999999999</v>
      </c>
      <c r="J67" s="31">
        <f t="shared" si="28"/>
        <v>249.99999999999997</v>
      </c>
      <c r="K67" s="31">
        <f t="shared" si="28"/>
        <v>499.99999999999994</v>
      </c>
      <c r="L67" s="31">
        <f>SUM(L49,L51,L53,L55,L57,L59,L61,L63,L65)</f>
        <v>999.99999999999989</v>
      </c>
      <c r="M67" s="31">
        <f t="shared" si="28"/>
        <v>1999.9999999999998</v>
      </c>
      <c r="N67" s="31">
        <f t="shared" si="28"/>
        <v>3999.9999999999995</v>
      </c>
      <c r="O67" s="31">
        <f t="shared" si="28"/>
        <v>7999.9999999999991</v>
      </c>
      <c r="P67" s="31">
        <f t="shared" si="28"/>
        <v>15999.999999999998</v>
      </c>
      <c r="Q67" s="31">
        <f t="shared" si="28"/>
        <v>31999.999999999996</v>
      </c>
      <c r="R67" s="31">
        <f t="shared" si="28"/>
        <v>63999.999999999993</v>
      </c>
      <c r="S67" s="31">
        <f t="shared" si="28"/>
        <v>127999.99999999999</v>
      </c>
      <c r="T67" s="31">
        <f t="shared" si="28"/>
        <v>255999.99999999997</v>
      </c>
      <c r="U67" s="31">
        <f t="shared" si="28"/>
        <v>511999.99999999994</v>
      </c>
      <c r="V67" s="31">
        <f t="shared" si="28"/>
        <v>1023999.9999999999</v>
      </c>
      <c r="W67" s="31">
        <f t="shared" si="28"/>
        <v>2047999.9999999998</v>
      </c>
      <c r="X67" s="31">
        <f t="shared" ref="X67:AA68" si="29">SUM(X49,X51,X53,X55,X57,X59,X61,X63,X65)</f>
        <v>4095999.9999999995</v>
      </c>
      <c r="Y67" s="31">
        <f t="shared" si="29"/>
        <v>8191999.9999999991</v>
      </c>
      <c r="Z67" s="31">
        <f t="shared" si="29"/>
        <v>16383999.999999998</v>
      </c>
      <c r="AA67" s="72">
        <f t="shared" si="29"/>
        <v>25634000</v>
      </c>
      <c r="AB67" s="57"/>
    </row>
    <row r="68" spans="1:28" x14ac:dyDescent="0.25">
      <c r="A68" s="55" t="s">
        <v>130</v>
      </c>
      <c r="B68" s="56"/>
      <c r="C68" s="23"/>
      <c r="D68" s="23"/>
      <c r="E68" s="50"/>
      <c r="F68" s="23"/>
      <c r="G68" s="43">
        <f>SUM(G50,G52,G54,G56,G58,G60,G62,G64,G66)</f>
        <v>0.69269060204264477</v>
      </c>
      <c r="H68" s="44">
        <f>SUM(H50,H52,H54,H56,H58,H60,H62,H64,H66)</f>
        <v>1.3853812040852895</v>
      </c>
      <c r="I68" s="44">
        <f t="shared" ref="I68:W68" si="30">SUM(I50,I52,I54,I56,I58,I60,I62,I64,I66)</f>
        <v>2.7707624081705791</v>
      </c>
      <c r="J68" s="44">
        <f t="shared" si="30"/>
        <v>5.5415248163411581</v>
      </c>
      <c r="K68" s="44">
        <f t="shared" si="30"/>
        <v>11.083049632682316</v>
      </c>
      <c r="L68" s="44">
        <f t="shared" si="30"/>
        <v>22.166099265364632</v>
      </c>
      <c r="M68" s="44">
        <f t="shared" si="30"/>
        <v>44.332198530729265</v>
      </c>
      <c r="N68" s="44">
        <f t="shared" si="30"/>
        <v>88.66439706145853</v>
      </c>
      <c r="O68" s="44">
        <f t="shared" si="30"/>
        <v>177.32879412291706</v>
      </c>
      <c r="P68" s="44">
        <f t="shared" si="30"/>
        <v>354.65758824583412</v>
      </c>
      <c r="Q68" s="44">
        <f t="shared" si="30"/>
        <v>709.31517649166824</v>
      </c>
      <c r="R68" s="44">
        <f t="shared" si="30"/>
        <v>1418.6303529833365</v>
      </c>
      <c r="S68" s="44">
        <f t="shared" si="30"/>
        <v>2837.260705966673</v>
      </c>
      <c r="T68" s="44">
        <f t="shared" si="30"/>
        <v>5674.5214119333459</v>
      </c>
      <c r="U68" s="44">
        <f t="shared" si="30"/>
        <v>11349.042823866692</v>
      </c>
      <c r="V68" s="44">
        <f t="shared" si="30"/>
        <v>22698.085647733384</v>
      </c>
      <c r="W68" s="44">
        <f t="shared" si="30"/>
        <v>45396.171295466767</v>
      </c>
      <c r="X68" s="44">
        <f t="shared" si="29"/>
        <v>90792.342590933535</v>
      </c>
      <c r="Y68" s="44">
        <f t="shared" si="29"/>
        <v>181584.68518186707</v>
      </c>
      <c r="Z68" s="44">
        <f t="shared" si="29"/>
        <v>363169.37036373414</v>
      </c>
      <c r="AA68" s="85">
        <f t="shared" si="29"/>
        <v>568205.78856835701</v>
      </c>
      <c r="AB68" s="57"/>
    </row>
    <row r="69" spans="1:28" x14ac:dyDescent="0.25">
      <c r="A69" s="54"/>
      <c r="B69" s="26"/>
      <c r="C69" s="22"/>
      <c r="D69" s="22"/>
      <c r="E69" s="27"/>
      <c r="F69" s="22"/>
      <c r="G69" s="57"/>
      <c r="H69" s="57"/>
      <c r="I69" s="57"/>
      <c r="J69" s="57"/>
      <c r="K69" s="57"/>
      <c r="L69" s="57"/>
      <c r="M69" s="57"/>
      <c r="N69" s="57"/>
      <c r="O69" s="57"/>
      <c r="P69" s="57"/>
      <c r="Q69" s="57"/>
      <c r="R69" s="57"/>
      <c r="S69" s="57"/>
      <c r="T69" s="57"/>
      <c r="U69" s="57"/>
      <c r="V69" s="57"/>
      <c r="W69" s="57"/>
      <c r="X69" s="57"/>
    </row>
    <row r="70" spans="1:28" x14ac:dyDescent="0.25">
      <c r="A70" s="66" t="s">
        <v>142</v>
      </c>
      <c r="B70" s="26"/>
      <c r="C70" s="22"/>
      <c r="D70" s="22"/>
      <c r="E70" s="27"/>
      <c r="F70" s="22"/>
      <c r="G70" s="57"/>
      <c r="H70" s="57"/>
      <c r="I70" s="57"/>
      <c r="J70" s="57"/>
      <c r="K70" s="57"/>
      <c r="L70" s="57"/>
      <c r="M70" s="57"/>
      <c r="N70" s="57"/>
      <c r="O70" s="57"/>
      <c r="P70" s="57"/>
      <c r="Q70" s="57"/>
      <c r="R70" s="57"/>
      <c r="S70" s="57"/>
      <c r="T70" s="57"/>
      <c r="U70" s="57"/>
      <c r="V70" s="57"/>
      <c r="W70" s="57"/>
      <c r="X70" s="57"/>
    </row>
    <row r="71" spans="1:28" x14ac:dyDescent="0.25">
      <c r="A71" s="16"/>
      <c r="B71" s="21" t="s">
        <v>6</v>
      </c>
      <c r="C71" s="21" t="s">
        <v>4</v>
      </c>
      <c r="D71" s="21"/>
      <c r="E71" s="71" t="s">
        <v>3</v>
      </c>
      <c r="F71" s="21"/>
      <c r="G71" s="21"/>
      <c r="H71" s="21"/>
      <c r="I71" s="21"/>
      <c r="J71" s="21"/>
      <c r="K71" s="21"/>
      <c r="L71" s="21"/>
      <c r="M71" s="21"/>
      <c r="N71" s="21"/>
      <c r="O71" s="21"/>
      <c r="P71" s="21"/>
      <c r="Q71" s="21"/>
      <c r="R71" s="21"/>
      <c r="S71" s="21"/>
      <c r="T71" s="21"/>
      <c r="U71" s="21"/>
      <c r="V71" s="21"/>
      <c r="W71" s="21"/>
      <c r="X71" s="21"/>
      <c r="Y71" s="21"/>
      <c r="Z71" s="21"/>
      <c r="AA71" s="17"/>
      <c r="AB71" s="59"/>
    </row>
    <row r="72" spans="1:28" x14ac:dyDescent="0.25">
      <c r="A72" s="53" t="s">
        <v>2</v>
      </c>
      <c r="B72" s="36">
        <v>0.05</v>
      </c>
      <c r="C72" s="22">
        <f>$B$5 * B72</f>
        <v>1281700</v>
      </c>
      <c r="D72" s="28"/>
      <c r="E72" s="28"/>
      <c r="F72" s="28"/>
      <c r="G72" s="30">
        <f>G$18*$B$72</f>
        <v>1.5625</v>
      </c>
      <c r="H72" s="31">
        <f>H$18*$B$72</f>
        <v>3.125</v>
      </c>
      <c r="I72" s="31">
        <f>I$18*$B$72</f>
        <v>6.25</v>
      </c>
      <c r="J72" s="31">
        <f>J$18*$B$72</f>
        <v>12.5</v>
      </c>
      <c r="K72" s="31">
        <f>K$18*$B$72</f>
        <v>25</v>
      </c>
      <c r="L72" s="31">
        <f>L$18*$B$72</f>
        <v>50</v>
      </c>
      <c r="M72" s="31">
        <f>M$18*$B$72</f>
        <v>100</v>
      </c>
      <c r="N72" s="31">
        <f>N$18*$B$72</f>
        <v>200</v>
      </c>
      <c r="O72" s="31">
        <f>O$18*$B$72</f>
        <v>400</v>
      </c>
      <c r="P72" s="31">
        <f>P$18*$B$72</f>
        <v>800</v>
      </c>
      <c r="Q72" s="31">
        <f>Q$18*$B$72</f>
        <v>1600</v>
      </c>
      <c r="R72" s="31">
        <f>R$18*$B$72</f>
        <v>3200</v>
      </c>
      <c r="S72" s="31">
        <f>S$18*$B$72</f>
        <v>6400</v>
      </c>
      <c r="T72" s="31">
        <f>T$18*$B$72</f>
        <v>12800</v>
      </c>
      <c r="U72" s="31">
        <f>U$18*$B$72</f>
        <v>25600</v>
      </c>
      <c r="V72" s="31">
        <f>V$18*$B$72</f>
        <v>51200</v>
      </c>
      <c r="W72" s="31">
        <f>W$18*$B$72</f>
        <v>102400</v>
      </c>
      <c r="X72" s="31">
        <f>X$18*$B$72</f>
        <v>204800</v>
      </c>
      <c r="Y72" s="31">
        <f>Y$18*$B$72</f>
        <v>409600</v>
      </c>
      <c r="Z72" s="31">
        <f>Z$18*$B$72</f>
        <v>819200</v>
      </c>
      <c r="AA72" s="72">
        <f>AA$18*$B$72</f>
        <v>1281700</v>
      </c>
      <c r="AB72" s="57"/>
    </row>
    <row r="73" spans="1:28" x14ac:dyDescent="0.25">
      <c r="A73" s="53"/>
      <c r="B73" s="28"/>
      <c r="C73" s="28"/>
      <c r="D73" s="37"/>
      <c r="E73" s="58">
        <v>0.105</v>
      </c>
      <c r="F73" s="28"/>
      <c r="G73" s="41">
        <f>G72*$E$73</f>
        <v>0.1640625</v>
      </c>
      <c r="H73" s="42">
        <f t="shared" ref="H73:W73" si="31">H72*$E$73</f>
        <v>0.328125</v>
      </c>
      <c r="I73" s="42">
        <f t="shared" si="31"/>
        <v>0.65625</v>
      </c>
      <c r="J73" s="42">
        <f t="shared" si="31"/>
        <v>1.3125</v>
      </c>
      <c r="K73" s="42">
        <f t="shared" si="31"/>
        <v>2.625</v>
      </c>
      <c r="L73" s="42">
        <f t="shared" si="31"/>
        <v>5.25</v>
      </c>
      <c r="M73" s="42">
        <f t="shared" si="31"/>
        <v>10.5</v>
      </c>
      <c r="N73" s="42">
        <f t="shared" si="31"/>
        <v>21</v>
      </c>
      <c r="O73" s="42">
        <f t="shared" si="31"/>
        <v>42</v>
      </c>
      <c r="P73" s="42">
        <f t="shared" si="31"/>
        <v>84</v>
      </c>
      <c r="Q73" s="42">
        <f t="shared" si="31"/>
        <v>168</v>
      </c>
      <c r="R73" s="42">
        <f t="shared" si="31"/>
        <v>336</v>
      </c>
      <c r="S73" s="42">
        <f t="shared" si="31"/>
        <v>672</v>
      </c>
      <c r="T73" s="42">
        <f t="shared" si="31"/>
        <v>1344</v>
      </c>
      <c r="U73" s="42">
        <f t="shared" si="31"/>
        <v>2688</v>
      </c>
      <c r="V73" s="42">
        <f t="shared" si="31"/>
        <v>5376</v>
      </c>
      <c r="W73" s="42">
        <f t="shared" si="31"/>
        <v>10752</v>
      </c>
      <c r="X73" s="42">
        <f>X72*$E$73</f>
        <v>21504</v>
      </c>
      <c r="Y73" s="42">
        <f>Y72*$E$73</f>
        <v>43008</v>
      </c>
      <c r="Z73" s="42">
        <f>Z72*$E$73</f>
        <v>86016</v>
      </c>
      <c r="AA73" s="83">
        <f>AA72*$E$73</f>
        <v>134578.5</v>
      </c>
      <c r="AB73" s="57"/>
    </row>
    <row r="74" spans="1:28" x14ac:dyDescent="0.25">
      <c r="A74" s="53" t="s">
        <v>5</v>
      </c>
      <c r="B74" s="36">
        <v>4.5999999999999999E-2</v>
      </c>
      <c r="C74" s="22">
        <f>$B$5 * B74</f>
        <v>1179164</v>
      </c>
      <c r="D74" s="59"/>
      <c r="E74" s="28"/>
      <c r="F74" s="28"/>
      <c r="G74" s="32">
        <f>G$18*$B$74</f>
        <v>1.4375</v>
      </c>
      <c r="H74" s="33">
        <f>H$18*$B$74</f>
        <v>2.875</v>
      </c>
      <c r="I74" s="33">
        <f>I$18*$B$74</f>
        <v>5.75</v>
      </c>
      <c r="J74" s="33">
        <f>J$18*$B$74</f>
        <v>11.5</v>
      </c>
      <c r="K74" s="33">
        <f>K$18*$B$74</f>
        <v>23</v>
      </c>
      <c r="L74" s="33">
        <f>L$18*$B$74</f>
        <v>46</v>
      </c>
      <c r="M74" s="33">
        <f>M$18*$B$74</f>
        <v>92</v>
      </c>
      <c r="N74" s="33">
        <f>N$18*$B$74</f>
        <v>184</v>
      </c>
      <c r="O74" s="33">
        <f>O$18*$B$74</f>
        <v>368</v>
      </c>
      <c r="P74" s="33">
        <f>P$18*$B$74</f>
        <v>736</v>
      </c>
      <c r="Q74" s="33">
        <f>Q$18*$B$74</f>
        <v>1472</v>
      </c>
      <c r="R74" s="33">
        <f>R$18*$B$74</f>
        <v>2944</v>
      </c>
      <c r="S74" s="33">
        <f>S$18*$B$74</f>
        <v>5888</v>
      </c>
      <c r="T74" s="33">
        <f>T$18*$B$74</f>
        <v>11776</v>
      </c>
      <c r="U74" s="33">
        <f>U$18*$B$74</f>
        <v>23552</v>
      </c>
      <c r="V74" s="33">
        <f>V$18*$B$74</f>
        <v>47104</v>
      </c>
      <c r="W74" s="33">
        <f>W$18*$B$74</f>
        <v>94208</v>
      </c>
      <c r="X74" s="33">
        <f>X$18*$B$74</f>
        <v>188416</v>
      </c>
      <c r="Y74" s="33">
        <f>Y$18*$B$74</f>
        <v>376832</v>
      </c>
      <c r="Z74" s="33">
        <f>Z$18*$B$74</f>
        <v>753664</v>
      </c>
      <c r="AA74" s="84">
        <f>AA$18*$B$74</f>
        <v>1179164</v>
      </c>
      <c r="AB74" s="57"/>
    </row>
    <row r="75" spans="1:28" x14ac:dyDescent="0.25">
      <c r="A75" s="53"/>
      <c r="B75" s="28"/>
      <c r="C75" s="28"/>
      <c r="D75" s="37"/>
      <c r="E75" s="58">
        <v>7.2999999999999995E-2</v>
      </c>
      <c r="F75" s="28"/>
      <c r="G75" s="41">
        <f t="shared" ref="G75:W75" si="32">G74*$E$75</f>
        <v>0.10493749999999999</v>
      </c>
      <c r="H75" s="42">
        <f t="shared" si="32"/>
        <v>0.20987499999999998</v>
      </c>
      <c r="I75" s="42">
        <f t="shared" si="32"/>
        <v>0.41974999999999996</v>
      </c>
      <c r="J75" s="42">
        <f t="shared" si="32"/>
        <v>0.83949999999999991</v>
      </c>
      <c r="K75" s="42">
        <f t="shared" si="32"/>
        <v>1.6789999999999998</v>
      </c>
      <c r="L75" s="42">
        <f t="shared" si="32"/>
        <v>3.3579999999999997</v>
      </c>
      <c r="M75" s="42">
        <f t="shared" si="32"/>
        <v>6.7159999999999993</v>
      </c>
      <c r="N75" s="42">
        <f t="shared" si="32"/>
        <v>13.431999999999999</v>
      </c>
      <c r="O75" s="42">
        <f t="shared" si="32"/>
        <v>26.863999999999997</v>
      </c>
      <c r="P75" s="42">
        <f t="shared" si="32"/>
        <v>53.727999999999994</v>
      </c>
      <c r="Q75" s="42">
        <f t="shared" si="32"/>
        <v>107.45599999999999</v>
      </c>
      <c r="R75" s="42">
        <f t="shared" si="32"/>
        <v>214.91199999999998</v>
      </c>
      <c r="S75" s="42">
        <f t="shared" si="32"/>
        <v>429.82399999999996</v>
      </c>
      <c r="T75" s="42">
        <f t="shared" si="32"/>
        <v>859.64799999999991</v>
      </c>
      <c r="U75" s="42">
        <f t="shared" si="32"/>
        <v>1719.2959999999998</v>
      </c>
      <c r="V75" s="42">
        <f t="shared" si="32"/>
        <v>3438.5919999999996</v>
      </c>
      <c r="W75" s="42">
        <f t="shared" si="32"/>
        <v>6877.1839999999993</v>
      </c>
      <c r="X75" s="42">
        <f>X74*$E$75</f>
        <v>13754.367999999999</v>
      </c>
      <c r="Y75" s="42">
        <f>Y74*$E$75</f>
        <v>27508.735999999997</v>
      </c>
      <c r="Z75" s="42">
        <f>Z74*$E$75</f>
        <v>55017.471999999994</v>
      </c>
      <c r="AA75" s="83">
        <f>AA74*$E$75</f>
        <v>86078.971999999994</v>
      </c>
      <c r="AB75" s="57"/>
    </row>
    <row r="76" spans="1:28" x14ac:dyDescent="0.25">
      <c r="A76" s="53" t="s">
        <v>7</v>
      </c>
      <c r="B76" s="36">
        <v>0.31</v>
      </c>
      <c r="C76" s="22">
        <f>$B$5 * B76</f>
        <v>7946540</v>
      </c>
      <c r="D76" s="59"/>
      <c r="E76" s="28"/>
      <c r="F76" s="28"/>
      <c r="G76" s="32">
        <f>G$18*$B$76</f>
        <v>9.6875</v>
      </c>
      <c r="H76" s="33">
        <f>H$18*$B$76</f>
        <v>19.375</v>
      </c>
      <c r="I76" s="33">
        <f>I$18*$B$76</f>
        <v>38.75</v>
      </c>
      <c r="J76" s="33">
        <f>J$18*$B$76</f>
        <v>77.5</v>
      </c>
      <c r="K76" s="33">
        <f>K$18*$B$76</f>
        <v>155</v>
      </c>
      <c r="L76" s="33">
        <f>L$18*$B$76</f>
        <v>310</v>
      </c>
      <c r="M76" s="33">
        <f>M$18*$B$76</f>
        <v>620</v>
      </c>
      <c r="N76" s="33">
        <f>N$18*$B$76</f>
        <v>1240</v>
      </c>
      <c r="O76" s="33">
        <f>O$18*$B$76</f>
        <v>2480</v>
      </c>
      <c r="P76" s="33">
        <f>P$18*$B$76</f>
        <v>4960</v>
      </c>
      <c r="Q76" s="33">
        <f>Q$18*$B$76</f>
        <v>9920</v>
      </c>
      <c r="R76" s="33">
        <f>R$18*$B$76</f>
        <v>19840</v>
      </c>
      <c r="S76" s="33">
        <f>S$18*$B$76</f>
        <v>39680</v>
      </c>
      <c r="T76" s="33">
        <f>T$18*$B$76</f>
        <v>79360</v>
      </c>
      <c r="U76" s="33">
        <f>U$18*$B$76</f>
        <v>158720</v>
      </c>
      <c r="V76" s="33">
        <f>V$18*$B$76</f>
        <v>317440</v>
      </c>
      <c r="W76" s="33">
        <f>W$18*$B$76</f>
        <v>634880</v>
      </c>
      <c r="X76" s="33">
        <f>X$18*$B$76</f>
        <v>1269760</v>
      </c>
      <c r="Y76" s="33">
        <f>Y$18*$B$76</f>
        <v>2539520</v>
      </c>
      <c r="Z76" s="33">
        <f>Z$18*$B$76</f>
        <v>5079040</v>
      </c>
      <c r="AA76" s="84">
        <f>AA$18*$B$76</f>
        <v>7946540</v>
      </c>
      <c r="AB76" s="57"/>
    </row>
    <row r="77" spans="1:28" x14ac:dyDescent="0.25">
      <c r="A77" s="53"/>
      <c r="B77" s="28"/>
      <c r="C77" s="28"/>
      <c r="D77" s="37"/>
      <c r="E77" s="58">
        <v>6.3E-2</v>
      </c>
      <c r="F77" s="28"/>
      <c r="G77" s="41">
        <f t="shared" ref="G77:W77" si="33">G76*$E$77</f>
        <v>0.61031250000000004</v>
      </c>
      <c r="H77" s="42">
        <f t="shared" si="33"/>
        <v>1.2206250000000001</v>
      </c>
      <c r="I77" s="42">
        <f t="shared" si="33"/>
        <v>2.4412500000000001</v>
      </c>
      <c r="J77" s="42">
        <f t="shared" si="33"/>
        <v>4.8825000000000003</v>
      </c>
      <c r="K77" s="42">
        <f t="shared" si="33"/>
        <v>9.7650000000000006</v>
      </c>
      <c r="L77" s="42">
        <f t="shared" si="33"/>
        <v>19.53</v>
      </c>
      <c r="M77" s="42">
        <f t="shared" si="33"/>
        <v>39.06</v>
      </c>
      <c r="N77" s="42">
        <f t="shared" si="33"/>
        <v>78.12</v>
      </c>
      <c r="O77" s="42">
        <f t="shared" si="33"/>
        <v>156.24</v>
      </c>
      <c r="P77" s="42">
        <f t="shared" si="33"/>
        <v>312.48</v>
      </c>
      <c r="Q77" s="42">
        <f t="shared" si="33"/>
        <v>624.96</v>
      </c>
      <c r="R77" s="42">
        <f t="shared" si="33"/>
        <v>1249.92</v>
      </c>
      <c r="S77" s="42">
        <f t="shared" si="33"/>
        <v>2499.84</v>
      </c>
      <c r="T77" s="42">
        <f t="shared" si="33"/>
        <v>4999.68</v>
      </c>
      <c r="U77" s="42">
        <f t="shared" si="33"/>
        <v>9999.36</v>
      </c>
      <c r="V77" s="42">
        <f t="shared" si="33"/>
        <v>19998.72</v>
      </c>
      <c r="W77" s="42">
        <f t="shared" si="33"/>
        <v>39997.440000000002</v>
      </c>
      <c r="X77" s="42">
        <f>X76*$E$77</f>
        <v>79994.880000000005</v>
      </c>
      <c r="Y77" s="42">
        <f>Y76*$E$77</f>
        <v>159989.76000000001</v>
      </c>
      <c r="Z77" s="42">
        <f>Z76*$E$77</f>
        <v>319979.52000000002</v>
      </c>
      <c r="AA77" s="83">
        <f>AA76*$E$77</f>
        <v>500632.02</v>
      </c>
      <c r="AB77" s="57"/>
    </row>
    <row r="78" spans="1:28" x14ac:dyDescent="0.25">
      <c r="A78" s="53" t="s">
        <v>8</v>
      </c>
      <c r="B78" s="36">
        <v>0.33700000000000002</v>
      </c>
      <c r="C78" s="22">
        <f>$B$5 * B78</f>
        <v>8638658</v>
      </c>
      <c r="D78" s="59"/>
      <c r="E78" s="28"/>
      <c r="F78" s="28"/>
      <c r="G78" s="32">
        <f>G$18*$B$78</f>
        <v>10.53125</v>
      </c>
      <c r="H78" s="33">
        <f>H$18*$B$78</f>
        <v>21.0625</v>
      </c>
      <c r="I78" s="33">
        <f>I$18*$B$78</f>
        <v>42.125</v>
      </c>
      <c r="J78" s="33">
        <f>J$18*$B$78</f>
        <v>84.25</v>
      </c>
      <c r="K78" s="33">
        <f>K$18*$B$78</f>
        <v>168.5</v>
      </c>
      <c r="L78" s="33">
        <f>L$18*$B$78</f>
        <v>337</v>
      </c>
      <c r="M78" s="33">
        <f>M$18*$B$78</f>
        <v>674</v>
      </c>
      <c r="N78" s="33">
        <f>N$18*$B$78</f>
        <v>1348</v>
      </c>
      <c r="O78" s="33">
        <f>O$18*$B$78</f>
        <v>2696</v>
      </c>
      <c r="P78" s="33">
        <f>P$18*$B$78</f>
        <v>5392</v>
      </c>
      <c r="Q78" s="33">
        <f>Q$18*$B$78</f>
        <v>10784</v>
      </c>
      <c r="R78" s="33">
        <f>R$18*$B$78</f>
        <v>21568</v>
      </c>
      <c r="S78" s="33">
        <f>S$18*$B$78</f>
        <v>43136</v>
      </c>
      <c r="T78" s="33">
        <f>T$18*$B$78</f>
        <v>86272</v>
      </c>
      <c r="U78" s="33">
        <f>U$18*$B$78</f>
        <v>172544</v>
      </c>
      <c r="V78" s="33">
        <f>V$18*$B$78</f>
        <v>345088</v>
      </c>
      <c r="W78" s="33">
        <f>W$18*$B$78</f>
        <v>690176</v>
      </c>
      <c r="X78" s="33">
        <f>X$18*$B$78</f>
        <v>1380352</v>
      </c>
      <c r="Y78" s="33">
        <f>Y$18*$B$78</f>
        <v>2760704</v>
      </c>
      <c r="Z78" s="33">
        <f>Z$18*$B$78</f>
        <v>5521408</v>
      </c>
      <c r="AA78" s="84">
        <f>AA$18*$B$78</f>
        <v>8638658</v>
      </c>
      <c r="AB78" s="57"/>
    </row>
    <row r="79" spans="1:28" x14ac:dyDescent="0.25">
      <c r="A79" s="53"/>
      <c r="B79" s="28"/>
      <c r="C79" s="28"/>
      <c r="D79" s="37"/>
      <c r="E79" s="58">
        <v>0.06</v>
      </c>
      <c r="F79" s="28"/>
      <c r="G79" s="41">
        <f t="shared" ref="G79:W79" si="34">G78*$E$79</f>
        <v>0.63187499999999996</v>
      </c>
      <c r="H79" s="42">
        <f t="shared" si="34"/>
        <v>1.2637499999999999</v>
      </c>
      <c r="I79" s="42">
        <f t="shared" si="34"/>
        <v>2.5274999999999999</v>
      </c>
      <c r="J79" s="42">
        <f t="shared" si="34"/>
        <v>5.0549999999999997</v>
      </c>
      <c r="K79" s="42">
        <f t="shared" si="34"/>
        <v>10.11</v>
      </c>
      <c r="L79" s="42">
        <f t="shared" si="34"/>
        <v>20.22</v>
      </c>
      <c r="M79" s="42">
        <f t="shared" si="34"/>
        <v>40.44</v>
      </c>
      <c r="N79" s="42">
        <f t="shared" si="34"/>
        <v>80.88</v>
      </c>
      <c r="O79" s="42">
        <f t="shared" si="34"/>
        <v>161.76</v>
      </c>
      <c r="P79" s="42">
        <f t="shared" si="34"/>
        <v>323.52</v>
      </c>
      <c r="Q79" s="42">
        <f t="shared" si="34"/>
        <v>647.04</v>
      </c>
      <c r="R79" s="42">
        <f t="shared" si="34"/>
        <v>1294.08</v>
      </c>
      <c r="S79" s="42">
        <f t="shared" si="34"/>
        <v>2588.16</v>
      </c>
      <c r="T79" s="42">
        <f t="shared" si="34"/>
        <v>5176.32</v>
      </c>
      <c r="U79" s="42">
        <f t="shared" si="34"/>
        <v>10352.64</v>
      </c>
      <c r="V79" s="42">
        <f t="shared" si="34"/>
        <v>20705.28</v>
      </c>
      <c r="W79" s="42">
        <f t="shared" si="34"/>
        <v>41410.559999999998</v>
      </c>
      <c r="X79" s="42">
        <f>X78*$E$79</f>
        <v>82821.119999999995</v>
      </c>
      <c r="Y79" s="42">
        <f>Y78*$E$79</f>
        <v>165642.23999999999</v>
      </c>
      <c r="Z79" s="42">
        <f>Z78*$E$79</f>
        <v>331284.47999999998</v>
      </c>
      <c r="AA79" s="83">
        <f>AA78*$E$79</f>
        <v>518319.48</v>
      </c>
      <c r="AB79" s="57"/>
    </row>
    <row r="80" spans="1:28" x14ac:dyDescent="0.25">
      <c r="A80" s="53" t="s">
        <v>9</v>
      </c>
      <c r="B80" s="36">
        <v>1.4999999999999999E-2</v>
      </c>
      <c r="C80" s="22">
        <f>$B$5 * B80</f>
        <v>384510</v>
      </c>
      <c r="D80" s="59"/>
      <c r="E80" s="28"/>
      <c r="F80" s="28"/>
      <c r="G80" s="32">
        <f>G$18*$B$80</f>
        <v>0.46875</v>
      </c>
      <c r="H80" s="33">
        <f>H$18*$B$80</f>
        <v>0.9375</v>
      </c>
      <c r="I80" s="33">
        <f>I$18*$B$80</f>
        <v>1.875</v>
      </c>
      <c r="J80" s="33">
        <f>J$18*$B$80</f>
        <v>3.75</v>
      </c>
      <c r="K80" s="33">
        <f>K$18*$B$80</f>
        <v>7.5</v>
      </c>
      <c r="L80" s="33">
        <f>L$18*$B$80</f>
        <v>15</v>
      </c>
      <c r="M80" s="33">
        <f>M$18*$B$80</f>
        <v>30</v>
      </c>
      <c r="N80" s="33">
        <f>N$18*$B$80</f>
        <v>60</v>
      </c>
      <c r="O80" s="33">
        <f>O$18*$B$80</f>
        <v>120</v>
      </c>
      <c r="P80" s="33">
        <f>P$18*$B$80</f>
        <v>240</v>
      </c>
      <c r="Q80" s="33">
        <f>Q$18*$B$80</f>
        <v>480</v>
      </c>
      <c r="R80" s="33">
        <f>R$18*$B$80</f>
        <v>960</v>
      </c>
      <c r="S80" s="33">
        <f>S$18*$B$80</f>
        <v>1920</v>
      </c>
      <c r="T80" s="33">
        <f>T$18*$B$80</f>
        <v>3840</v>
      </c>
      <c r="U80" s="33">
        <f>U$18*$B$80</f>
        <v>7680</v>
      </c>
      <c r="V80" s="33">
        <f>V$18*$B$80</f>
        <v>15360</v>
      </c>
      <c r="W80" s="33">
        <f>W$18*$B$80</f>
        <v>30720</v>
      </c>
      <c r="X80" s="33">
        <f>X$18*$B$80</f>
        <v>61440</v>
      </c>
      <c r="Y80" s="33">
        <f>Y$18*$B$80</f>
        <v>122880</v>
      </c>
      <c r="Z80" s="33">
        <f>Z$18*$B$80</f>
        <v>245760</v>
      </c>
      <c r="AA80" s="84">
        <f>AA$18*$B$80</f>
        <v>384510</v>
      </c>
      <c r="AB80" s="57"/>
    </row>
    <row r="81" spans="1:28" x14ac:dyDescent="0.25">
      <c r="A81" s="53"/>
      <c r="B81" s="28"/>
      <c r="C81" s="28"/>
      <c r="D81" s="37"/>
      <c r="E81" s="58">
        <v>5.6000000000000001E-2</v>
      </c>
      <c r="F81" s="28"/>
      <c r="G81" s="41">
        <f t="shared" ref="G81:W81" si="35">G80*$E$81</f>
        <v>2.6249999999999999E-2</v>
      </c>
      <c r="H81" s="42">
        <f t="shared" si="35"/>
        <v>5.2499999999999998E-2</v>
      </c>
      <c r="I81" s="42">
        <f t="shared" si="35"/>
        <v>0.105</v>
      </c>
      <c r="J81" s="42">
        <f t="shared" si="35"/>
        <v>0.21</v>
      </c>
      <c r="K81" s="42">
        <f t="shared" si="35"/>
        <v>0.42</v>
      </c>
      <c r="L81" s="42">
        <f t="shared" si="35"/>
        <v>0.84</v>
      </c>
      <c r="M81" s="42">
        <f t="shared" si="35"/>
        <v>1.68</v>
      </c>
      <c r="N81" s="42">
        <f t="shared" si="35"/>
        <v>3.36</v>
      </c>
      <c r="O81" s="42">
        <f t="shared" si="35"/>
        <v>6.72</v>
      </c>
      <c r="P81" s="42">
        <f t="shared" si="35"/>
        <v>13.44</v>
      </c>
      <c r="Q81" s="42">
        <f t="shared" si="35"/>
        <v>26.88</v>
      </c>
      <c r="R81" s="42">
        <f t="shared" si="35"/>
        <v>53.76</v>
      </c>
      <c r="S81" s="42">
        <f t="shared" si="35"/>
        <v>107.52</v>
      </c>
      <c r="T81" s="42">
        <f t="shared" si="35"/>
        <v>215.04</v>
      </c>
      <c r="U81" s="42">
        <f t="shared" si="35"/>
        <v>430.08</v>
      </c>
      <c r="V81" s="42">
        <f t="shared" si="35"/>
        <v>860.16</v>
      </c>
      <c r="W81" s="42">
        <f t="shared" si="35"/>
        <v>1720.32</v>
      </c>
      <c r="X81" s="42">
        <f>X80*$E$81</f>
        <v>3440.64</v>
      </c>
      <c r="Y81" s="42">
        <f>Y80*$E$81</f>
        <v>6881.28</v>
      </c>
      <c r="Z81" s="42">
        <f>Z80*$E$81</f>
        <v>13762.56</v>
      </c>
      <c r="AA81" s="83">
        <f>AA80*$E$81</f>
        <v>21532.560000000001</v>
      </c>
      <c r="AB81" s="57"/>
    </row>
    <row r="82" spans="1:28" x14ac:dyDescent="0.25">
      <c r="A82" s="53" t="s">
        <v>10</v>
      </c>
      <c r="B82" s="36">
        <v>0.161</v>
      </c>
      <c r="C82" s="22">
        <f>$B$5 * B82</f>
        <v>4127074</v>
      </c>
      <c r="D82" s="59"/>
      <c r="E82" s="28"/>
      <c r="F82" s="28"/>
      <c r="G82" s="32">
        <f>G$18*$B$82</f>
        <v>5.03125</v>
      </c>
      <c r="H82" s="33">
        <f>H$18*$B$82</f>
        <v>10.0625</v>
      </c>
      <c r="I82" s="33">
        <f>I$18*$B$82</f>
        <v>20.125</v>
      </c>
      <c r="J82" s="33">
        <f>J$18*$B$82</f>
        <v>40.25</v>
      </c>
      <c r="K82" s="33">
        <f>K$18*$B$82</f>
        <v>80.5</v>
      </c>
      <c r="L82" s="33">
        <f>L$18*$B$82</f>
        <v>161</v>
      </c>
      <c r="M82" s="33">
        <f>M$18*$B$82</f>
        <v>322</v>
      </c>
      <c r="N82" s="33">
        <f>N$18*$B$82</f>
        <v>644</v>
      </c>
      <c r="O82" s="33">
        <f>O$18*$B$82</f>
        <v>1288</v>
      </c>
      <c r="P82" s="33">
        <f>P$18*$B$82</f>
        <v>2576</v>
      </c>
      <c r="Q82" s="33">
        <f>Q$18*$B$82</f>
        <v>5152</v>
      </c>
      <c r="R82" s="33">
        <f>R$18*$B$82</f>
        <v>10304</v>
      </c>
      <c r="S82" s="33">
        <f>S$18*$B$82</f>
        <v>20608</v>
      </c>
      <c r="T82" s="33">
        <f>T$18*$B$82</f>
        <v>41216</v>
      </c>
      <c r="U82" s="33">
        <f>U$18*$B$82</f>
        <v>82432</v>
      </c>
      <c r="V82" s="33">
        <f>V$18*$B$82</f>
        <v>164864</v>
      </c>
      <c r="W82" s="33">
        <f>W$18*$B$82</f>
        <v>329728</v>
      </c>
      <c r="X82" s="33">
        <f>X$18*$B$82</f>
        <v>659456</v>
      </c>
      <c r="Y82" s="33">
        <f>Y$18*$B$82</f>
        <v>1318912</v>
      </c>
      <c r="Z82" s="33">
        <f>Z$18*$B$82</f>
        <v>2637824</v>
      </c>
      <c r="AA82" s="84">
        <f>AA$18*$B$82</f>
        <v>4127074</v>
      </c>
      <c r="AB82" s="57"/>
    </row>
    <row r="83" spans="1:28" x14ac:dyDescent="0.25">
      <c r="A83" s="49"/>
      <c r="B83" s="51"/>
      <c r="C83" s="51"/>
      <c r="D83" s="67"/>
      <c r="E83" s="68" t="s">
        <v>11</v>
      </c>
      <c r="F83" s="51"/>
      <c r="G83" s="43" t="s">
        <v>11</v>
      </c>
      <c r="H83" s="44" t="s">
        <v>11</v>
      </c>
      <c r="I83" s="44" t="s">
        <v>11</v>
      </c>
      <c r="J83" s="44" t="s">
        <v>11</v>
      </c>
      <c r="K83" s="44" t="s">
        <v>11</v>
      </c>
      <c r="L83" s="44" t="s">
        <v>11</v>
      </c>
      <c r="M83" s="44" t="s">
        <v>11</v>
      </c>
      <c r="N83" s="44" t="s">
        <v>11</v>
      </c>
      <c r="O83" s="44" t="s">
        <v>11</v>
      </c>
      <c r="P83" s="44" t="s">
        <v>11</v>
      </c>
      <c r="Q83" s="44" t="s">
        <v>11</v>
      </c>
      <c r="R83" s="44" t="s">
        <v>11</v>
      </c>
      <c r="S83" s="44" t="s">
        <v>11</v>
      </c>
      <c r="T83" s="44" t="s">
        <v>11</v>
      </c>
      <c r="U83" s="44" t="s">
        <v>11</v>
      </c>
      <c r="V83" s="44" t="s">
        <v>11</v>
      </c>
      <c r="W83" s="44" t="s">
        <v>11</v>
      </c>
      <c r="X83" s="44" t="s">
        <v>11</v>
      </c>
      <c r="Y83" s="44" t="s">
        <v>11</v>
      </c>
      <c r="Z83" s="44" t="s">
        <v>11</v>
      </c>
      <c r="AA83" s="85" t="s">
        <v>11</v>
      </c>
      <c r="AB83" s="57"/>
    </row>
    <row r="84" spans="1:28" x14ac:dyDescent="0.25">
      <c r="A84" s="53"/>
      <c r="B84" s="28"/>
      <c r="C84" s="28"/>
      <c r="D84" s="59"/>
      <c r="E84" s="28"/>
      <c r="F84" s="28"/>
      <c r="G84" s="32">
        <f>SUM(G72,G74,G76,G78,G80,G82)</f>
        <v>28.71875</v>
      </c>
      <c r="H84" s="33">
        <f t="shared" ref="H84:W84" si="36">SUM(H72,H74,H76,H78,H80,H82)</f>
        <v>57.4375</v>
      </c>
      <c r="I84" s="33">
        <f t="shared" si="36"/>
        <v>114.875</v>
      </c>
      <c r="J84" s="33">
        <f t="shared" si="36"/>
        <v>229.75</v>
      </c>
      <c r="K84" s="33">
        <f t="shared" si="36"/>
        <v>459.5</v>
      </c>
      <c r="L84" s="33">
        <f t="shared" si="36"/>
        <v>919</v>
      </c>
      <c r="M84" s="33">
        <f>SUM(M72,M74,M76,M78,M80,M82)</f>
        <v>1838</v>
      </c>
      <c r="N84" s="33">
        <f t="shared" si="36"/>
        <v>3676</v>
      </c>
      <c r="O84" s="33">
        <f t="shared" si="36"/>
        <v>7352</v>
      </c>
      <c r="P84" s="33">
        <f t="shared" si="36"/>
        <v>14704</v>
      </c>
      <c r="Q84" s="33">
        <f t="shared" si="36"/>
        <v>29408</v>
      </c>
      <c r="R84" s="33">
        <f t="shared" si="36"/>
        <v>58816</v>
      </c>
      <c r="S84" s="33">
        <f t="shared" si="36"/>
        <v>117632</v>
      </c>
      <c r="T84" s="33">
        <f t="shared" si="36"/>
        <v>235264</v>
      </c>
      <c r="U84" s="33">
        <f t="shared" si="36"/>
        <v>470528</v>
      </c>
      <c r="V84" s="33">
        <f t="shared" si="36"/>
        <v>941056</v>
      </c>
      <c r="W84" s="33">
        <f t="shared" si="36"/>
        <v>1882112</v>
      </c>
      <c r="X84" s="33">
        <f t="shared" ref="X84:AA85" si="37">SUM(X72,X74,X76,X78,X80,X82)</f>
        <v>3764224</v>
      </c>
      <c r="Y84" s="33">
        <f t="shared" si="37"/>
        <v>7528448</v>
      </c>
      <c r="Z84" s="33">
        <f t="shared" si="37"/>
        <v>15056896</v>
      </c>
      <c r="AA84" s="84">
        <f t="shared" si="37"/>
        <v>23557646</v>
      </c>
      <c r="AB84" s="57"/>
    </row>
    <row r="85" spans="1:28" x14ac:dyDescent="0.25">
      <c r="A85" s="49" t="s">
        <v>132</v>
      </c>
      <c r="B85" s="51"/>
      <c r="C85" s="51"/>
      <c r="D85" s="51"/>
      <c r="E85" s="51"/>
      <c r="F85" s="51"/>
      <c r="G85" s="43">
        <f>SUM(G73,G75,G77,G79,G81,G83)</f>
        <v>1.5374375000000002</v>
      </c>
      <c r="H85" s="44">
        <f t="shared" ref="H85:W85" si="38">SUM(H73,H75,H77,H79,H81,H83)</f>
        <v>3.0748750000000005</v>
      </c>
      <c r="I85" s="44">
        <f t="shared" si="38"/>
        <v>6.1497500000000009</v>
      </c>
      <c r="J85" s="44">
        <f t="shared" si="38"/>
        <v>12.299500000000002</v>
      </c>
      <c r="K85" s="44">
        <f t="shared" si="38"/>
        <v>24.599000000000004</v>
      </c>
      <c r="L85" s="44">
        <f t="shared" si="38"/>
        <v>49.198000000000008</v>
      </c>
      <c r="M85" s="44">
        <f t="shared" si="38"/>
        <v>98.396000000000015</v>
      </c>
      <c r="N85" s="44">
        <f t="shared" si="38"/>
        <v>196.79200000000003</v>
      </c>
      <c r="O85" s="44">
        <f t="shared" si="38"/>
        <v>393.58400000000006</v>
      </c>
      <c r="P85" s="44">
        <f t="shared" si="38"/>
        <v>787.16800000000012</v>
      </c>
      <c r="Q85" s="44">
        <f t="shared" si="38"/>
        <v>1574.3360000000002</v>
      </c>
      <c r="R85" s="44">
        <f t="shared" si="38"/>
        <v>3148.6720000000005</v>
      </c>
      <c r="S85" s="44">
        <f t="shared" si="38"/>
        <v>6297.344000000001</v>
      </c>
      <c r="T85" s="44">
        <f t="shared" si="38"/>
        <v>12594.688000000002</v>
      </c>
      <c r="U85" s="44">
        <f t="shared" si="38"/>
        <v>25189.376000000004</v>
      </c>
      <c r="V85" s="44">
        <f t="shared" si="38"/>
        <v>50378.752000000008</v>
      </c>
      <c r="W85" s="44">
        <f t="shared" si="38"/>
        <v>100757.50400000002</v>
      </c>
      <c r="X85" s="44">
        <f t="shared" si="37"/>
        <v>201515.00800000003</v>
      </c>
      <c r="Y85" s="44">
        <f t="shared" si="37"/>
        <v>403030.01600000006</v>
      </c>
      <c r="Z85" s="44">
        <f t="shared" si="37"/>
        <v>806060.03200000012</v>
      </c>
      <c r="AA85" s="85">
        <f t="shared" si="37"/>
        <v>1261141.5320000001</v>
      </c>
      <c r="AB85" s="57"/>
    </row>
  </sheetData>
  <conditionalFormatting sqref="G29:AB29">
    <cfRule type="cellIs" dxfId="4" priority="22" operator="greaterThan">
      <formula>$C$8</formula>
    </cfRule>
  </conditionalFormatting>
  <conditionalFormatting sqref="G31:AA31">
    <cfRule type="cellIs" dxfId="14" priority="21" operator="greaterThan">
      <formula>$C$9</formula>
    </cfRule>
  </conditionalFormatting>
  <conditionalFormatting sqref="G49:AA49">
    <cfRule type="cellIs" dxfId="13" priority="20" operator="greaterThan">
      <formula>$C$49</formula>
    </cfRule>
  </conditionalFormatting>
  <conditionalFormatting sqref="G51:AA51">
    <cfRule type="cellIs" dxfId="12" priority="19" operator="greaterThan">
      <formula>$C$51</formula>
    </cfRule>
  </conditionalFormatting>
  <conditionalFormatting sqref="G53:AA53">
    <cfRule type="cellIs" dxfId="11" priority="18" operator="greaterThan">
      <formula>$C$53</formula>
    </cfRule>
  </conditionalFormatting>
  <conditionalFormatting sqref="G55:AA55">
    <cfRule type="cellIs" dxfId="10" priority="10" operator="greaterThan">
      <formula>$C$55</formula>
    </cfRule>
  </conditionalFormatting>
  <conditionalFormatting sqref="G57:AA57">
    <cfRule type="cellIs" dxfId="9" priority="9" operator="greaterThan">
      <formula>$C$57</formula>
    </cfRule>
  </conditionalFormatting>
  <conditionalFormatting sqref="G59:AA59">
    <cfRule type="cellIs" dxfId="8" priority="8" operator="greaterThan">
      <formula>$C$59</formula>
    </cfRule>
  </conditionalFormatting>
  <conditionalFormatting sqref="G61:AA61">
    <cfRule type="cellIs" dxfId="7" priority="7" operator="greaterThan">
      <formula>$C$61</formula>
    </cfRule>
  </conditionalFormatting>
  <conditionalFormatting sqref="G63:AA63">
    <cfRule type="cellIs" dxfId="6" priority="6" operator="greaterThan">
      <formula>$C$63</formula>
    </cfRule>
  </conditionalFormatting>
  <conditionalFormatting sqref="G65:AA65">
    <cfRule type="cellIs" dxfId="5" priority="5" operator="greaterThan">
      <formula>$C$65</formula>
    </cfRule>
  </conditionalFormatting>
  <conditionalFormatting sqref="G20:AA20">
    <cfRule type="cellIs" dxfId="3" priority="4" operator="equal">
      <formula>0</formula>
    </cfRule>
  </conditionalFormatting>
  <conditionalFormatting sqref="G27:AA27">
    <cfRule type="cellIs" dxfId="2" priority="3" operator="equal">
      <formula>0</formula>
    </cfRule>
  </conditionalFormatting>
  <conditionalFormatting sqref="G29:AA29">
    <cfRule type="cellIs" dxfId="1" priority="2" operator="equal">
      <formula>0</formula>
    </cfRule>
  </conditionalFormatting>
  <conditionalFormatting sqref="H31:AA31">
    <cfRule type="cellIs" dxfId="0" priority="1" operator="equal">
      <formula>0</formula>
    </cfRule>
  </conditionalFormatting>
  <hyperlinks>
    <hyperlink ref="D48" r:id="rId1" xr:uid="{98D6456F-EA03-4FCB-8D3D-1822F6B38CCF}"/>
    <hyperlink ref="E48" r:id="rId2" location="case-fatality-rate-of-covid-19-by-age" xr:uid="{0058192C-B05A-45D2-8597-C1F9B3D9241E}"/>
    <hyperlink ref="E71" r:id="rId3" location="case-fatality-rate-of-covid-19-by-preexisting-health-conditions" xr:uid="{110A2613-24A6-4768-B90C-571B307D13E2}"/>
    <hyperlink ref="B5" r:id="rId4" display="https://www.abs.gov.au/ausstats/abs@.nsf/0/1647509ef7e25faaca2568a900154b63?opendocument" xr:uid="{63727E5E-0850-4414-8DD8-E50A09A5AEE8}"/>
    <hyperlink ref="B48" r:id="rId5" xr:uid="{E432DB14-5D35-4B35-8F24-1C070D7F22B3}"/>
  </hyperlinks>
  <pageMargins left="0.7" right="0.7" top="0.75" bottom="0.75" header="0.3" footer="0.3"/>
  <pageSetup paperSize="9" orientation="portrait" horizontalDpi="0" verticalDpi="0"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M14" sqref="M14"/>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202" t="s">
        <v>229</v>
      </c>
      <c r="C3" s="186">
        <f>Projections!B5</f>
        <v>25634000</v>
      </c>
      <c r="J3" s="2"/>
    </row>
    <row r="4" spans="2:10" x14ac:dyDescent="0.25">
      <c r="B4" s="203" t="s">
        <v>247</v>
      </c>
      <c r="C4" s="186">
        <v>32</v>
      </c>
      <c r="J4" s="2"/>
    </row>
    <row r="5" spans="2:10" x14ac:dyDescent="0.25">
      <c r="B5" s="203" t="s">
        <v>248</v>
      </c>
      <c r="C5" s="184">
        <v>43892</v>
      </c>
      <c r="J5" s="2"/>
    </row>
    <row r="6" spans="2:10" x14ac:dyDescent="0.25">
      <c r="B6" s="203" t="s">
        <v>230</v>
      </c>
      <c r="C6" s="186">
        <v>6024</v>
      </c>
    </row>
    <row r="7" spans="2:10" x14ac:dyDescent="0.25">
      <c r="B7" s="203" t="s">
        <v>232</v>
      </c>
      <c r="C7" s="184">
        <f ca="1">NOW()</f>
        <v>43929.975687962964</v>
      </c>
    </row>
    <row r="8" spans="2:10" x14ac:dyDescent="0.25">
      <c r="B8" s="203" t="s">
        <v>249</v>
      </c>
      <c r="C8" s="185">
        <f ca="1">C7-C5</f>
        <v>37.975687962964003</v>
      </c>
    </row>
    <row r="9" spans="2:10" x14ac:dyDescent="0.25">
      <c r="B9" s="203" t="s">
        <v>231</v>
      </c>
      <c r="C9" s="187">
        <f ca="1">C8/(LOG(C6/C4)/LOG(2))</f>
        <v>5.0255617726243917</v>
      </c>
      <c r="D9" t="s">
        <v>204</v>
      </c>
      <c r="F9" t="s">
        <v>250</v>
      </c>
    </row>
    <row r="10" spans="2:10" x14ac:dyDescent="0.25">
      <c r="B10" s="203" t="s">
        <v>236</v>
      </c>
      <c r="C10" s="186">
        <f>Projections!C8</f>
        <v>66648.400000000009</v>
      </c>
    </row>
    <row r="11" spans="2:10" x14ac:dyDescent="0.25">
      <c r="B11" s="204" t="s">
        <v>237</v>
      </c>
      <c r="C11" s="191">
        <f>Projections!C9</f>
        <v>1896.9159999999999</v>
      </c>
    </row>
    <row r="12" spans="2:10" s="81" customFormat="1" x14ac:dyDescent="0.25">
      <c r="B12" s="74" t="s">
        <v>285</v>
      </c>
      <c r="C12" s="192">
        <f>C6/Projections!B6</f>
        <v>18254.545454545452</v>
      </c>
    </row>
    <row r="13" spans="2:10" s="81" customFormat="1" x14ac:dyDescent="0.25">
      <c r="B13" s="60" t="s">
        <v>286</v>
      </c>
      <c r="C13" s="193">
        <f ca="1">(C4/Projections!B6)*(2^(((C7-21)-C5)/C9))</f>
        <v>1008.0355480135171</v>
      </c>
    </row>
    <row r="14" spans="2:10" s="81" customFormat="1" x14ac:dyDescent="0.25">
      <c r="B14" s="61" t="s">
        <v>287</v>
      </c>
      <c r="C14" s="171">
        <f ca="1">C12-C13</f>
        <v>17246.509906531934</v>
      </c>
      <c r="E14" s="189"/>
      <c r="F14" s="190" t="s">
        <v>254</v>
      </c>
      <c r="G14" s="188"/>
    </row>
    <row r="15" spans="2:10" x14ac:dyDescent="0.25">
      <c r="B15" s="16" t="s">
        <v>251</v>
      </c>
      <c r="C15" s="76">
        <f>C6*Projections!B10</f>
        <v>4879.4400000000005</v>
      </c>
      <c r="I15" s="183"/>
    </row>
    <row r="16" spans="2:10" x14ac:dyDescent="0.25">
      <c r="B16" s="53" t="s">
        <v>261</v>
      </c>
      <c r="C16" s="96">
        <f ca="1">(C4*Projections!B10)*(2^(((C7-21)-C5)/C9))</f>
        <v>269.44790198401313</v>
      </c>
      <c r="I16" s="183"/>
    </row>
    <row r="17" spans="2:9" x14ac:dyDescent="0.25">
      <c r="B17" s="53" t="s">
        <v>252</v>
      </c>
      <c r="C17" s="96">
        <f ca="1">C15-C16</f>
        <v>4609.9920980159877</v>
      </c>
      <c r="F17" t="s">
        <v>255</v>
      </c>
      <c r="I17" s="183"/>
    </row>
    <row r="18" spans="2:9" x14ac:dyDescent="0.25">
      <c r="B18" s="16" t="s">
        <v>257</v>
      </c>
      <c r="C18" s="76">
        <f>C6*Projections!B11</f>
        <v>843.36000000000013</v>
      </c>
    </row>
    <row r="19" spans="2:9" x14ac:dyDescent="0.25">
      <c r="B19" s="53" t="s">
        <v>262</v>
      </c>
      <c r="C19" s="96">
        <f ca="1">(C4*Projections!B11)*(2^(((C7-49)-C5)/C9))</f>
        <v>0.97931916944612896</v>
      </c>
    </row>
    <row r="20" spans="2:9" x14ac:dyDescent="0.25">
      <c r="B20" s="53" t="s">
        <v>256</v>
      </c>
      <c r="C20" s="96">
        <f ca="1">C18-C19</f>
        <v>842.38068083055396</v>
      </c>
      <c r="F20" t="s">
        <v>260</v>
      </c>
    </row>
    <row r="21" spans="2:9" x14ac:dyDescent="0.25">
      <c r="B21" s="16" t="s">
        <v>258</v>
      </c>
      <c r="C21" s="76">
        <f>C6*Projections!B12</f>
        <v>301.2</v>
      </c>
      <c r="I21" s="183"/>
    </row>
    <row r="22" spans="2:9" x14ac:dyDescent="0.25">
      <c r="B22" s="53" t="s">
        <v>263</v>
      </c>
      <c r="C22" s="96">
        <f ca="1">(C4*Projections!B12)*(2^(((C7-49)-C5)/C9))</f>
        <v>0.34975684623076031</v>
      </c>
      <c r="I22" s="183"/>
    </row>
    <row r="23" spans="2:9" x14ac:dyDescent="0.25">
      <c r="B23" s="53" t="s">
        <v>259</v>
      </c>
      <c r="C23" s="96">
        <f ca="1">C21-C22</f>
        <v>300.85024315376921</v>
      </c>
      <c r="I23" s="183"/>
    </row>
    <row r="24" spans="2:9" x14ac:dyDescent="0.25">
      <c r="B24" s="16" t="s">
        <v>264</v>
      </c>
      <c r="C24" s="76">
        <f>C6*Projections!B13</f>
        <v>210.84000000000003</v>
      </c>
    </row>
    <row r="25" spans="2:9" x14ac:dyDescent="0.25">
      <c r="B25" s="49" t="s">
        <v>265</v>
      </c>
      <c r="C25" s="73">
        <f ca="1">(C4*Projections!B13)*(2^(((C7-42)-C5)/C9))</f>
        <v>0.64292846799195635</v>
      </c>
      <c r="F25" t="s">
        <v>266</v>
      </c>
    </row>
    <row r="26" spans="2:9" x14ac:dyDescent="0.25">
      <c r="B26" s="53" t="s">
        <v>242</v>
      </c>
      <c r="C26" s="196">
        <f ca="1">C9*(LOG(C10/C21)/LOG(2))</f>
        <v>39.147641965984455</v>
      </c>
      <c r="D26" t="s">
        <v>204</v>
      </c>
      <c r="F26" s="81" t="s">
        <v>267</v>
      </c>
    </row>
    <row r="27" spans="2:9" x14ac:dyDescent="0.25">
      <c r="B27" s="49" t="s">
        <v>238</v>
      </c>
      <c r="C27" s="195">
        <f ca="1">C7+C26</f>
        <v>43969.123329928945</v>
      </c>
      <c r="F27" t="s">
        <v>268</v>
      </c>
    </row>
    <row r="28" spans="2:9" x14ac:dyDescent="0.25">
      <c r="B28" s="16" t="s">
        <v>243</v>
      </c>
      <c r="C28" s="194">
        <f ca="1">C9*(LOG(C11/C21)/LOG(2))</f>
        <v>13.342173577022132</v>
      </c>
      <c r="D28" t="s">
        <v>204</v>
      </c>
    </row>
    <row r="29" spans="2:9" x14ac:dyDescent="0.25">
      <c r="B29" s="49" t="s">
        <v>239</v>
      </c>
      <c r="C29" s="195">
        <f ca="1">C7+C28</f>
        <v>43943.317861539988</v>
      </c>
      <c r="F29" t="s">
        <v>268</v>
      </c>
    </row>
    <row r="30" spans="2:9" x14ac:dyDescent="0.25">
      <c r="B30" s="16" t="s">
        <v>244</v>
      </c>
      <c r="C30" s="194">
        <f ca="1">C9*(LOG((C3*0.6)/C12)/LOG(2))</f>
        <v>48.841533010935741</v>
      </c>
      <c r="D30" t="s">
        <v>204</v>
      </c>
    </row>
    <row r="31" spans="2:9" x14ac:dyDescent="0.25">
      <c r="B31" s="49" t="s">
        <v>241</v>
      </c>
      <c r="C31" s="195">
        <f ca="1">C7+C30</f>
        <v>43978.817220973899</v>
      </c>
    </row>
    <row r="34" spans="2:6" x14ac:dyDescent="0.25">
      <c r="B34" s="16" t="s">
        <v>245</v>
      </c>
      <c r="C34" s="184">
        <f ca="1">C7+30</f>
        <v>43959.975687962964</v>
      </c>
      <c r="F34" t="s">
        <v>288</v>
      </c>
    </row>
    <row r="35" spans="2:6" x14ac:dyDescent="0.25">
      <c r="B35" s="53" t="s">
        <v>246</v>
      </c>
      <c r="C35" s="96">
        <f ca="1">C6*(2^((C34-C7)/C9))</f>
        <v>377466.20198121882</v>
      </c>
      <c r="F35" t="s">
        <v>253</v>
      </c>
    </row>
    <row r="36" spans="2:6" x14ac:dyDescent="0.25">
      <c r="B36" s="53" t="s">
        <v>240</v>
      </c>
      <c r="C36" s="96">
        <f ca="1">C35/Projections!B6</f>
        <v>1143836.9757006629</v>
      </c>
    </row>
    <row r="37" spans="2:6" x14ac:dyDescent="0.25">
      <c r="B37" s="53" t="s">
        <v>176</v>
      </c>
      <c r="C37" s="96">
        <f ca="1">C35*Projections!B10</f>
        <v>305747.62360478728</v>
      </c>
    </row>
    <row r="38" spans="2:6" x14ac:dyDescent="0.25">
      <c r="B38" s="53" t="s">
        <v>233</v>
      </c>
      <c r="C38" s="96">
        <f ca="1">C35*Projections!B11</f>
        <v>52845.26827737064</v>
      </c>
    </row>
    <row r="39" spans="2:6" x14ac:dyDescent="0.25">
      <c r="B39" s="53" t="s">
        <v>234</v>
      </c>
      <c r="C39" s="96">
        <f ca="1">C35*Projections!B12</f>
        <v>18873.310099060942</v>
      </c>
    </row>
    <row r="40" spans="2:6" x14ac:dyDescent="0.25">
      <c r="B40" s="49" t="s">
        <v>235</v>
      </c>
      <c r="C40" s="73">
        <f ca="1">C35*Projections!B13</f>
        <v>13211.31706934266</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K15"/>
    </sheetView>
  </sheetViews>
  <sheetFormatPr defaultRowHeight="15" x14ac:dyDescent="0.25"/>
  <sheetData>
    <row r="1" spans="1:12" x14ac:dyDescent="0.25">
      <c r="A1" t="s">
        <v>129</v>
      </c>
      <c r="B1" t="s">
        <v>148</v>
      </c>
    </row>
    <row r="2" spans="1:12" x14ac:dyDescent="0.25">
      <c r="A2" s="6" t="s">
        <v>22</v>
      </c>
      <c r="B2" s="7">
        <v>302684</v>
      </c>
      <c r="L2" s="88"/>
    </row>
    <row r="3" spans="1:12" x14ac:dyDescent="0.25">
      <c r="A3" s="8" t="s">
        <v>23</v>
      </c>
      <c r="B3" s="9">
        <v>304818</v>
      </c>
      <c r="L3" s="88"/>
    </row>
    <row r="4" spans="1:12" x14ac:dyDescent="0.25">
      <c r="A4" s="8" t="s">
        <v>24</v>
      </c>
      <c r="B4" s="9">
        <v>311200</v>
      </c>
      <c r="L4" s="88"/>
    </row>
    <row r="5" spans="1:12" x14ac:dyDescent="0.25">
      <c r="A5" s="8" t="s">
        <v>25</v>
      </c>
      <c r="B5" s="9">
        <v>326896</v>
      </c>
      <c r="L5" s="88"/>
    </row>
    <row r="6" spans="1:12" x14ac:dyDescent="0.25">
      <c r="A6" s="8" t="s">
        <v>26</v>
      </c>
      <c r="B6" s="9">
        <v>321565</v>
      </c>
      <c r="L6" s="88"/>
    </row>
    <row r="7" spans="1:12" x14ac:dyDescent="0.25">
      <c r="A7" s="10" t="s">
        <v>27</v>
      </c>
      <c r="B7" s="11">
        <v>1567163</v>
      </c>
      <c r="L7" s="89"/>
    </row>
    <row r="8" spans="1:12" x14ac:dyDescent="0.25">
      <c r="A8" s="8" t="s">
        <v>28</v>
      </c>
      <c r="B8" s="9">
        <v>321643</v>
      </c>
      <c r="L8" s="88"/>
    </row>
    <row r="9" spans="1:12" x14ac:dyDescent="0.25">
      <c r="A9" s="8" t="s">
        <v>29</v>
      </c>
      <c r="B9" s="9">
        <v>326729</v>
      </c>
      <c r="L9" s="88"/>
    </row>
    <row r="10" spans="1:12" x14ac:dyDescent="0.25">
      <c r="A10" s="8" t="s">
        <v>30</v>
      </c>
      <c r="B10" s="9">
        <v>323562</v>
      </c>
      <c r="L10" s="88"/>
    </row>
    <row r="11" spans="1:12" x14ac:dyDescent="0.25">
      <c r="A11" s="8" t="s">
        <v>31</v>
      </c>
      <c r="B11" s="9">
        <v>322648</v>
      </c>
      <c r="L11" s="88"/>
    </row>
    <row r="12" spans="1:12" x14ac:dyDescent="0.25">
      <c r="A12" s="8" t="s">
        <v>32</v>
      </c>
      <c r="B12" s="9">
        <v>324065</v>
      </c>
      <c r="L12" s="88"/>
    </row>
    <row r="13" spans="1:12" x14ac:dyDescent="0.25">
      <c r="A13" s="12" t="s">
        <v>33</v>
      </c>
      <c r="B13" s="13">
        <v>1618647</v>
      </c>
      <c r="C13" s="2">
        <f>SUM(B7,B13)</f>
        <v>3185810</v>
      </c>
      <c r="D13" s="1">
        <f>C13/$B$108</f>
        <v>0.1255958322404806</v>
      </c>
      <c r="L13" s="89"/>
    </row>
    <row r="14" spans="1:12" x14ac:dyDescent="0.25">
      <c r="A14" s="6" t="s">
        <v>34</v>
      </c>
      <c r="B14" s="7">
        <v>319703</v>
      </c>
      <c r="L14" s="88"/>
    </row>
    <row r="15" spans="1:12" x14ac:dyDescent="0.25">
      <c r="A15" s="8" t="s">
        <v>35</v>
      </c>
      <c r="B15" s="9">
        <v>319972</v>
      </c>
      <c r="L15" s="88"/>
    </row>
    <row r="16" spans="1:12" x14ac:dyDescent="0.25">
      <c r="A16" s="8" t="s">
        <v>36</v>
      </c>
      <c r="B16" s="9">
        <v>316523</v>
      </c>
      <c r="L16" s="88"/>
    </row>
    <row r="17" spans="1:12" x14ac:dyDescent="0.25">
      <c r="A17" s="8" t="s">
        <v>37</v>
      </c>
      <c r="B17" s="9">
        <v>305472</v>
      </c>
      <c r="L17" s="88"/>
    </row>
    <row r="18" spans="1:12" x14ac:dyDescent="0.25">
      <c r="A18" s="8" t="s">
        <v>38</v>
      </c>
      <c r="B18" s="9">
        <v>294067</v>
      </c>
      <c r="L18" s="88"/>
    </row>
    <row r="19" spans="1:12" x14ac:dyDescent="0.25">
      <c r="A19" s="10" t="s">
        <v>39</v>
      </c>
      <c r="B19" s="11">
        <v>1555737</v>
      </c>
      <c r="L19" s="89"/>
    </row>
    <row r="20" spans="1:12" x14ac:dyDescent="0.25">
      <c r="A20" s="8" t="s">
        <v>40</v>
      </c>
      <c r="B20" s="9">
        <v>290601</v>
      </c>
      <c r="L20" s="88"/>
    </row>
    <row r="21" spans="1:12" x14ac:dyDescent="0.25">
      <c r="A21" s="8" t="s">
        <v>41</v>
      </c>
      <c r="B21" s="9">
        <v>288611</v>
      </c>
      <c r="L21" s="88"/>
    </row>
    <row r="22" spans="1:12" x14ac:dyDescent="0.25">
      <c r="A22" s="8" t="s">
        <v>42</v>
      </c>
      <c r="B22" s="9">
        <v>290316</v>
      </c>
      <c r="L22" s="88"/>
    </row>
    <row r="23" spans="1:12" x14ac:dyDescent="0.25">
      <c r="A23" s="8" t="s">
        <v>43</v>
      </c>
      <c r="B23" s="9">
        <v>307634</v>
      </c>
      <c r="L23" s="88"/>
    </row>
    <row r="24" spans="1:12" x14ac:dyDescent="0.25">
      <c r="A24" s="8" t="s">
        <v>44</v>
      </c>
      <c r="B24" s="9">
        <v>325295</v>
      </c>
      <c r="L24" s="88"/>
    </row>
    <row r="25" spans="1:12" x14ac:dyDescent="0.25">
      <c r="A25" s="12" t="s">
        <v>45</v>
      </c>
      <c r="B25" s="13">
        <v>1502457</v>
      </c>
      <c r="C25" s="2">
        <f>SUM(B25,B19)</f>
        <v>3058194</v>
      </c>
      <c r="D25" s="1">
        <f>C25/$B$108</f>
        <v>0.12056476079328157</v>
      </c>
      <c r="L25" s="89"/>
    </row>
    <row r="26" spans="1:12" x14ac:dyDescent="0.25">
      <c r="A26" s="6" t="s">
        <v>46</v>
      </c>
      <c r="B26" s="7">
        <v>330388</v>
      </c>
      <c r="L26" s="88"/>
    </row>
    <row r="27" spans="1:12" x14ac:dyDescent="0.25">
      <c r="A27" s="8" t="s">
        <v>47</v>
      </c>
      <c r="B27" s="9">
        <v>335483</v>
      </c>
      <c r="L27" s="88"/>
    </row>
    <row r="28" spans="1:12" x14ac:dyDescent="0.25">
      <c r="A28" s="8" t="s">
        <v>48</v>
      </c>
      <c r="B28" s="9">
        <v>347121</v>
      </c>
      <c r="L28" s="88"/>
    </row>
    <row r="29" spans="1:12" x14ac:dyDescent="0.25">
      <c r="A29" s="8" t="s">
        <v>49</v>
      </c>
      <c r="B29" s="9">
        <v>365323</v>
      </c>
      <c r="L29" s="88"/>
    </row>
    <row r="30" spans="1:12" x14ac:dyDescent="0.25">
      <c r="A30" s="8" t="s">
        <v>50</v>
      </c>
      <c r="B30" s="9">
        <v>380725</v>
      </c>
      <c r="L30" s="88"/>
    </row>
    <row r="31" spans="1:12" x14ac:dyDescent="0.25">
      <c r="A31" s="10" t="s">
        <v>51</v>
      </c>
      <c r="B31" s="11">
        <v>1759040</v>
      </c>
      <c r="L31" s="89"/>
    </row>
    <row r="32" spans="1:12" x14ac:dyDescent="0.25">
      <c r="A32" s="8" t="s">
        <v>52</v>
      </c>
      <c r="B32" s="9">
        <v>379564</v>
      </c>
      <c r="L32" s="88"/>
    </row>
    <row r="33" spans="1:12" x14ac:dyDescent="0.25">
      <c r="A33" s="8" t="s">
        <v>53</v>
      </c>
      <c r="B33" s="9">
        <v>376903</v>
      </c>
      <c r="L33" s="88"/>
    </row>
    <row r="34" spans="1:12" x14ac:dyDescent="0.25">
      <c r="A34" s="8" t="s">
        <v>54</v>
      </c>
      <c r="B34" s="9">
        <v>378326</v>
      </c>
      <c r="L34" s="88"/>
    </row>
    <row r="35" spans="1:12" x14ac:dyDescent="0.25">
      <c r="A35" s="8" t="s">
        <v>55</v>
      </c>
      <c r="B35" s="9">
        <v>384454</v>
      </c>
      <c r="L35" s="88"/>
    </row>
    <row r="36" spans="1:12" x14ac:dyDescent="0.25">
      <c r="A36" s="8" t="s">
        <v>56</v>
      </c>
      <c r="B36" s="9">
        <v>389152</v>
      </c>
      <c r="L36" s="88"/>
    </row>
    <row r="37" spans="1:12" x14ac:dyDescent="0.25">
      <c r="A37" s="12" t="s">
        <v>57</v>
      </c>
      <c r="B37" s="13">
        <v>1908399</v>
      </c>
      <c r="C37" s="2">
        <f>SUM(B31,B37)</f>
        <v>3667439</v>
      </c>
      <c r="D37" s="1">
        <f>C37/$B$108</f>
        <v>0.14458334093878666</v>
      </c>
      <c r="L37" s="89"/>
    </row>
    <row r="38" spans="1:12" x14ac:dyDescent="0.25">
      <c r="A38" s="6" t="s">
        <v>58</v>
      </c>
      <c r="B38" s="7">
        <v>381627</v>
      </c>
      <c r="L38" s="88"/>
    </row>
    <row r="39" spans="1:12" x14ac:dyDescent="0.25">
      <c r="A39" s="8" t="s">
        <v>59</v>
      </c>
      <c r="B39" s="9">
        <v>380703</v>
      </c>
      <c r="L39" s="88"/>
    </row>
    <row r="40" spans="1:12" x14ac:dyDescent="0.25">
      <c r="A40" s="8" t="s">
        <v>60</v>
      </c>
      <c r="B40" s="9">
        <v>376308</v>
      </c>
      <c r="L40" s="88"/>
    </row>
    <row r="41" spans="1:12" x14ac:dyDescent="0.25">
      <c r="A41" s="8" t="s">
        <v>61</v>
      </c>
      <c r="B41" s="9">
        <v>378900</v>
      </c>
      <c r="L41" s="88"/>
    </row>
    <row r="42" spans="1:12" x14ac:dyDescent="0.25">
      <c r="A42" s="8" t="s">
        <v>62</v>
      </c>
      <c r="B42" s="9">
        <v>374563</v>
      </c>
      <c r="L42" s="88"/>
    </row>
    <row r="43" spans="1:12" x14ac:dyDescent="0.25">
      <c r="A43" s="10" t="s">
        <v>63</v>
      </c>
      <c r="B43" s="11">
        <v>1892101</v>
      </c>
      <c r="L43" s="89"/>
    </row>
    <row r="44" spans="1:12" x14ac:dyDescent="0.25">
      <c r="A44" s="8" t="s">
        <v>64</v>
      </c>
      <c r="B44" s="9">
        <v>371946</v>
      </c>
      <c r="L44" s="88"/>
    </row>
    <row r="45" spans="1:12" x14ac:dyDescent="0.25">
      <c r="A45" s="8" t="s">
        <v>65</v>
      </c>
      <c r="B45" s="9">
        <v>368877</v>
      </c>
      <c r="L45" s="88"/>
    </row>
    <row r="46" spans="1:12" x14ac:dyDescent="0.25">
      <c r="A46" s="8" t="s">
        <v>66</v>
      </c>
      <c r="B46" s="9">
        <v>357736</v>
      </c>
      <c r="L46" s="88"/>
    </row>
    <row r="47" spans="1:12" x14ac:dyDescent="0.25">
      <c r="A47" s="8" t="s">
        <v>67</v>
      </c>
      <c r="B47" s="9">
        <v>348170</v>
      </c>
      <c r="L47" s="88"/>
    </row>
    <row r="48" spans="1:12" x14ac:dyDescent="0.25">
      <c r="A48" s="8" t="s">
        <v>68</v>
      </c>
      <c r="B48" s="9">
        <v>334445</v>
      </c>
      <c r="L48" s="88"/>
    </row>
    <row r="49" spans="1:12" x14ac:dyDescent="0.25">
      <c r="A49" s="12" t="s">
        <v>69</v>
      </c>
      <c r="B49" s="13">
        <v>1781174</v>
      </c>
      <c r="C49" s="2">
        <f>SUM(B43,B49)</f>
        <v>3673275</v>
      </c>
      <c r="D49" s="1">
        <f>C49/$B$108</f>
        <v>0.14481341657950456</v>
      </c>
      <c r="L49" s="89"/>
    </row>
    <row r="50" spans="1:12" x14ac:dyDescent="0.25">
      <c r="A50" s="6" t="s">
        <v>70</v>
      </c>
      <c r="B50" s="7">
        <v>324591</v>
      </c>
      <c r="L50" s="88"/>
    </row>
    <row r="51" spans="1:12" x14ac:dyDescent="0.25">
      <c r="A51" s="8" t="s">
        <v>71</v>
      </c>
      <c r="B51" s="9">
        <v>318448</v>
      </c>
      <c r="L51" s="88"/>
    </row>
    <row r="52" spans="1:12" x14ac:dyDescent="0.25">
      <c r="A52" s="8" t="s">
        <v>72</v>
      </c>
      <c r="B52" s="9">
        <v>315770</v>
      </c>
      <c r="L52" s="88"/>
    </row>
    <row r="53" spans="1:12" x14ac:dyDescent="0.25">
      <c r="A53" s="8" t="s">
        <v>73</v>
      </c>
      <c r="B53" s="9">
        <v>318107</v>
      </c>
      <c r="L53" s="88"/>
    </row>
    <row r="54" spans="1:12" x14ac:dyDescent="0.25">
      <c r="A54" s="8" t="s">
        <v>74</v>
      </c>
      <c r="B54" s="9">
        <v>318926</v>
      </c>
      <c r="L54" s="88"/>
    </row>
    <row r="55" spans="1:12" x14ac:dyDescent="0.25">
      <c r="A55" s="10" t="s">
        <v>75</v>
      </c>
      <c r="B55" s="11">
        <v>1595842</v>
      </c>
      <c r="L55" s="89"/>
    </row>
    <row r="56" spans="1:12" x14ac:dyDescent="0.25">
      <c r="A56" s="8" t="s">
        <v>76</v>
      </c>
      <c r="B56" s="9">
        <v>327436</v>
      </c>
      <c r="L56" s="88"/>
    </row>
    <row r="57" spans="1:12" x14ac:dyDescent="0.25">
      <c r="A57" s="8" t="s">
        <v>77</v>
      </c>
      <c r="B57" s="9">
        <v>332934</v>
      </c>
      <c r="L57" s="88"/>
    </row>
    <row r="58" spans="1:12" x14ac:dyDescent="0.25">
      <c r="A58" s="8" t="s">
        <v>78</v>
      </c>
      <c r="B58" s="9">
        <v>344168</v>
      </c>
      <c r="L58" s="88"/>
    </row>
    <row r="59" spans="1:12" x14ac:dyDescent="0.25">
      <c r="A59" s="8" t="s">
        <v>79</v>
      </c>
      <c r="B59" s="9">
        <v>347705</v>
      </c>
      <c r="L59" s="88"/>
    </row>
    <row r="60" spans="1:12" x14ac:dyDescent="0.25">
      <c r="A60" s="8" t="s">
        <v>80</v>
      </c>
      <c r="B60" s="9">
        <v>326172</v>
      </c>
      <c r="L60" s="88"/>
    </row>
    <row r="61" spans="1:12" x14ac:dyDescent="0.25">
      <c r="A61" s="12" t="s">
        <v>81</v>
      </c>
      <c r="B61" s="13">
        <v>1678415</v>
      </c>
      <c r="C61" s="2">
        <f>SUM(B55,B61)</f>
        <v>3274257</v>
      </c>
      <c r="D61" s="1">
        <f>C61/$B$108</f>
        <v>0.12908272398046944</v>
      </c>
      <c r="L61" s="89"/>
    </row>
    <row r="62" spans="1:12" x14ac:dyDescent="0.25">
      <c r="A62" s="6" t="s">
        <v>82</v>
      </c>
      <c r="B62" s="7">
        <v>320460</v>
      </c>
      <c r="L62" s="88"/>
    </row>
    <row r="63" spans="1:12" x14ac:dyDescent="0.25">
      <c r="A63" s="8" t="s">
        <v>83</v>
      </c>
      <c r="B63" s="9">
        <v>310043</v>
      </c>
      <c r="L63" s="88"/>
    </row>
    <row r="64" spans="1:12" x14ac:dyDescent="0.25">
      <c r="A64" s="8" t="s">
        <v>84</v>
      </c>
      <c r="B64" s="9">
        <v>301380</v>
      </c>
      <c r="L64" s="88"/>
    </row>
    <row r="65" spans="1:12" x14ac:dyDescent="0.25">
      <c r="A65" s="8" t="s">
        <v>85</v>
      </c>
      <c r="B65" s="9">
        <v>301965</v>
      </c>
      <c r="L65" s="88"/>
    </row>
    <row r="66" spans="1:12" x14ac:dyDescent="0.25">
      <c r="A66" s="8" t="s">
        <v>86</v>
      </c>
      <c r="B66" s="9">
        <v>300916</v>
      </c>
      <c r="L66" s="88"/>
    </row>
    <row r="67" spans="1:12" x14ac:dyDescent="0.25">
      <c r="A67" s="10" t="s">
        <v>87</v>
      </c>
      <c r="B67" s="11">
        <v>1534764</v>
      </c>
      <c r="L67" s="89"/>
    </row>
    <row r="68" spans="1:12" x14ac:dyDescent="0.25">
      <c r="A68" s="8" t="s">
        <v>88</v>
      </c>
      <c r="B68" s="9">
        <v>311890</v>
      </c>
      <c r="L68" s="88"/>
    </row>
    <row r="69" spans="1:12" x14ac:dyDescent="0.25">
      <c r="A69" s="8" t="s">
        <v>89</v>
      </c>
      <c r="B69" s="9">
        <v>313933</v>
      </c>
      <c r="L69" s="88"/>
    </row>
    <row r="70" spans="1:12" x14ac:dyDescent="0.25">
      <c r="A70" s="8" t="s">
        <v>90</v>
      </c>
      <c r="B70" s="9">
        <v>311527</v>
      </c>
      <c r="L70" s="88"/>
    </row>
    <row r="71" spans="1:12" x14ac:dyDescent="0.25">
      <c r="A71" s="8" t="s">
        <v>91</v>
      </c>
      <c r="B71" s="9">
        <v>309248</v>
      </c>
      <c r="L71" s="88"/>
    </row>
    <row r="72" spans="1:12" x14ac:dyDescent="0.25">
      <c r="A72" s="8" t="s">
        <v>92</v>
      </c>
      <c r="B72" s="9">
        <v>298726</v>
      </c>
      <c r="L72" s="88"/>
    </row>
    <row r="73" spans="1:12" x14ac:dyDescent="0.25">
      <c r="A73" s="14" t="s">
        <v>93</v>
      </c>
      <c r="B73" s="15">
        <v>1545324</v>
      </c>
      <c r="C73" s="2">
        <f>SUM(B67,B73)</f>
        <v>3080088</v>
      </c>
      <c r="D73" s="1">
        <f>C73/$B$108</f>
        <v>0.12142789925761971</v>
      </c>
      <c r="L73" s="89"/>
    </row>
    <row r="74" spans="1:12" x14ac:dyDescent="0.25">
      <c r="A74" s="6" t="s">
        <v>94</v>
      </c>
      <c r="B74" s="7">
        <v>290624</v>
      </c>
      <c r="L74" s="88"/>
    </row>
    <row r="75" spans="1:12" x14ac:dyDescent="0.25">
      <c r="A75" s="8" t="s">
        <v>95</v>
      </c>
      <c r="B75" s="9">
        <v>285521</v>
      </c>
      <c r="L75" s="88"/>
    </row>
    <row r="76" spans="1:12" x14ac:dyDescent="0.25">
      <c r="A76" s="8" t="s">
        <v>96</v>
      </c>
      <c r="B76" s="9">
        <v>277305</v>
      </c>
      <c r="L76" s="88"/>
    </row>
    <row r="77" spans="1:12" x14ac:dyDescent="0.25">
      <c r="A77" s="8" t="s">
        <v>97</v>
      </c>
      <c r="B77" s="9">
        <v>272986</v>
      </c>
      <c r="L77" s="88"/>
    </row>
    <row r="78" spans="1:12" x14ac:dyDescent="0.25">
      <c r="A78" s="8" t="s">
        <v>98</v>
      </c>
      <c r="B78" s="9">
        <v>261893</v>
      </c>
      <c r="L78" s="88"/>
    </row>
    <row r="79" spans="1:12" x14ac:dyDescent="0.25">
      <c r="A79" s="10" t="s">
        <v>99</v>
      </c>
      <c r="B79" s="11">
        <v>1388329</v>
      </c>
      <c r="L79" s="89"/>
    </row>
    <row r="80" spans="1:12" x14ac:dyDescent="0.25">
      <c r="A80" s="8" t="s">
        <v>100</v>
      </c>
      <c r="B80" s="9">
        <v>254839</v>
      </c>
      <c r="L80" s="88"/>
    </row>
    <row r="81" spans="1:12" x14ac:dyDescent="0.25">
      <c r="A81" s="8" t="s">
        <v>101</v>
      </c>
      <c r="B81" s="9">
        <v>251416</v>
      </c>
      <c r="L81" s="88"/>
    </row>
    <row r="82" spans="1:12" x14ac:dyDescent="0.25">
      <c r="A82" s="8" t="s">
        <v>102</v>
      </c>
      <c r="B82" s="9">
        <v>243468</v>
      </c>
      <c r="L82" s="88"/>
    </row>
    <row r="83" spans="1:12" x14ac:dyDescent="0.25">
      <c r="A83" s="8" t="s">
        <v>103</v>
      </c>
      <c r="B83" s="9">
        <v>240724</v>
      </c>
      <c r="L83" s="88"/>
    </row>
    <row r="84" spans="1:12" x14ac:dyDescent="0.25">
      <c r="A84" s="8" t="s">
        <v>104</v>
      </c>
      <c r="B84" s="9">
        <v>234326</v>
      </c>
      <c r="L84" s="88"/>
    </row>
    <row r="85" spans="1:12" x14ac:dyDescent="0.25">
      <c r="A85" s="12" t="s">
        <v>105</v>
      </c>
      <c r="B85" s="13">
        <v>1224773</v>
      </c>
      <c r="C85" s="2">
        <f>SUM(B79,B85)</f>
        <v>2613102</v>
      </c>
      <c r="D85" s="1">
        <f>C85/$B$108</f>
        <v>0.10301766910746854</v>
      </c>
      <c r="L85" s="89"/>
    </row>
    <row r="86" spans="1:12" x14ac:dyDescent="0.25">
      <c r="A86" s="6" t="s">
        <v>106</v>
      </c>
      <c r="B86" s="7">
        <v>226082</v>
      </c>
      <c r="L86" s="88"/>
    </row>
    <row r="87" spans="1:12" x14ac:dyDescent="0.25">
      <c r="A87" s="8" t="s">
        <v>107</v>
      </c>
      <c r="B87" s="9">
        <v>226412</v>
      </c>
      <c r="L87" s="88"/>
    </row>
    <row r="88" spans="1:12" x14ac:dyDescent="0.25">
      <c r="A88" s="8" t="s">
        <v>108</v>
      </c>
      <c r="B88" s="9">
        <v>231019</v>
      </c>
      <c r="L88" s="88"/>
    </row>
    <row r="89" spans="1:12" x14ac:dyDescent="0.25">
      <c r="A89" s="8" t="s">
        <v>109</v>
      </c>
      <c r="B89" s="9">
        <v>192937</v>
      </c>
      <c r="L89" s="88"/>
    </row>
    <row r="90" spans="1:12" x14ac:dyDescent="0.25">
      <c r="A90" s="8" t="s">
        <v>110</v>
      </c>
      <c r="B90" s="9">
        <v>181454</v>
      </c>
      <c r="L90" s="88"/>
    </row>
    <row r="91" spans="1:12" x14ac:dyDescent="0.25">
      <c r="A91" s="10" t="s">
        <v>111</v>
      </c>
      <c r="B91" s="11">
        <v>1057904</v>
      </c>
      <c r="L91" s="89"/>
    </row>
    <row r="92" spans="1:12" x14ac:dyDescent="0.25">
      <c r="A92" s="8" t="s">
        <v>112</v>
      </c>
      <c r="B92" s="9">
        <v>171139</v>
      </c>
      <c r="L92" s="88"/>
    </row>
    <row r="93" spans="1:12" x14ac:dyDescent="0.25">
      <c r="A93" s="8" t="s">
        <v>113</v>
      </c>
      <c r="B93" s="9">
        <v>151876</v>
      </c>
      <c r="L93" s="88"/>
    </row>
    <row r="94" spans="1:12" x14ac:dyDescent="0.25">
      <c r="A94" s="8" t="s">
        <v>114</v>
      </c>
      <c r="B94" s="9">
        <v>148212</v>
      </c>
      <c r="L94" s="88"/>
    </row>
    <row r="95" spans="1:12" x14ac:dyDescent="0.25">
      <c r="A95" s="8" t="s">
        <v>115</v>
      </c>
      <c r="B95" s="9">
        <v>135541</v>
      </c>
      <c r="L95" s="88"/>
    </row>
    <row r="96" spans="1:12" x14ac:dyDescent="0.25">
      <c r="A96" s="8" t="s">
        <v>116</v>
      </c>
      <c r="B96" s="9">
        <v>127491</v>
      </c>
      <c r="L96" s="88"/>
    </row>
    <row r="97" spans="1:12" x14ac:dyDescent="0.25">
      <c r="A97" s="12" t="s">
        <v>117</v>
      </c>
      <c r="B97" s="13">
        <v>734259</v>
      </c>
      <c r="C97" s="2">
        <f>SUM(B91,B97)</f>
        <v>1792163</v>
      </c>
      <c r="D97" s="1">
        <f>C97/$B$108</f>
        <v>7.065336711718416E-2</v>
      </c>
      <c r="L97" s="89"/>
    </row>
    <row r="98" spans="1:12" x14ac:dyDescent="0.25">
      <c r="A98" s="6" t="s">
        <v>118</v>
      </c>
      <c r="B98" s="7">
        <v>118484</v>
      </c>
      <c r="L98" s="88"/>
    </row>
    <row r="99" spans="1:12" x14ac:dyDescent="0.25">
      <c r="A99" s="8" t="s">
        <v>119</v>
      </c>
      <c r="B99" s="9">
        <v>109564</v>
      </c>
      <c r="L99" s="88"/>
    </row>
    <row r="100" spans="1:12" x14ac:dyDescent="0.25">
      <c r="A100" s="8" t="s">
        <v>120</v>
      </c>
      <c r="B100" s="9">
        <v>101897</v>
      </c>
      <c r="L100" s="88"/>
    </row>
    <row r="101" spans="1:12" x14ac:dyDescent="0.25">
      <c r="A101" s="8" t="s">
        <v>121</v>
      </c>
      <c r="B101" s="9">
        <v>93053</v>
      </c>
      <c r="L101" s="88"/>
    </row>
    <row r="102" spans="1:12" x14ac:dyDescent="0.25">
      <c r="A102" s="8" t="s">
        <v>122</v>
      </c>
      <c r="B102" s="9">
        <v>82541</v>
      </c>
      <c r="L102" s="88"/>
    </row>
    <row r="103" spans="1:12" x14ac:dyDescent="0.25">
      <c r="A103" s="10" t="s">
        <v>123</v>
      </c>
      <c r="B103" s="11">
        <v>505539</v>
      </c>
      <c r="L103" s="89"/>
    </row>
    <row r="104" spans="1:12" x14ac:dyDescent="0.25">
      <c r="A104" s="10" t="s">
        <v>124</v>
      </c>
      <c r="B104" s="11">
        <v>313008</v>
      </c>
      <c r="L104" s="89"/>
    </row>
    <row r="105" spans="1:12" x14ac:dyDescent="0.25">
      <c r="A105" s="10" t="s">
        <v>125</v>
      </c>
      <c r="B105" s="11">
        <v>153468</v>
      </c>
      <c r="L105" s="89"/>
    </row>
    <row r="106" spans="1:12" x14ac:dyDescent="0.25">
      <c r="A106" s="10" t="s">
        <v>126</v>
      </c>
      <c r="B106" s="11">
        <v>44201</v>
      </c>
      <c r="L106" s="89"/>
    </row>
    <row r="107" spans="1:12" x14ac:dyDescent="0.25">
      <c r="A107" s="12" t="s">
        <v>127</v>
      </c>
      <c r="B107" s="13">
        <v>5027</v>
      </c>
      <c r="C107" s="2">
        <f>SUM(B103:B107)</f>
        <v>1021243</v>
      </c>
      <c r="D107" s="1">
        <f>C107/$B$108</f>
        <v>4.0260989985204748E-2</v>
      </c>
      <c r="L107" s="89"/>
    </row>
    <row r="108" spans="1:12" x14ac:dyDescent="0.25">
      <c r="A108" s="4" t="s">
        <v>128</v>
      </c>
      <c r="B108" s="5">
        <v>25365571</v>
      </c>
      <c r="L108"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3:C14"/>
  <sheetViews>
    <sheetView workbookViewId="0">
      <selection activeCell="C20" sqref="C20"/>
    </sheetView>
  </sheetViews>
  <sheetFormatPr defaultRowHeight="15" x14ac:dyDescent="0.25"/>
  <sheetData>
    <row r="3" spans="1:3" x14ac:dyDescent="0.25">
      <c r="A3" t="s">
        <v>136</v>
      </c>
      <c r="B3" t="s">
        <v>137</v>
      </c>
      <c r="C3" t="s">
        <v>138</v>
      </c>
    </row>
    <row r="4" spans="1:3" x14ac:dyDescent="0.25">
      <c r="A4" s="53" t="s">
        <v>13</v>
      </c>
      <c r="B4">
        <v>161</v>
      </c>
      <c r="C4" s="3">
        <f t="shared" ref="C4:C12" si="0">B4/$B$14</f>
        <v>2.8847876724601325E-2</v>
      </c>
    </row>
    <row r="5" spans="1:3" x14ac:dyDescent="0.25">
      <c r="A5" s="53" t="s">
        <v>14</v>
      </c>
      <c r="B5">
        <v>595</v>
      </c>
      <c r="C5" s="3">
        <f t="shared" si="0"/>
        <v>0.10661171833004837</v>
      </c>
    </row>
    <row r="6" spans="1:3" x14ac:dyDescent="0.25">
      <c r="A6" s="53" t="s">
        <v>15</v>
      </c>
      <c r="B6">
        <v>934</v>
      </c>
      <c r="C6" s="3">
        <f t="shared" si="0"/>
        <v>0.16735352087439526</v>
      </c>
    </row>
    <row r="7" spans="1:3" x14ac:dyDescent="0.25">
      <c r="A7" s="53" t="s">
        <v>16</v>
      </c>
      <c r="B7">
        <v>867</v>
      </c>
      <c r="C7" s="3">
        <f t="shared" si="0"/>
        <v>0.15534850385235621</v>
      </c>
    </row>
    <row r="8" spans="1:3" x14ac:dyDescent="0.25">
      <c r="A8" s="53" t="s">
        <v>17</v>
      </c>
      <c r="B8">
        <v>724</v>
      </c>
      <c r="C8" s="3">
        <f t="shared" si="0"/>
        <v>0.12972585558143701</v>
      </c>
    </row>
    <row r="9" spans="1:3" x14ac:dyDescent="0.25">
      <c r="A9" s="53" t="s">
        <v>18</v>
      </c>
      <c r="B9">
        <v>878</v>
      </c>
      <c r="C9" s="3">
        <f t="shared" si="0"/>
        <v>0.15731947679627306</v>
      </c>
    </row>
    <row r="10" spans="1:3" x14ac:dyDescent="0.25">
      <c r="A10" s="53" t="s">
        <v>19</v>
      </c>
      <c r="B10">
        <v>1206</v>
      </c>
      <c r="C10" s="3">
        <f t="shared" si="0"/>
        <v>0.2160903063967031</v>
      </c>
    </row>
    <row r="11" spans="1:3" ht="15.75" customHeight="1" x14ac:dyDescent="0.25">
      <c r="A11" s="54" t="s">
        <v>20</v>
      </c>
      <c r="B11">
        <v>161</v>
      </c>
      <c r="C11" s="3">
        <f t="shared" si="0"/>
        <v>2.8847876724601325E-2</v>
      </c>
    </row>
    <row r="12" spans="1:3" x14ac:dyDescent="0.25">
      <c r="A12" s="54" t="s">
        <v>21</v>
      </c>
      <c r="B12">
        <v>55</v>
      </c>
      <c r="C12" s="3">
        <f t="shared" si="0"/>
        <v>9.8548647195843032E-3</v>
      </c>
    </row>
    <row r="14" spans="1:3" x14ac:dyDescent="0.25">
      <c r="A14" t="s">
        <v>139</v>
      </c>
      <c r="B14">
        <f>SUM(B4:B12)</f>
        <v>5581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2020-04-08T13:27:25Z</dcterms:modified>
</cp:coreProperties>
</file>