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Python\Aus COVID-19 Projections\Aus-COVID-19-Projections\"/>
    </mc:Choice>
  </mc:AlternateContent>
  <xr:revisionPtr revIDLastSave="0" documentId="13_ncr:1_{8122F73C-5DD2-43AC-A945-8EE8003DEA3D}" xr6:coauthVersionLast="45" xr6:coauthVersionMax="45" xr10:uidLastSave="{00000000-0000-0000-0000-000000000000}"/>
  <bookViews>
    <workbookView xWindow="-120" yWindow="-120" windowWidth="38640" windowHeight="21240" activeTab="1" xr2:uid="{744C986A-0D24-487A-A5C2-8E2494A78887}"/>
  </bookViews>
  <sheets>
    <sheet name="About" sheetId="4" r:id="rId1"/>
    <sheet name="Projections" sheetId="1" r:id="rId2"/>
    <sheet name="What if" sheetId="5" r:id="rId3"/>
    <sheet name="ABS Population by Age Range" sheetId="2" r:id="rId4"/>
    <sheet name="AU Infection Rate by Age"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76" i="1" l="1"/>
  <c r="R48" i="1"/>
  <c r="Q76" i="1" l="1"/>
  <c r="B37" i="1" l="1"/>
  <c r="D5" i="3" l="1"/>
  <c r="D6" i="3"/>
  <c r="D7" i="3"/>
  <c r="F21" i="3" s="1"/>
  <c r="D8" i="3"/>
  <c r="F22" i="3" s="1"/>
  <c r="E90" i="1" s="1"/>
  <c r="D9" i="3"/>
  <c r="D10" i="3"/>
  <c r="F24" i="3" s="1"/>
  <c r="E94" i="1" s="1"/>
  <c r="D11" i="3"/>
  <c r="F25" i="3" s="1"/>
  <c r="E96" i="1" s="1"/>
  <c r="D12" i="3"/>
  <c r="F26" i="3" s="1"/>
  <c r="E98" i="1" s="1"/>
  <c r="D4" i="3"/>
  <c r="B28" i="3"/>
  <c r="C28" i="3"/>
  <c r="D19" i="3"/>
  <c r="D20" i="3"/>
  <c r="D21" i="3"/>
  <c r="D22" i="3"/>
  <c r="D23" i="3"/>
  <c r="D24" i="3"/>
  <c r="D25" i="3"/>
  <c r="D26" i="3"/>
  <c r="D18" i="3"/>
  <c r="F20" i="3" l="1"/>
  <c r="E86" i="1" s="1"/>
  <c r="F23" i="3"/>
  <c r="E92" i="1" s="1"/>
  <c r="F18" i="3"/>
  <c r="E82" i="1" s="1"/>
  <c r="D28" i="3"/>
  <c r="E88" i="1"/>
  <c r="E23" i="3"/>
  <c r="E20" i="3"/>
  <c r="E21" i="3"/>
  <c r="E24" i="3"/>
  <c r="E25" i="3"/>
  <c r="E26" i="3"/>
  <c r="F19" i="3"/>
  <c r="E84" i="1" s="1"/>
  <c r="P76" i="1"/>
  <c r="E22" i="3" l="1"/>
  <c r="C29" i="3"/>
  <c r="E19" i="3"/>
  <c r="B29" i="3"/>
  <c r="E18" i="3"/>
  <c r="O76" i="1"/>
  <c r="L76" i="1" l="1"/>
  <c r="M76" i="1"/>
  <c r="N76" i="1"/>
  <c r="K76" i="1"/>
  <c r="I76" i="1"/>
  <c r="J76" i="1"/>
  <c r="H76" i="1"/>
  <c r="G76" i="1"/>
  <c r="E34" i="4" l="1"/>
  <c r="C45" i="4"/>
  <c r="H48" i="1" l="1"/>
  <c r="I48" i="1" l="1"/>
  <c r="G74" i="1"/>
  <c r="G59" i="1" s="1"/>
  <c r="N7" i="1"/>
  <c r="N6" i="1"/>
  <c r="M5" i="1"/>
  <c r="K4" i="1"/>
  <c r="J3" i="1"/>
  <c r="F2" i="1"/>
  <c r="P14" i="1"/>
  <c r="O13" i="1"/>
  <c r="N10" i="1"/>
  <c r="N9" i="1"/>
  <c r="G72" i="1"/>
  <c r="G71" i="1"/>
  <c r="J48" i="1" l="1"/>
  <c r="G60" i="1"/>
  <c r="G61" i="1"/>
  <c r="G62" i="1" s="1"/>
  <c r="K48" i="1" l="1"/>
  <c r="G57" i="1"/>
  <c r="G58" i="1" s="1"/>
  <c r="G53" i="1"/>
  <c r="G55" i="1" s="1"/>
  <c r="G56" i="1" s="1"/>
  <c r="C12" i="5"/>
  <c r="C7" i="5"/>
  <c r="C8" i="5" s="1"/>
  <c r="C9" i="5" s="1"/>
  <c r="C21" i="5"/>
  <c r="C18" i="5"/>
  <c r="C15" i="5"/>
  <c r="C24" i="5"/>
  <c r="C3" i="5"/>
  <c r="L48" i="1" l="1"/>
  <c r="C30" i="5"/>
  <c r="G51" i="1"/>
  <c r="G52" i="1" s="1"/>
  <c r="C34" i="5"/>
  <c r="M48" i="1" l="1"/>
  <c r="C13" i="5"/>
  <c r="C14" i="5" s="1"/>
  <c r="G54" i="1"/>
  <c r="AG50" i="1"/>
  <c r="AG49" i="1" s="1"/>
  <c r="AG53" i="1"/>
  <c r="AF49" i="1"/>
  <c r="AF50" i="1" s="1"/>
  <c r="G67" i="1"/>
  <c r="G65" i="1"/>
  <c r="G68" i="1"/>
  <c r="G66" i="1"/>
  <c r="N48" i="1" l="1"/>
  <c r="AG54" i="1"/>
  <c r="AG55" i="1"/>
  <c r="AG63" i="1"/>
  <c r="AG57" i="1"/>
  <c r="AG61" i="1"/>
  <c r="AG59" i="1"/>
  <c r="AF73" i="1"/>
  <c r="AG73" i="1" s="1"/>
  <c r="AF57" i="1"/>
  <c r="AF53" i="1"/>
  <c r="AF55" i="1" s="1"/>
  <c r="C22" i="5"/>
  <c r="C23" i="5" s="1"/>
  <c r="C35" i="5"/>
  <c r="C40" i="5" s="1"/>
  <c r="C25" i="5"/>
  <c r="C19" i="5"/>
  <c r="C20" i="5" s="1"/>
  <c r="C16" i="5"/>
  <c r="C17" i="5" s="1"/>
  <c r="C31" i="5"/>
  <c r="AP25" i="4"/>
  <c r="E31" i="4"/>
  <c r="B17" i="4" s="1"/>
  <c r="B18" i="4" l="1"/>
  <c r="H21" i="4" s="1"/>
  <c r="V24" i="4" s="1"/>
  <c r="K20" i="4"/>
  <c r="T48" i="1"/>
  <c r="P48" i="1" s="1"/>
  <c r="C38" i="5"/>
  <c r="C36" i="5"/>
  <c r="C39" i="5"/>
  <c r="C37" i="5"/>
  <c r="E17" i="4"/>
  <c r="N20" i="4" s="1"/>
  <c r="AP26" i="4"/>
  <c r="AO26" i="4" s="1"/>
  <c r="AN26" i="4" s="1"/>
  <c r="AM26" i="4" s="1"/>
  <c r="AL26" i="4" s="1"/>
  <c r="AK26" i="4" s="1"/>
  <c r="AJ26" i="4" s="1"/>
  <c r="AI26" i="4" s="1"/>
  <c r="AH26" i="4" s="1"/>
  <c r="AG26" i="4" s="1"/>
  <c r="AF26" i="4" s="1"/>
  <c r="AE26" i="4" s="1"/>
  <c r="AD26" i="4" s="1"/>
  <c r="AC26" i="4" s="1"/>
  <c r="AB26" i="4" s="1"/>
  <c r="AA26" i="4" s="1"/>
  <c r="Z26" i="4" s="1"/>
  <c r="Y26" i="4" s="1"/>
  <c r="X26" i="4" s="1"/>
  <c r="W26" i="4" s="1"/>
  <c r="V26" i="4" s="1"/>
  <c r="U26" i="4" s="1"/>
  <c r="T26" i="4" s="1"/>
  <c r="S26" i="4" s="1"/>
  <c r="R26" i="4" s="1"/>
  <c r="Q26" i="4" s="1"/>
  <c r="P26" i="4" s="1"/>
  <c r="O26" i="4" s="1"/>
  <c r="N26" i="4" s="1"/>
  <c r="M26" i="4" s="1"/>
  <c r="L26" i="4" s="1"/>
  <c r="K26" i="4" s="1"/>
  <c r="J26" i="4" s="1"/>
  <c r="I26" i="4" s="1"/>
  <c r="H26" i="4" s="1"/>
  <c r="G26" i="4" s="1"/>
  <c r="F26" i="4" s="1"/>
  <c r="E26" i="4" s="1"/>
  <c r="D26" i="4" s="1"/>
  <c r="C26" i="4" s="1"/>
  <c r="B26" i="4" s="1"/>
  <c r="Q48" i="1" l="1"/>
  <c r="S48" i="1"/>
  <c r="P74" i="1"/>
  <c r="R71" i="1"/>
  <c r="O48" i="1"/>
  <c r="R72" i="1"/>
  <c r="R64" i="1"/>
  <c r="S71" i="1"/>
  <c r="S72" i="1"/>
  <c r="U48" i="1"/>
  <c r="E18" i="4"/>
  <c r="E19" i="4" s="1"/>
  <c r="H17" i="4"/>
  <c r="B19" i="4"/>
  <c r="G104" i="1"/>
  <c r="G105" i="1" s="1"/>
  <c r="S64" i="1" l="1"/>
  <c r="Q71" i="1"/>
  <c r="Q74" i="1"/>
  <c r="Q72" i="1"/>
  <c r="Q64" i="1"/>
  <c r="O71" i="1"/>
  <c r="O64" i="1"/>
  <c r="O74" i="1"/>
  <c r="O72" i="1"/>
  <c r="P71" i="1"/>
  <c r="P64" i="1"/>
  <c r="P72" i="1"/>
  <c r="V48" i="1"/>
  <c r="H18" i="4"/>
  <c r="H19" i="4" s="1"/>
  <c r="Q20" i="4"/>
  <c r="K17" i="4"/>
  <c r="T20" i="4" s="1"/>
  <c r="K21" i="4"/>
  <c r="Y24" i="4" s="1"/>
  <c r="D14" i="3"/>
  <c r="W48" i="1" l="1"/>
  <c r="K18" i="4"/>
  <c r="K19" i="4" s="1"/>
  <c r="N22" i="4"/>
  <c r="N17" i="4"/>
  <c r="W20" i="4" s="1"/>
  <c r="N21" i="4"/>
  <c r="AB24" i="4" s="1"/>
  <c r="X48" i="1" l="1"/>
  <c r="Q17" i="4"/>
  <c r="T17" i="4" s="1"/>
  <c r="N18" i="4"/>
  <c r="N19" i="4" s="1"/>
  <c r="Q21" i="4"/>
  <c r="AE24" i="4" s="1"/>
  <c r="Q22" i="4"/>
  <c r="B97" i="1"/>
  <c r="B95" i="1"/>
  <c r="B93" i="1"/>
  <c r="B91" i="1"/>
  <c r="B89" i="1"/>
  <c r="B87" i="1"/>
  <c r="B85" i="1"/>
  <c r="B83" i="1"/>
  <c r="B81" i="1"/>
  <c r="Y48" i="1" l="1"/>
  <c r="T18" i="4"/>
  <c r="T19" i="4" s="1"/>
  <c r="AC20" i="4"/>
  <c r="Q18" i="4"/>
  <c r="Q19" i="4" s="1"/>
  <c r="Z20" i="4"/>
  <c r="T21" i="4"/>
  <c r="AH24" i="4" s="1"/>
  <c r="T22" i="4"/>
  <c r="T23" i="4"/>
  <c r="W17" i="4"/>
  <c r="W22" i="4" l="1"/>
  <c r="W23" i="4"/>
  <c r="W21" i="4"/>
  <c r="AK24" i="4" s="1"/>
  <c r="Z48" i="1"/>
  <c r="W18" i="4"/>
  <c r="W19" i="4" s="1"/>
  <c r="AF20" i="4"/>
  <c r="Z21" i="4"/>
  <c r="AN24" i="4" s="1"/>
  <c r="Z23" i="4"/>
  <c r="Z22" i="4"/>
  <c r="Z17" i="4"/>
  <c r="C114" i="1"/>
  <c r="C112" i="1"/>
  <c r="C110" i="1"/>
  <c r="C108" i="1"/>
  <c r="C106" i="1"/>
  <c r="C104" i="1"/>
  <c r="G63" i="1"/>
  <c r="E5" i="3"/>
  <c r="D83" i="1" s="1"/>
  <c r="AA48" i="1" l="1"/>
  <c r="Z18" i="4"/>
  <c r="Z19" i="4" s="1"/>
  <c r="AI20" i="4"/>
  <c r="AC21" i="4"/>
  <c r="AC22" i="4"/>
  <c r="AC23" i="4"/>
  <c r="AC17" i="4"/>
  <c r="AF108" i="1"/>
  <c r="AF109" i="1" s="1"/>
  <c r="AF63" i="1"/>
  <c r="AF104" i="1"/>
  <c r="AF105" i="1" s="1"/>
  <c r="AF110" i="1"/>
  <c r="AF111" i="1" s="1"/>
  <c r="AF106" i="1"/>
  <c r="AF107" i="1" s="1"/>
  <c r="AF114" i="1"/>
  <c r="AF112" i="1"/>
  <c r="AF113" i="1" s="1"/>
  <c r="AF83" i="1"/>
  <c r="AF84" i="1"/>
  <c r="E7" i="3"/>
  <c r="D87" i="1" s="1"/>
  <c r="E4" i="3"/>
  <c r="D81" i="1" s="1"/>
  <c r="E12" i="3"/>
  <c r="D97" i="1" s="1"/>
  <c r="E11" i="3"/>
  <c r="D95" i="1" s="1"/>
  <c r="E10" i="3"/>
  <c r="D93" i="1" s="1"/>
  <c r="E9" i="3"/>
  <c r="D91" i="1" s="1"/>
  <c r="E8" i="3"/>
  <c r="D89" i="1" s="1"/>
  <c r="E6" i="3"/>
  <c r="D85" i="1" s="1"/>
  <c r="C39" i="1"/>
  <c r="C10" i="5" s="1"/>
  <c r="C26" i="5" s="1"/>
  <c r="C27" i="5" s="1"/>
  <c r="C40" i="1"/>
  <c r="C11" i="5" s="1"/>
  <c r="C28" i="5" s="1"/>
  <c r="C29" i="5" s="1"/>
  <c r="G84" i="1"/>
  <c r="G114" i="1"/>
  <c r="G112" i="1"/>
  <c r="G110" i="1"/>
  <c r="G111" i="1" s="1"/>
  <c r="G108" i="1"/>
  <c r="G109" i="1" s="1"/>
  <c r="G106" i="1"/>
  <c r="G107" i="1" s="1"/>
  <c r="C83" i="1"/>
  <c r="C85" i="1"/>
  <c r="C87" i="1"/>
  <c r="C89" i="1"/>
  <c r="C91" i="1"/>
  <c r="C93" i="1"/>
  <c r="C95" i="1"/>
  <c r="C97" i="1"/>
  <c r="C81" i="1"/>
  <c r="C13" i="2"/>
  <c r="D13" i="2" s="1"/>
  <c r="C25" i="2"/>
  <c r="D25" i="2" s="1"/>
  <c r="C37" i="2"/>
  <c r="D37" i="2" s="1"/>
  <c r="D49" i="2"/>
  <c r="C49" i="2"/>
  <c r="C61" i="2"/>
  <c r="D61" i="2" s="1"/>
  <c r="D73" i="2"/>
  <c r="C73" i="2"/>
  <c r="C85" i="2"/>
  <c r="D85" i="2" s="1"/>
  <c r="C107" i="2"/>
  <c r="D107" i="2" s="1"/>
  <c r="C97" i="2"/>
  <c r="D97" i="2" s="1"/>
  <c r="G50" i="1"/>
  <c r="H49" i="1"/>
  <c r="AF85" i="1" l="1"/>
  <c r="G98" i="1"/>
  <c r="AB48" i="1"/>
  <c r="AC18" i="4"/>
  <c r="AC19" i="4" s="1"/>
  <c r="AL20" i="4"/>
  <c r="H59" i="1"/>
  <c r="H61" i="1"/>
  <c r="H62" i="1" s="1"/>
  <c r="H74" i="1"/>
  <c r="H72" i="1"/>
  <c r="H57" i="1"/>
  <c r="H58" i="1" s="1"/>
  <c r="H65" i="1"/>
  <c r="H68" i="1"/>
  <c r="H71" i="1"/>
  <c r="H66" i="1"/>
  <c r="H67" i="1"/>
  <c r="AF116" i="1"/>
  <c r="H53" i="1"/>
  <c r="AF22" i="4"/>
  <c r="AF23" i="4"/>
  <c r="AF21" i="4"/>
  <c r="AF17" i="4"/>
  <c r="G82" i="1"/>
  <c r="G81" i="1"/>
  <c r="AF117" i="1"/>
  <c r="G90" i="1"/>
  <c r="G89" i="1"/>
  <c r="AF93" i="1"/>
  <c r="AF94" i="1"/>
  <c r="AF95" i="1"/>
  <c r="AF96" i="1"/>
  <c r="AF89" i="1"/>
  <c r="AF90" i="1"/>
  <c r="AF87" i="1"/>
  <c r="AF88" i="1"/>
  <c r="AF92" i="1"/>
  <c r="AF91" i="1"/>
  <c r="G93" i="1"/>
  <c r="G92" i="1"/>
  <c r="G95" i="1"/>
  <c r="AF81" i="1"/>
  <c r="AF82" i="1"/>
  <c r="AF86" i="1"/>
  <c r="AF98" i="1"/>
  <c r="AF97" i="1"/>
  <c r="G85" i="1"/>
  <c r="I49" i="1"/>
  <c r="I57" i="1" s="1"/>
  <c r="I58" i="1" s="1"/>
  <c r="H108" i="1"/>
  <c r="H109" i="1" s="1"/>
  <c r="G86" i="1"/>
  <c r="H97" i="1"/>
  <c r="H106" i="1"/>
  <c r="H107" i="1" s="1"/>
  <c r="G94" i="1"/>
  <c r="H95" i="1"/>
  <c r="H114" i="1"/>
  <c r="G83" i="1"/>
  <c r="G91" i="1"/>
  <c r="H112" i="1"/>
  <c r="H113" i="1" s="1"/>
  <c r="H110" i="1"/>
  <c r="H111" i="1" s="1"/>
  <c r="H93" i="1"/>
  <c r="H86" i="1"/>
  <c r="H90" i="1"/>
  <c r="H94" i="1"/>
  <c r="H98" i="1"/>
  <c r="G116" i="1"/>
  <c r="H104" i="1"/>
  <c r="H105" i="1" s="1"/>
  <c r="G87" i="1"/>
  <c r="H83" i="1"/>
  <c r="G88" i="1"/>
  <c r="G96" i="1"/>
  <c r="H87" i="1"/>
  <c r="H84" i="1"/>
  <c r="H91" i="1"/>
  <c r="G97" i="1"/>
  <c r="H81" i="1"/>
  <c r="H88" i="1"/>
  <c r="H92" i="1"/>
  <c r="H96" i="1"/>
  <c r="H85" i="1"/>
  <c r="H82" i="1"/>
  <c r="H89" i="1"/>
  <c r="G113" i="1"/>
  <c r="G117" i="1" s="1"/>
  <c r="H50" i="1"/>
  <c r="H63" i="1"/>
  <c r="AC48" i="1" l="1"/>
  <c r="AF18" i="4"/>
  <c r="AF19" i="4" s="1"/>
  <c r="AO20" i="4"/>
  <c r="H60" i="1"/>
  <c r="H51" i="1" s="1"/>
  <c r="H52" i="1" s="1"/>
  <c r="I106" i="1"/>
  <c r="I107" i="1" s="1"/>
  <c r="I87" i="1"/>
  <c r="I61" i="1"/>
  <c r="I62" i="1" s="1"/>
  <c r="I112" i="1"/>
  <c r="I113" i="1" s="1"/>
  <c r="I83" i="1"/>
  <c r="I82" i="1"/>
  <c r="I104" i="1"/>
  <c r="I105" i="1" s="1"/>
  <c r="I84" i="1"/>
  <c r="I50" i="1"/>
  <c r="H54" i="1"/>
  <c r="H55" i="1"/>
  <c r="H56" i="1" s="1"/>
  <c r="I72" i="1"/>
  <c r="I74" i="1"/>
  <c r="J49" i="1"/>
  <c r="J57" i="1" s="1"/>
  <c r="J58" i="1" s="1"/>
  <c r="I53" i="1"/>
  <c r="I63" i="1"/>
  <c r="I97" i="1"/>
  <c r="I96" i="1"/>
  <c r="I108" i="1"/>
  <c r="I109" i="1" s="1"/>
  <c r="I92" i="1"/>
  <c r="I91" i="1"/>
  <c r="I67" i="1"/>
  <c r="I65" i="1"/>
  <c r="I68" i="1"/>
  <c r="I71" i="1"/>
  <c r="I66" i="1"/>
  <c r="AI23" i="4"/>
  <c r="AI21" i="4"/>
  <c r="AI22" i="4"/>
  <c r="AI17" i="4"/>
  <c r="AI18" i="4" s="1"/>
  <c r="AF99" i="1"/>
  <c r="AF100" i="1"/>
  <c r="G100" i="1"/>
  <c r="H100" i="1"/>
  <c r="I94" i="1"/>
  <c r="I93" i="1"/>
  <c r="I89" i="1"/>
  <c r="I86" i="1"/>
  <c r="I88" i="1"/>
  <c r="I81" i="1"/>
  <c r="I90" i="1"/>
  <c r="I95" i="1"/>
  <c r="I114" i="1"/>
  <c r="I85" i="1"/>
  <c r="I110" i="1"/>
  <c r="I111" i="1" s="1"/>
  <c r="I98" i="1"/>
  <c r="H116" i="1"/>
  <c r="G99" i="1"/>
  <c r="H99" i="1"/>
  <c r="H117" i="1"/>
  <c r="J84" i="1" l="1"/>
  <c r="J98" i="1"/>
  <c r="J94" i="1"/>
  <c r="J96" i="1"/>
  <c r="J93" i="1"/>
  <c r="J106" i="1"/>
  <c r="J107" i="1" s="1"/>
  <c r="J85" i="1"/>
  <c r="J91" i="1"/>
  <c r="J114" i="1"/>
  <c r="J81" i="1"/>
  <c r="J88" i="1"/>
  <c r="J86" i="1"/>
  <c r="AD48" i="1"/>
  <c r="J61" i="1"/>
  <c r="J62" i="1" s="1"/>
  <c r="J92" i="1"/>
  <c r="J90" i="1"/>
  <c r="J83" i="1"/>
  <c r="J104" i="1"/>
  <c r="J105" i="1" s="1"/>
  <c r="J87" i="1"/>
  <c r="K49" i="1"/>
  <c r="K93" i="1" s="1"/>
  <c r="J97" i="1"/>
  <c r="J95" i="1"/>
  <c r="J63" i="1"/>
  <c r="J108" i="1"/>
  <c r="J109" i="1" s="1"/>
  <c r="I117" i="1"/>
  <c r="J82" i="1"/>
  <c r="J110" i="1"/>
  <c r="J111" i="1" s="1"/>
  <c r="J112" i="1"/>
  <c r="J113" i="1" s="1"/>
  <c r="J50" i="1"/>
  <c r="J89" i="1"/>
  <c r="J72" i="1"/>
  <c r="J74" i="1"/>
  <c r="I54" i="1"/>
  <c r="I55" i="1"/>
  <c r="I56" i="1" s="1"/>
  <c r="J66" i="1"/>
  <c r="J67" i="1"/>
  <c r="J68" i="1"/>
  <c r="J71" i="1"/>
  <c r="J65" i="1"/>
  <c r="I116" i="1"/>
  <c r="J53" i="1"/>
  <c r="AL22" i="4"/>
  <c r="AL21" i="4"/>
  <c r="AL23" i="4"/>
  <c r="AL17" i="4"/>
  <c r="AL18" i="4" s="1"/>
  <c r="AI19" i="4"/>
  <c r="I99" i="1"/>
  <c r="I100" i="1"/>
  <c r="AE48" i="1" l="1"/>
  <c r="K97" i="1"/>
  <c r="K94" i="1"/>
  <c r="K106" i="1"/>
  <c r="K107" i="1" s="1"/>
  <c r="K91" i="1"/>
  <c r="K92" i="1"/>
  <c r="K83" i="1"/>
  <c r="K89" i="1"/>
  <c r="K104" i="1"/>
  <c r="K105" i="1" s="1"/>
  <c r="J100" i="1"/>
  <c r="K90" i="1"/>
  <c r="K82" i="1"/>
  <c r="K112" i="1"/>
  <c r="K113" i="1" s="1"/>
  <c r="K96" i="1"/>
  <c r="K88" i="1"/>
  <c r="K95" i="1"/>
  <c r="K110" i="1"/>
  <c r="K111" i="1" s="1"/>
  <c r="J117" i="1"/>
  <c r="K57" i="1"/>
  <c r="K50" i="1"/>
  <c r="K84" i="1"/>
  <c r="K85" i="1"/>
  <c r="K108" i="1"/>
  <c r="K109" i="1" s="1"/>
  <c r="K53" i="1"/>
  <c r="K55" i="1" s="1"/>
  <c r="K63" i="1"/>
  <c r="K87" i="1"/>
  <c r="L49" i="1"/>
  <c r="L94" i="1" s="1"/>
  <c r="K98" i="1"/>
  <c r="J99" i="1"/>
  <c r="K86" i="1"/>
  <c r="K114" i="1"/>
  <c r="J116" i="1"/>
  <c r="K81" i="1"/>
  <c r="K72" i="1"/>
  <c r="K74" i="1"/>
  <c r="J54" i="1"/>
  <c r="J55" i="1"/>
  <c r="J56" i="1" s="1"/>
  <c r="K66" i="1"/>
  <c r="K71" i="1"/>
  <c r="K67" i="1"/>
  <c r="K68" i="1"/>
  <c r="K65" i="1"/>
  <c r="AO21" i="4"/>
  <c r="AO22" i="4"/>
  <c r="AO23" i="4"/>
  <c r="AO17" i="4"/>
  <c r="AL19" i="4"/>
  <c r="L91" i="1" l="1"/>
  <c r="L84" i="1"/>
  <c r="L81" i="1"/>
  <c r="AF48" i="1"/>
  <c r="AO18" i="4"/>
  <c r="AO19" i="4" s="1"/>
  <c r="K99" i="1"/>
  <c r="K117" i="1"/>
  <c r="L97" i="1"/>
  <c r="L63" i="1"/>
  <c r="M49" i="1"/>
  <c r="M95" i="1" s="1"/>
  <c r="L86" i="1"/>
  <c r="L112" i="1"/>
  <c r="L113" i="1" s="1"/>
  <c r="L92" i="1"/>
  <c r="L93" i="1"/>
  <c r="K116" i="1"/>
  <c r="L89" i="1"/>
  <c r="K100" i="1"/>
  <c r="L50" i="1"/>
  <c r="L87" i="1"/>
  <c r="L110" i="1"/>
  <c r="L111" i="1" s="1"/>
  <c r="L57" i="1"/>
  <c r="L106" i="1"/>
  <c r="L107" i="1" s="1"/>
  <c r="L88" i="1"/>
  <c r="L53" i="1"/>
  <c r="L54" i="1" s="1"/>
  <c r="L96" i="1"/>
  <c r="L95" i="1"/>
  <c r="L90" i="1"/>
  <c r="L108" i="1"/>
  <c r="L109" i="1" s="1"/>
  <c r="L83" i="1"/>
  <c r="L104" i="1"/>
  <c r="L105" i="1" s="1"/>
  <c r="L114" i="1"/>
  <c r="L85" i="1"/>
  <c r="K54" i="1"/>
  <c r="L82" i="1"/>
  <c r="L98" i="1"/>
  <c r="L72" i="1"/>
  <c r="L74" i="1"/>
  <c r="L66" i="1"/>
  <c r="L67" i="1"/>
  <c r="L65" i="1"/>
  <c r="L68" i="1"/>
  <c r="L71" i="1"/>
  <c r="M57" i="1" l="1"/>
  <c r="M53" i="1"/>
  <c r="M55" i="1" s="1"/>
  <c r="M63" i="1"/>
  <c r="M114" i="1"/>
  <c r="M90" i="1"/>
  <c r="M82" i="1"/>
  <c r="M81" i="1"/>
  <c r="M94" i="1"/>
  <c r="M96" i="1"/>
  <c r="M83" i="1"/>
  <c r="M50" i="1"/>
  <c r="M106" i="1"/>
  <c r="M107" i="1" s="1"/>
  <c r="M92" i="1"/>
  <c r="M84" i="1"/>
  <c r="M108" i="1"/>
  <c r="M109" i="1" s="1"/>
  <c r="M87" i="1"/>
  <c r="M110" i="1"/>
  <c r="M111" i="1" s="1"/>
  <c r="M91" i="1"/>
  <c r="M88" i="1"/>
  <c r="M86" i="1"/>
  <c r="M104" i="1"/>
  <c r="M105" i="1" s="1"/>
  <c r="M93" i="1"/>
  <c r="M89" i="1"/>
  <c r="N49" i="1"/>
  <c r="M98" i="1"/>
  <c r="M97" i="1"/>
  <c r="M112" i="1"/>
  <c r="M113" i="1" s="1"/>
  <c r="M85" i="1"/>
  <c r="L117" i="1"/>
  <c r="L100" i="1"/>
  <c r="L116" i="1"/>
  <c r="L99" i="1"/>
  <c r="L55" i="1"/>
  <c r="M72" i="1"/>
  <c r="M74" i="1"/>
  <c r="M54" i="1"/>
  <c r="M66" i="1"/>
  <c r="M67" i="1"/>
  <c r="M68" i="1"/>
  <c r="M65" i="1"/>
  <c r="M71" i="1"/>
  <c r="N90" i="1" l="1"/>
  <c r="N87" i="1"/>
  <c r="N84" i="1"/>
  <c r="N81" i="1"/>
  <c r="N63" i="1"/>
  <c r="N114" i="1"/>
  <c r="N86" i="1"/>
  <c r="N91" i="1"/>
  <c r="N93" i="1"/>
  <c r="N88" i="1"/>
  <c r="N98" i="1"/>
  <c r="N106" i="1"/>
  <c r="N107" i="1" s="1"/>
  <c r="N82" i="1"/>
  <c r="N112" i="1"/>
  <c r="N113" i="1" s="1"/>
  <c r="T49" i="1"/>
  <c r="Q49" i="1" s="1"/>
  <c r="M100" i="1"/>
  <c r="M116" i="1"/>
  <c r="N94" i="1"/>
  <c r="N92" i="1"/>
  <c r="N95" i="1"/>
  <c r="N104" i="1"/>
  <c r="N105" i="1" s="1"/>
  <c r="N97" i="1"/>
  <c r="N89" i="1"/>
  <c r="N57" i="1"/>
  <c r="M117" i="1"/>
  <c r="N110" i="1"/>
  <c r="N111" i="1" s="1"/>
  <c r="N108" i="1"/>
  <c r="N109" i="1" s="1"/>
  <c r="N50" i="1"/>
  <c r="N85" i="1"/>
  <c r="N53" i="1"/>
  <c r="N54" i="1" s="1"/>
  <c r="N96" i="1"/>
  <c r="N83" i="1"/>
  <c r="M99" i="1"/>
  <c r="N64" i="1"/>
  <c r="N74" i="1"/>
  <c r="N72" i="1"/>
  <c r="N71" i="1"/>
  <c r="N66" i="1"/>
  <c r="N68" i="1"/>
  <c r="N67" i="1"/>
  <c r="N65" i="1"/>
  <c r="T57" i="1" l="1"/>
  <c r="T73" i="1"/>
  <c r="T74" i="1" s="1"/>
  <c r="R49" i="1"/>
  <c r="R74" i="1" s="1"/>
  <c r="P49" i="1"/>
  <c r="S49" i="1"/>
  <c r="S73" i="1" s="1"/>
  <c r="S74" i="1" s="1"/>
  <c r="O49" i="1"/>
  <c r="N100" i="1"/>
  <c r="T89" i="1"/>
  <c r="T90" i="1"/>
  <c r="T88" i="1"/>
  <c r="T87" i="1"/>
  <c r="T50" i="1"/>
  <c r="T110" i="1"/>
  <c r="T111" i="1" s="1"/>
  <c r="T63" i="1"/>
  <c r="T112" i="1"/>
  <c r="T113" i="1" s="1"/>
  <c r="T98" i="1"/>
  <c r="T81" i="1"/>
  <c r="T94" i="1"/>
  <c r="T96" i="1"/>
  <c r="N99" i="1"/>
  <c r="T97" i="1"/>
  <c r="T53" i="1"/>
  <c r="T55" i="1" s="1"/>
  <c r="T84" i="1"/>
  <c r="T108" i="1"/>
  <c r="T109" i="1" s="1"/>
  <c r="N55" i="1"/>
  <c r="T83" i="1"/>
  <c r="T92" i="1"/>
  <c r="T106" i="1"/>
  <c r="T107" i="1" s="1"/>
  <c r="T95" i="1"/>
  <c r="T91" i="1"/>
  <c r="T104" i="1"/>
  <c r="T105" i="1" s="1"/>
  <c r="T86" i="1"/>
  <c r="T85" i="1"/>
  <c r="T114" i="1"/>
  <c r="T93" i="1"/>
  <c r="T82" i="1"/>
  <c r="U49" i="1"/>
  <c r="N116" i="1"/>
  <c r="N117" i="1"/>
  <c r="T71" i="1"/>
  <c r="T72" i="1"/>
  <c r="Q61" i="1" s="1"/>
  <c r="T66" i="1"/>
  <c r="T68" i="1"/>
  <c r="T65" i="1"/>
  <c r="T67" i="1"/>
  <c r="U85" i="1" l="1"/>
  <c r="U73" i="1"/>
  <c r="R50" i="1"/>
  <c r="R63" i="1"/>
  <c r="R114" i="1"/>
  <c r="R104" i="1"/>
  <c r="R112" i="1"/>
  <c r="R113" i="1" s="1"/>
  <c r="R106" i="1"/>
  <c r="R107" i="1" s="1"/>
  <c r="R108" i="1"/>
  <c r="R109" i="1" s="1"/>
  <c r="R110" i="1"/>
  <c r="R111" i="1" s="1"/>
  <c r="R57" i="1"/>
  <c r="R58" i="1" s="1"/>
  <c r="R53" i="1"/>
  <c r="R83" i="1"/>
  <c r="R84" i="1"/>
  <c r="R88" i="1"/>
  <c r="R97" i="1"/>
  <c r="R91" i="1"/>
  <c r="R96" i="1"/>
  <c r="R92" i="1"/>
  <c r="R90" i="1"/>
  <c r="R87" i="1"/>
  <c r="R98" i="1"/>
  <c r="R81" i="1"/>
  <c r="R95" i="1"/>
  <c r="R89" i="1"/>
  <c r="R82" i="1"/>
  <c r="R93" i="1"/>
  <c r="R94" i="1"/>
  <c r="R86" i="1"/>
  <c r="R85" i="1"/>
  <c r="Q104" i="1"/>
  <c r="Q112" i="1"/>
  <c r="Q113" i="1" s="1"/>
  <c r="Q114" i="1"/>
  <c r="Q110" i="1"/>
  <c r="Q111" i="1" s="1"/>
  <c r="Q106" i="1"/>
  <c r="Q107" i="1" s="1"/>
  <c r="Q108" i="1"/>
  <c r="Q109" i="1" s="1"/>
  <c r="Q83" i="1"/>
  <c r="Q84" i="1"/>
  <c r="Q97" i="1"/>
  <c r="Q92" i="1"/>
  <c r="Q95" i="1"/>
  <c r="Q87" i="1"/>
  <c r="Q88" i="1"/>
  <c r="Q98" i="1"/>
  <c r="Q91" i="1"/>
  <c r="Q81" i="1"/>
  <c r="Q89" i="1"/>
  <c r="Q90" i="1"/>
  <c r="Q82" i="1"/>
  <c r="Q96" i="1"/>
  <c r="Q86" i="1"/>
  <c r="Q85" i="1"/>
  <c r="Q93" i="1"/>
  <c r="Q94" i="1"/>
  <c r="S59" i="1"/>
  <c r="R59" i="1"/>
  <c r="R61" i="1"/>
  <c r="R62" i="1" s="1"/>
  <c r="U97" i="1"/>
  <c r="U93" i="1"/>
  <c r="Q50" i="1"/>
  <c r="Q57" i="1"/>
  <c r="Q58" i="1" s="1"/>
  <c r="Q53" i="1"/>
  <c r="Q63" i="1"/>
  <c r="Q59" i="1"/>
  <c r="Q62" i="1"/>
  <c r="U94" i="1"/>
  <c r="U83" i="1"/>
  <c r="U91" i="1"/>
  <c r="U82" i="1"/>
  <c r="U89" i="1"/>
  <c r="U87" i="1"/>
  <c r="U63" i="1"/>
  <c r="S112" i="1"/>
  <c r="S113" i="1" s="1"/>
  <c r="S50" i="1"/>
  <c r="S108" i="1"/>
  <c r="S109" i="1" s="1"/>
  <c r="S104" i="1"/>
  <c r="S114" i="1"/>
  <c r="S106" i="1"/>
  <c r="S107" i="1" s="1"/>
  <c r="S53" i="1"/>
  <c r="S63" i="1"/>
  <c r="S57" i="1"/>
  <c r="S58" i="1" s="1"/>
  <c r="S110" i="1"/>
  <c r="S111" i="1" s="1"/>
  <c r="S84" i="1"/>
  <c r="S83" i="1"/>
  <c r="S85" i="1"/>
  <c r="S81" i="1"/>
  <c r="S82" i="1"/>
  <c r="S89" i="1"/>
  <c r="S93" i="1"/>
  <c r="S94" i="1"/>
  <c r="S97" i="1"/>
  <c r="S87" i="1"/>
  <c r="S88" i="1"/>
  <c r="S98" i="1"/>
  <c r="S91" i="1"/>
  <c r="S96" i="1"/>
  <c r="S86" i="1"/>
  <c r="S92" i="1"/>
  <c r="S95" i="1"/>
  <c r="S90" i="1"/>
  <c r="U57" i="1"/>
  <c r="U110" i="1"/>
  <c r="U111" i="1" s="1"/>
  <c r="P108" i="1"/>
  <c r="P109" i="1" s="1"/>
  <c r="P50" i="1"/>
  <c r="P104" i="1"/>
  <c r="P114" i="1"/>
  <c r="P53" i="1"/>
  <c r="P63" i="1"/>
  <c r="P57" i="1"/>
  <c r="P58" i="1" s="1"/>
  <c r="P110" i="1"/>
  <c r="P111" i="1" s="1"/>
  <c r="P106" i="1"/>
  <c r="P107" i="1" s="1"/>
  <c r="P112" i="1"/>
  <c r="P113" i="1" s="1"/>
  <c r="P83" i="1"/>
  <c r="P84" i="1"/>
  <c r="P89" i="1"/>
  <c r="P93" i="1"/>
  <c r="P87" i="1"/>
  <c r="P96" i="1"/>
  <c r="P98" i="1"/>
  <c r="P91" i="1"/>
  <c r="P95" i="1"/>
  <c r="P92" i="1"/>
  <c r="P88" i="1"/>
  <c r="P85" i="1"/>
  <c r="P97" i="1"/>
  <c r="P90" i="1"/>
  <c r="P94" i="1"/>
  <c r="P81" i="1"/>
  <c r="P86" i="1"/>
  <c r="P82" i="1"/>
  <c r="U108" i="1"/>
  <c r="U109" i="1" s="1"/>
  <c r="U104" i="1"/>
  <c r="U105" i="1" s="1"/>
  <c r="T117" i="1"/>
  <c r="U90" i="1"/>
  <c r="S61" i="1"/>
  <c r="S62" i="1" s="1"/>
  <c r="P59" i="1"/>
  <c r="P61" i="1"/>
  <c r="P62" i="1" s="1"/>
  <c r="O59" i="1"/>
  <c r="O61" i="1"/>
  <c r="O62" i="1" s="1"/>
  <c r="U88" i="1"/>
  <c r="O104" i="1"/>
  <c r="O110" i="1"/>
  <c r="O111" i="1" s="1"/>
  <c r="O106" i="1"/>
  <c r="O107" i="1" s="1"/>
  <c r="O53" i="1"/>
  <c r="O63" i="1"/>
  <c r="O114" i="1"/>
  <c r="O57" i="1"/>
  <c r="O58" i="1" s="1"/>
  <c r="O50" i="1"/>
  <c r="O108" i="1"/>
  <c r="O109" i="1" s="1"/>
  <c r="O112" i="1"/>
  <c r="O113" i="1" s="1"/>
  <c r="O83" i="1"/>
  <c r="O84" i="1"/>
  <c r="O87" i="1"/>
  <c r="O81" i="1"/>
  <c r="O93" i="1"/>
  <c r="O88" i="1"/>
  <c r="O98" i="1"/>
  <c r="O91" i="1"/>
  <c r="O95" i="1"/>
  <c r="O89" i="1"/>
  <c r="O96" i="1"/>
  <c r="O97" i="1"/>
  <c r="O92" i="1"/>
  <c r="O86" i="1"/>
  <c r="O90" i="1"/>
  <c r="O94" i="1"/>
  <c r="O82" i="1"/>
  <c r="O85" i="1"/>
  <c r="T54" i="1"/>
  <c r="U106" i="1"/>
  <c r="U107" i="1" s="1"/>
  <c r="T99" i="1"/>
  <c r="U98" i="1"/>
  <c r="U114" i="1"/>
  <c r="U53" i="1"/>
  <c r="U55" i="1" s="1"/>
  <c r="T100" i="1"/>
  <c r="U95" i="1"/>
  <c r="U86" i="1"/>
  <c r="U50" i="1"/>
  <c r="U81" i="1"/>
  <c r="U92" i="1"/>
  <c r="V49" i="1"/>
  <c r="T116" i="1"/>
  <c r="U84" i="1"/>
  <c r="U112" i="1"/>
  <c r="U113" i="1" s="1"/>
  <c r="U96" i="1"/>
  <c r="U74" i="1"/>
  <c r="U72" i="1"/>
  <c r="U71" i="1"/>
  <c r="U67" i="1"/>
  <c r="U68" i="1"/>
  <c r="U65" i="1"/>
  <c r="U66" i="1"/>
  <c r="V57" i="1" l="1"/>
  <c r="V73" i="1"/>
  <c r="R100" i="1"/>
  <c r="P100" i="1"/>
  <c r="Q99" i="1"/>
  <c r="Q100" i="1"/>
  <c r="R54" i="1"/>
  <c r="R55" i="1"/>
  <c r="R56" i="1" s="1"/>
  <c r="Q105" i="1"/>
  <c r="Q117" i="1" s="1"/>
  <c r="Q116" i="1"/>
  <c r="R99" i="1"/>
  <c r="R105" i="1"/>
  <c r="R117" i="1" s="1"/>
  <c r="R116" i="1"/>
  <c r="R60" i="1"/>
  <c r="R51" i="1" s="1"/>
  <c r="R52" i="1" s="1"/>
  <c r="U54" i="1"/>
  <c r="U99" i="1"/>
  <c r="Q54" i="1"/>
  <c r="Q55" i="1"/>
  <c r="Q56" i="1" s="1"/>
  <c r="Q60" i="1"/>
  <c r="Q51" i="1" s="1"/>
  <c r="Q52" i="1" s="1"/>
  <c r="S100" i="1"/>
  <c r="S105" i="1"/>
  <c r="S117" i="1" s="1"/>
  <c r="S116" i="1"/>
  <c r="O100" i="1"/>
  <c r="O116" i="1"/>
  <c r="O105" i="1"/>
  <c r="O117" i="1" s="1"/>
  <c r="P54" i="1"/>
  <c r="P55" i="1"/>
  <c r="P56" i="1" s="1"/>
  <c r="O54" i="1"/>
  <c r="O55" i="1"/>
  <c r="O56" i="1" s="1"/>
  <c r="P99" i="1"/>
  <c r="P116" i="1"/>
  <c r="P105" i="1"/>
  <c r="P117" i="1" s="1"/>
  <c r="V95" i="1"/>
  <c r="O60" i="1"/>
  <c r="O51" i="1" s="1"/>
  <c r="O52" i="1" s="1"/>
  <c r="S99" i="1"/>
  <c r="P60" i="1"/>
  <c r="P51" i="1" s="1"/>
  <c r="P52" i="1" s="1"/>
  <c r="S54" i="1"/>
  <c r="S55" i="1"/>
  <c r="S56" i="1" s="1"/>
  <c r="O99" i="1"/>
  <c r="V94" i="1"/>
  <c r="V82" i="1"/>
  <c r="V83" i="1"/>
  <c r="S60" i="1"/>
  <c r="S51" i="1" s="1"/>
  <c r="S52" i="1" s="1"/>
  <c r="V110" i="1"/>
  <c r="V111" i="1" s="1"/>
  <c r="V87" i="1"/>
  <c r="V93" i="1"/>
  <c r="V108" i="1"/>
  <c r="V109" i="1" s="1"/>
  <c r="U100" i="1"/>
  <c r="V90" i="1"/>
  <c r="V92" i="1"/>
  <c r="V98" i="1"/>
  <c r="V96" i="1"/>
  <c r="V84" i="1"/>
  <c r="V81" i="1"/>
  <c r="V88" i="1"/>
  <c r="V85" i="1"/>
  <c r="V114" i="1"/>
  <c r="V50" i="1"/>
  <c r="V89" i="1"/>
  <c r="V97" i="1"/>
  <c r="V86" i="1"/>
  <c r="W49" i="1"/>
  <c r="V112" i="1"/>
  <c r="V113" i="1" s="1"/>
  <c r="V91" i="1"/>
  <c r="V63" i="1"/>
  <c r="V104" i="1"/>
  <c r="V106" i="1"/>
  <c r="V107" i="1" s="1"/>
  <c r="V53" i="1"/>
  <c r="V54" i="1" s="1"/>
  <c r="U116" i="1"/>
  <c r="U117" i="1"/>
  <c r="V74" i="1"/>
  <c r="V72" i="1"/>
  <c r="T64" i="1" s="1"/>
  <c r="V71" i="1"/>
  <c r="V68" i="1"/>
  <c r="V65" i="1"/>
  <c r="V67" i="1"/>
  <c r="V66" i="1"/>
  <c r="V105" i="1"/>
  <c r="W57" i="1" l="1"/>
  <c r="W73" i="1"/>
  <c r="X49" i="1"/>
  <c r="W85" i="1"/>
  <c r="W89" i="1"/>
  <c r="W87" i="1"/>
  <c r="W114" i="1"/>
  <c r="W53" i="1"/>
  <c r="W55" i="1" s="1"/>
  <c r="W97" i="1"/>
  <c r="W96" i="1"/>
  <c r="W82" i="1"/>
  <c r="W110" i="1"/>
  <c r="W111" i="1" s="1"/>
  <c r="W104" i="1"/>
  <c r="W105" i="1" s="1"/>
  <c r="W83" i="1"/>
  <c r="W91" i="1"/>
  <c r="W108" i="1"/>
  <c r="W109" i="1" s="1"/>
  <c r="W93" i="1"/>
  <c r="W84" i="1"/>
  <c r="W50" i="1"/>
  <c r="V117" i="1"/>
  <c r="W88" i="1"/>
  <c r="W81" i="1"/>
  <c r="V116" i="1"/>
  <c r="V100" i="1"/>
  <c r="V55" i="1"/>
  <c r="W106" i="1"/>
  <c r="W107" i="1" s="1"/>
  <c r="W92" i="1"/>
  <c r="W94" i="1"/>
  <c r="W90" i="1"/>
  <c r="V99" i="1"/>
  <c r="W86" i="1"/>
  <c r="W98" i="1"/>
  <c r="W63" i="1"/>
  <c r="W95" i="1"/>
  <c r="W112" i="1"/>
  <c r="W113" i="1" s="1"/>
  <c r="K56" i="1"/>
  <c r="L56" i="1"/>
  <c r="M56" i="1"/>
  <c r="N56" i="1"/>
  <c r="T56" i="1"/>
  <c r="T59" i="1"/>
  <c r="K58" i="1"/>
  <c r="M58" i="1"/>
  <c r="L58" i="1"/>
  <c r="T58" i="1"/>
  <c r="N58" i="1"/>
  <c r="T61" i="1"/>
  <c r="T62" i="1" s="1"/>
  <c r="J59" i="1"/>
  <c r="K61" i="1"/>
  <c r="K62" i="1" s="1"/>
  <c r="L61" i="1"/>
  <c r="L62" i="1" s="1"/>
  <c r="I59" i="1"/>
  <c r="N61" i="1"/>
  <c r="N62" i="1" s="1"/>
  <c r="K59" i="1"/>
  <c r="M61" i="1"/>
  <c r="M62" i="1" s="1"/>
  <c r="L59" i="1"/>
  <c r="M59" i="1"/>
  <c r="N59" i="1"/>
  <c r="W72" i="1"/>
  <c r="W74" i="1"/>
  <c r="W54" i="1"/>
  <c r="W65" i="1"/>
  <c r="W67" i="1"/>
  <c r="W71" i="1"/>
  <c r="W66" i="1"/>
  <c r="W68" i="1"/>
  <c r="X50" i="1"/>
  <c r="X53" i="1"/>
  <c r="X55" i="1" s="1"/>
  <c r="X63" i="1"/>
  <c r="Y49" i="1"/>
  <c r="Y73" i="1" s="1"/>
  <c r="X84" i="1"/>
  <c r="X96" i="1"/>
  <c r="X93" i="1"/>
  <c r="X86" i="1"/>
  <c r="X82" i="1"/>
  <c r="X108" i="1"/>
  <c r="X109" i="1" s="1"/>
  <c r="X114" i="1"/>
  <c r="X91" i="1"/>
  <c r="X85" i="1"/>
  <c r="X98" i="1"/>
  <c r="X112" i="1"/>
  <c r="X113" i="1" s="1"/>
  <c r="X87" i="1"/>
  <c r="X88" i="1"/>
  <c r="X95" i="1"/>
  <c r="X106" i="1"/>
  <c r="X107" i="1" s="1"/>
  <c r="X89" i="1"/>
  <c r="X110" i="1"/>
  <c r="X111" i="1" s="1"/>
  <c r="X83" i="1"/>
  <c r="X90" i="1"/>
  <c r="X81" i="1"/>
  <c r="X92" i="1"/>
  <c r="X94" i="1"/>
  <c r="X104" i="1"/>
  <c r="X97" i="1"/>
  <c r="X57" i="1" l="1"/>
  <c r="X73" i="1"/>
  <c r="W99" i="1"/>
  <c r="W117" i="1"/>
  <c r="W100" i="1"/>
  <c r="W116" i="1"/>
  <c r="T60" i="1"/>
  <c r="T51" i="1" s="1"/>
  <c r="T52" i="1" s="1"/>
  <c r="I60" i="1"/>
  <c r="I51" i="1" s="1"/>
  <c r="I52" i="1" s="1"/>
  <c r="J60" i="1"/>
  <c r="J51" i="1" s="1"/>
  <c r="J52" i="1" s="1"/>
  <c r="N60" i="1"/>
  <c r="N51" i="1" s="1"/>
  <c r="N52" i="1" s="1"/>
  <c r="L60" i="1"/>
  <c r="L51" i="1" s="1"/>
  <c r="L52" i="1" s="1"/>
  <c r="M60" i="1"/>
  <c r="M51" i="1" s="1"/>
  <c r="M52" i="1" s="1"/>
  <c r="K60" i="1"/>
  <c r="K51" i="1" s="1"/>
  <c r="K52" i="1" s="1"/>
  <c r="Y53" i="1"/>
  <c r="Y57" i="1"/>
  <c r="X54" i="1"/>
  <c r="X72" i="1"/>
  <c r="X74" i="1"/>
  <c r="X65" i="1"/>
  <c r="X67" i="1"/>
  <c r="X68" i="1"/>
  <c r="X71" i="1"/>
  <c r="X66" i="1"/>
  <c r="Y63" i="1"/>
  <c r="X99" i="1"/>
  <c r="X100" i="1"/>
  <c r="X105" i="1"/>
  <c r="X117" i="1" s="1"/>
  <c r="X116" i="1"/>
  <c r="Z49" i="1"/>
  <c r="Z73" i="1" s="1"/>
  <c r="Y86" i="1"/>
  <c r="Y91" i="1"/>
  <c r="Y85" i="1"/>
  <c r="Y84" i="1"/>
  <c r="Y90" i="1"/>
  <c r="Y114" i="1"/>
  <c r="Y81" i="1"/>
  <c r="Y95" i="1"/>
  <c r="Y110" i="1"/>
  <c r="Y111" i="1" s="1"/>
  <c r="Y89" i="1"/>
  <c r="Y96" i="1"/>
  <c r="Y97" i="1"/>
  <c r="Y93" i="1"/>
  <c r="Y108" i="1"/>
  <c r="Y109" i="1" s="1"/>
  <c r="Y50" i="1"/>
  <c r="Y106" i="1"/>
  <c r="Y107" i="1" s="1"/>
  <c r="Y88" i="1"/>
  <c r="Y94" i="1"/>
  <c r="Y87" i="1"/>
  <c r="Y82" i="1"/>
  <c r="Y112" i="1"/>
  <c r="Y113" i="1" s="1"/>
  <c r="Y104" i="1"/>
  <c r="Y92" i="1"/>
  <c r="Y98" i="1"/>
  <c r="Y83" i="1"/>
  <c r="Y72" i="1" l="1"/>
  <c r="Y74" i="1"/>
  <c r="Z53" i="1"/>
  <c r="Z57" i="1"/>
  <c r="Y54" i="1"/>
  <c r="Y55" i="1"/>
  <c r="Y68" i="1"/>
  <c r="Y67" i="1"/>
  <c r="Y65" i="1"/>
  <c r="Y71" i="1"/>
  <c r="Y66" i="1"/>
  <c r="Z63" i="1"/>
  <c r="Y99" i="1"/>
  <c r="Y105" i="1"/>
  <c r="Y117" i="1" s="1"/>
  <c r="Y116" i="1"/>
  <c r="AA49" i="1"/>
  <c r="AA73" i="1" s="1"/>
  <c r="Z84" i="1"/>
  <c r="Z87" i="1"/>
  <c r="Z89" i="1"/>
  <c r="Z88" i="1"/>
  <c r="Z98" i="1"/>
  <c r="Z110" i="1"/>
  <c r="Z111" i="1" s="1"/>
  <c r="Z85" i="1"/>
  <c r="Z91" i="1"/>
  <c r="Z95" i="1"/>
  <c r="Z106" i="1"/>
  <c r="Z107" i="1" s="1"/>
  <c r="Z90" i="1"/>
  <c r="Z108" i="1"/>
  <c r="Z109" i="1" s="1"/>
  <c r="Z94" i="1"/>
  <c r="Z114" i="1"/>
  <c r="Z82" i="1"/>
  <c r="Z92" i="1"/>
  <c r="Z112" i="1"/>
  <c r="Z113" i="1" s="1"/>
  <c r="Z104" i="1"/>
  <c r="Z83" i="1"/>
  <c r="Z86" i="1"/>
  <c r="Z81" i="1"/>
  <c r="Z97" i="1"/>
  <c r="Z96" i="1"/>
  <c r="Z50" i="1"/>
  <c r="Z93" i="1"/>
  <c r="Y100" i="1"/>
  <c r="AA53" i="1" l="1"/>
  <c r="AA57" i="1"/>
  <c r="Z72" i="1"/>
  <c r="Z74" i="1"/>
  <c r="Z54" i="1"/>
  <c r="Z55" i="1"/>
  <c r="Z68" i="1"/>
  <c r="Z65" i="1"/>
  <c r="Z67" i="1"/>
  <c r="Z71" i="1"/>
  <c r="Z66" i="1"/>
  <c r="AA63" i="1"/>
  <c r="Z100" i="1"/>
  <c r="Z105" i="1"/>
  <c r="Z117" i="1" s="1"/>
  <c r="Z116" i="1"/>
  <c r="Z99" i="1"/>
  <c r="AB49" i="1"/>
  <c r="AB73" i="1" s="1"/>
  <c r="AA108" i="1"/>
  <c r="AA109" i="1" s="1"/>
  <c r="AA86" i="1"/>
  <c r="AA82" i="1"/>
  <c r="AA91" i="1"/>
  <c r="AA112" i="1"/>
  <c r="AA113" i="1" s="1"/>
  <c r="AA84" i="1"/>
  <c r="AA110" i="1"/>
  <c r="AA111" i="1" s="1"/>
  <c r="AA90" i="1"/>
  <c r="AA83" i="1"/>
  <c r="AA88" i="1"/>
  <c r="AA104" i="1"/>
  <c r="AA87" i="1"/>
  <c r="AA92" i="1"/>
  <c r="AA94" i="1"/>
  <c r="AA50" i="1"/>
  <c r="AA106" i="1"/>
  <c r="AA107" i="1" s="1"/>
  <c r="AA97" i="1"/>
  <c r="AA85" i="1"/>
  <c r="AA98" i="1"/>
  <c r="AA81" i="1"/>
  <c r="AA96" i="1"/>
  <c r="AA95" i="1"/>
  <c r="AA89" i="1"/>
  <c r="AA114" i="1"/>
  <c r="AA93" i="1"/>
  <c r="AA74" i="1" l="1"/>
  <c r="AA72" i="1"/>
  <c r="AB53" i="1"/>
  <c r="AB57" i="1"/>
  <c r="AA54" i="1"/>
  <c r="AA55" i="1"/>
  <c r="AA65" i="1"/>
  <c r="AA67" i="1"/>
  <c r="AA71" i="1"/>
  <c r="AA66" i="1"/>
  <c r="AA68" i="1"/>
  <c r="AB63" i="1"/>
  <c r="AC49" i="1"/>
  <c r="AC73" i="1" s="1"/>
  <c r="AA99" i="1"/>
  <c r="AA100" i="1"/>
  <c r="AA105" i="1"/>
  <c r="AA117" i="1" s="1"/>
  <c r="AA116" i="1"/>
  <c r="AB87" i="1"/>
  <c r="AB93" i="1"/>
  <c r="AB90" i="1"/>
  <c r="AB82" i="1"/>
  <c r="AB84" i="1"/>
  <c r="AB81" i="1"/>
  <c r="AB114" i="1"/>
  <c r="AB91" i="1"/>
  <c r="AB112" i="1"/>
  <c r="AB113" i="1" s="1"/>
  <c r="AB85" i="1"/>
  <c r="AB94" i="1"/>
  <c r="AB88" i="1"/>
  <c r="AB96" i="1"/>
  <c r="AB110" i="1"/>
  <c r="AB111" i="1" s="1"/>
  <c r="AB106" i="1"/>
  <c r="AB107" i="1" s="1"/>
  <c r="AB104" i="1"/>
  <c r="AB83" i="1"/>
  <c r="AB97" i="1"/>
  <c r="AB98" i="1"/>
  <c r="AB95" i="1"/>
  <c r="AB108" i="1"/>
  <c r="AB109" i="1" s="1"/>
  <c r="AB89" i="1"/>
  <c r="AB92" i="1"/>
  <c r="AB86" i="1"/>
  <c r="AB50" i="1"/>
  <c r="U56" i="1" l="1"/>
  <c r="U59" i="1"/>
  <c r="U58" i="1"/>
  <c r="U64" i="1"/>
  <c r="U61" i="1"/>
  <c r="U62" i="1" s="1"/>
  <c r="V64" i="1"/>
  <c r="V61" i="1"/>
  <c r="V62" i="1" s="1"/>
  <c r="V58" i="1"/>
  <c r="V56" i="1"/>
  <c r="V59" i="1"/>
  <c r="AC53" i="1"/>
  <c r="AC55" i="1" s="1"/>
  <c r="AC57" i="1"/>
  <c r="AB74" i="1"/>
  <c r="AB72" i="1"/>
  <c r="AB54" i="1"/>
  <c r="AB55" i="1"/>
  <c r="AB71" i="1"/>
  <c r="AB66" i="1"/>
  <c r="AB65" i="1"/>
  <c r="AB67" i="1"/>
  <c r="AB68" i="1"/>
  <c r="AC63" i="1"/>
  <c r="AD49" i="1"/>
  <c r="AC104" i="1"/>
  <c r="AC110" i="1"/>
  <c r="AC111" i="1" s="1"/>
  <c r="AC106" i="1"/>
  <c r="AC107" i="1" s="1"/>
  <c r="AC50" i="1"/>
  <c r="AC112" i="1"/>
  <c r="AC113" i="1" s="1"/>
  <c r="AC108" i="1"/>
  <c r="AC109" i="1" s="1"/>
  <c r="AC114" i="1"/>
  <c r="AC83" i="1"/>
  <c r="AC84" i="1"/>
  <c r="AC90" i="1"/>
  <c r="AC85" i="1"/>
  <c r="AC98" i="1"/>
  <c r="AC89" i="1"/>
  <c r="AC97" i="1"/>
  <c r="AC95" i="1"/>
  <c r="AC81" i="1"/>
  <c r="AC86" i="1"/>
  <c r="AC96" i="1"/>
  <c r="AC91" i="1"/>
  <c r="AC82" i="1"/>
  <c r="AC92" i="1"/>
  <c r="AC93" i="1"/>
  <c r="AC87" i="1"/>
  <c r="AC94" i="1"/>
  <c r="AC88" i="1"/>
  <c r="AB99" i="1"/>
  <c r="AB105" i="1"/>
  <c r="AB117" i="1" s="1"/>
  <c r="AB116" i="1"/>
  <c r="AB100" i="1"/>
  <c r="D45" i="1" l="1"/>
  <c r="AD73" i="1"/>
  <c r="AE73" i="1" s="1"/>
  <c r="U60" i="1"/>
  <c r="U51" i="1" s="1"/>
  <c r="U52" i="1" s="1"/>
  <c r="V60" i="1"/>
  <c r="V51" i="1" s="1"/>
  <c r="V52" i="1" s="1"/>
  <c r="W58" i="1"/>
  <c r="X56" i="1"/>
  <c r="Y56" i="1"/>
  <c r="Z56" i="1"/>
  <c r="X58" i="1"/>
  <c r="W56" i="1"/>
  <c r="AA56" i="1"/>
  <c r="Y58" i="1"/>
  <c r="Z58" i="1"/>
  <c r="AA58" i="1"/>
  <c r="W61" i="1"/>
  <c r="W62" i="1" s="1"/>
  <c r="W64" i="1"/>
  <c r="W59" i="1"/>
  <c r="X59" i="1"/>
  <c r="X64" i="1"/>
  <c r="X61" i="1"/>
  <c r="X62" i="1" s="1"/>
  <c r="Y61" i="1"/>
  <c r="Y62" i="1" s="1"/>
  <c r="Y64" i="1"/>
  <c r="Y59" i="1"/>
  <c r="Z61" i="1"/>
  <c r="Z62" i="1" s="1"/>
  <c r="Z64" i="1"/>
  <c r="Z59" i="1"/>
  <c r="AA61" i="1"/>
  <c r="AA62" i="1" s="1"/>
  <c r="AA59" i="1"/>
  <c r="AA64" i="1"/>
  <c r="AD53" i="1"/>
  <c r="AD57" i="1"/>
  <c r="AC72" i="1"/>
  <c r="AC74" i="1"/>
  <c r="AC54" i="1"/>
  <c r="AC66" i="1"/>
  <c r="AC67" i="1"/>
  <c r="AC65" i="1"/>
  <c r="AC68" i="1"/>
  <c r="AC71" i="1"/>
  <c r="AD63" i="1"/>
  <c r="AC105" i="1"/>
  <c r="AC117" i="1" s="1"/>
  <c r="AC116" i="1"/>
  <c r="AC99" i="1"/>
  <c r="AC100" i="1"/>
  <c r="AD104" i="1"/>
  <c r="AD110" i="1"/>
  <c r="AD111" i="1" s="1"/>
  <c r="AD112" i="1"/>
  <c r="AD113" i="1" s="1"/>
  <c r="AD108" i="1"/>
  <c r="AD109" i="1" s="1"/>
  <c r="AD114" i="1"/>
  <c r="AD106" i="1"/>
  <c r="AD107" i="1" s="1"/>
  <c r="AD84" i="1"/>
  <c r="AE49" i="1"/>
  <c r="AD50" i="1"/>
  <c r="AD83" i="1"/>
  <c r="AD89" i="1"/>
  <c r="AD85" i="1"/>
  <c r="AD98" i="1"/>
  <c r="AD82" i="1"/>
  <c r="AD90" i="1"/>
  <c r="AD86" i="1"/>
  <c r="AD92" i="1"/>
  <c r="AD97" i="1"/>
  <c r="AD88" i="1"/>
  <c r="AD81" i="1"/>
  <c r="AD91" i="1"/>
  <c r="AD93" i="1"/>
  <c r="AD87" i="1"/>
  <c r="AD96" i="1"/>
  <c r="AD95" i="1"/>
  <c r="AD94" i="1"/>
  <c r="AE93" i="1" l="1"/>
  <c r="AE53" i="1"/>
  <c r="AA60" i="1"/>
  <c r="AA51" i="1" s="1"/>
  <c r="AA52" i="1" s="1"/>
  <c r="X60" i="1"/>
  <c r="X51" i="1" s="1"/>
  <c r="X52" i="1" s="1"/>
  <c r="Y60" i="1"/>
  <c r="Y51" i="1" s="1"/>
  <c r="Y52" i="1" s="1"/>
  <c r="Z60" i="1"/>
  <c r="Z51" i="1" s="1"/>
  <c r="Z52" i="1" s="1"/>
  <c r="W60" i="1"/>
  <c r="W51" i="1" s="1"/>
  <c r="W52" i="1" s="1"/>
  <c r="AD72" i="1"/>
  <c r="AD74" i="1"/>
  <c r="AE63" i="1"/>
  <c r="AE57" i="1"/>
  <c r="AD54" i="1"/>
  <c r="AD55" i="1"/>
  <c r="AD67" i="1"/>
  <c r="AD66" i="1"/>
  <c r="AD65" i="1"/>
  <c r="AD68" i="1"/>
  <c r="AD71" i="1"/>
  <c r="AD100" i="1"/>
  <c r="AD116" i="1"/>
  <c r="AD105" i="1"/>
  <c r="AD117" i="1" s="1"/>
  <c r="AD99" i="1"/>
  <c r="AE108" i="1"/>
  <c r="AE109" i="1" s="1"/>
  <c r="AE104" i="1"/>
  <c r="AE110" i="1"/>
  <c r="AE111" i="1" s="1"/>
  <c r="AE106" i="1"/>
  <c r="AE107" i="1" s="1"/>
  <c r="AE112" i="1"/>
  <c r="AE113" i="1" s="1"/>
  <c r="AE114" i="1"/>
  <c r="AE84" i="1"/>
  <c r="AE83" i="1"/>
  <c r="AE94" i="1"/>
  <c r="AE88" i="1"/>
  <c r="AE91" i="1"/>
  <c r="AE82" i="1"/>
  <c r="AE89" i="1"/>
  <c r="AE87" i="1"/>
  <c r="AE95" i="1"/>
  <c r="AE92" i="1"/>
  <c r="AE97" i="1"/>
  <c r="AE90" i="1"/>
  <c r="AE85" i="1"/>
  <c r="AE50" i="1"/>
  <c r="AE81" i="1"/>
  <c r="AE98" i="1"/>
  <c r="AE86" i="1"/>
  <c r="AE96" i="1"/>
  <c r="AB58" i="1" l="1"/>
  <c r="AB59" i="1"/>
  <c r="AB61" i="1"/>
  <c r="AB62" i="1" s="1"/>
  <c r="AB64" i="1"/>
  <c r="AB56" i="1"/>
  <c r="AE55" i="1"/>
  <c r="AE54" i="1"/>
  <c r="AE72" i="1"/>
  <c r="AE74" i="1"/>
  <c r="AE68" i="1"/>
  <c r="AE65" i="1"/>
  <c r="AE71" i="1"/>
  <c r="AE66" i="1"/>
  <c r="AE67" i="1"/>
  <c r="AE100" i="1"/>
  <c r="AE99" i="1"/>
  <c r="AE105" i="1"/>
  <c r="AE117" i="1" s="1"/>
  <c r="AE116" i="1"/>
  <c r="AB60" i="1" l="1"/>
  <c r="AB51" i="1" s="1"/>
  <c r="AB52" i="1" s="1"/>
  <c r="AC58" i="1"/>
  <c r="AC56" i="1"/>
  <c r="AD56" i="1"/>
  <c r="AD58" i="1"/>
  <c r="AC64" i="1"/>
  <c r="AC59" i="1"/>
  <c r="AC61" i="1"/>
  <c r="AC62" i="1" s="1"/>
  <c r="AD59" i="1"/>
  <c r="AD61" i="1"/>
  <c r="AD62" i="1" s="1"/>
  <c r="AD64" i="1"/>
  <c r="AF72" i="1"/>
  <c r="AF64" i="1" s="1"/>
  <c r="AF74" i="1"/>
  <c r="AF59" i="1" s="1"/>
  <c r="AF68" i="1"/>
  <c r="AF65" i="1"/>
  <c r="AF71" i="1"/>
  <c r="AG48" i="1"/>
  <c r="AF67" i="1"/>
  <c r="AF66" i="1"/>
  <c r="AE59" i="1" l="1"/>
  <c r="AE64" i="1"/>
  <c r="AE61" i="1"/>
  <c r="AE62" i="1" s="1"/>
  <c r="AE58" i="1"/>
  <c r="AE56" i="1"/>
  <c r="AF56" i="1"/>
  <c r="AC60" i="1"/>
  <c r="AC51" i="1" s="1"/>
  <c r="AC52" i="1" s="1"/>
  <c r="AD60" i="1"/>
  <c r="AD51" i="1" s="1"/>
  <c r="AD52" i="1" s="1"/>
  <c r="AF61" i="1"/>
  <c r="AF62" i="1" s="1"/>
  <c r="AF60" i="1" s="1"/>
  <c r="AG72" i="1"/>
  <c r="AG71" i="1"/>
  <c r="AG74" i="1"/>
  <c r="AE60" i="1" l="1"/>
  <c r="AE51" i="1" s="1"/>
  <c r="AE52" i="1" s="1"/>
  <c r="AG64" i="1"/>
  <c r="AF58" i="1"/>
  <c r="AF51" i="1" s="1"/>
  <c r="AF52" i="1" s="1"/>
</calcChain>
</file>

<file path=xl/sharedStrings.xml><?xml version="1.0" encoding="utf-8"?>
<sst xmlns="http://schemas.openxmlformats.org/spreadsheetml/2006/main" count="416" uniqueCount="329">
  <si>
    <t>Australian Population</t>
  </si>
  <si>
    <t>By Age</t>
  </si>
  <si>
    <t>Cardiovascular Disease</t>
  </si>
  <si>
    <t>Mortality</t>
  </si>
  <si>
    <t>Number</t>
  </si>
  <si>
    <t>Diabetes</t>
  </si>
  <si>
    <t>Pop. with disease</t>
  </si>
  <si>
    <t>Chronic Respiratory Disease</t>
  </si>
  <si>
    <t>Hypertension</t>
  </si>
  <si>
    <t>Cancer</t>
  </si>
  <si>
    <t>Smoking</t>
  </si>
  <si>
    <t>?</t>
  </si>
  <si>
    <t>Infection Doubling Time (days)</t>
  </si>
  <si>
    <t>80+</t>
  </si>
  <si>
    <t>70-79</t>
  </si>
  <si>
    <t>60-69</t>
  </si>
  <si>
    <t>50-59</t>
  </si>
  <si>
    <t>40-49</t>
  </si>
  <si>
    <t>30-39</t>
  </si>
  <si>
    <t>20-29</t>
  </si>
  <si>
    <t>10-19</t>
  </si>
  <si>
    <t>0-9</t>
  </si>
  <si>
    <t>0</t>
  </si>
  <si>
    <t>1</t>
  </si>
  <si>
    <t>2</t>
  </si>
  <si>
    <t>3</t>
  </si>
  <si>
    <t>4</t>
  </si>
  <si>
    <t>0–4</t>
  </si>
  <si>
    <t>5</t>
  </si>
  <si>
    <t>6</t>
  </si>
  <si>
    <t>7</t>
  </si>
  <si>
    <t>8</t>
  </si>
  <si>
    <t>9</t>
  </si>
  <si>
    <t>5–9</t>
  </si>
  <si>
    <t>10</t>
  </si>
  <si>
    <t>11</t>
  </si>
  <si>
    <t>12</t>
  </si>
  <si>
    <t>13</t>
  </si>
  <si>
    <t>14</t>
  </si>
  <si>
    <t>10–14</t>
  </si>
  <si>
    <t>15</t>
  </si>
  <si>
    <t>16</t>
  </si>
  <si>
    <t>17</t>
  </si>
  <si>
    <t>18</t>
  </si>
  <si>
    <t>19</t>
  </si>
  <si>
    <t>15–19</t>
  </si>
  <si>
    <t>20</t>
  </si>
  <si>
    <t>21</t>
  </si>
  <si>
    <t>22</t>
  </si>
  <si>
    <t>23</t>
  </si>
  <si>
    <t>24</t>
  </si>
  <si>
    <t>20–24</t>
  </si>
  <si>
    <t>25</t>
  </si>
  <si>
    <t>26</t>
  </si>
  <si>
    <t>27</t>
  </si>
  <si>
    <t>28</t>
  </si>
  <si>
    <t>29</t>
  </si>
  <si>
    <t>25–29</t>
  </si>
  <si>
    <t>30</t>
  </si>
  <si>
    <t>31</t>
  </si>
  <si>
    <t>32</t>
  </si>
  <si>
    <t>33</t>
  </si>
  <si>
    <t>34</t>
  </si>
  <si>
    <t>30–34</t>
  </si>
  <si>
    <t>35</t>
  </si>
  <si>
    <t>36</t>
  </si>
  <si>
    <t>37</t>
  </si>
  <si>
    <t>38</t>
  </si>
  <si>
    <t>39</t>
  </si>
  <si>
    <t>35–39</t>
  </si>
  <si>
    <t>40</t>
  </si>
  <si>
    <t>41</t>
  </si>
  <si>
    <t>42</t>
  </si>
  <si>
    <t>43</t>
  </si>
  <si>
    <t>44</t>
  </si>
  <si>
    <t>40–44</t>
  </si>
  <si>
    <t>45</t>
  </si>
  <si>
    <t>46</t>
  </si>
  <si>
    <t>47</t>
  </si>
  <si>
    <t>48</t>
  </si>
  <si>
    <t>49</t>
  </si>
  <si>
    <t>45–49</t>
  </si>
  <si>
    <t>50</t>
  </si>
  <si>
    <t>51</t>
  </si>
  <si>
    <t>52</t>
  </si>
  <si>
    <t>53</t>
  </si>
  <si>
    <t>54</t>
  </si>
  <si>
    <t>50–54</t>
  </si>
  <si>
    <t>55</t>
  </si>
  <si>
    <t>56</t>
  </si>
  <si>
    <t>57</t>
  </si>
  <si>
    <t>58</t>
  </si>
  <si>
    <t>59</t>
  </si>
  <si>
    <t>55–59</t>
  </si>
  <si>
    <t>60</t>
  </si>
  <si>
    <t>61</t>
  </si>
  <si>
    <t>62</t>
  </si>
  <si>
    <t>63</t>
  </si>
  <si>
    <t>64</t>
  </si>
  <si>
    <t>60–64</t>
  </si>
  <si>
    <t>65</t>
  </si>
  <si>
    <t>66</t>
  </si>
  <si>
    <t>67</t>
  </si>
  <si>
    <t>68</t>
  </si>
  <si>
    <t>69</t>
  </si>
  <si>
    <t>65–69</t>
  </si>
  <si>
    <t>70</t>
  </si>
  <si>
    <t>71</t>
  </si>
  <si>
    <t>72</t>
  </si>
  <si>
    <t>73</t>
  </si>
  <si>
    <t>74</t>
  </si>
  <si>
    <t>70–74</t>
  </si>
  <si>
    <t>75</t>
  </si>
  <si>
    <t>76</t>
  </si>
  <si>
    <t>77</t>
  </si>
  <si>
    <t>78</t>
  </si>
  <si>
    <t>79</t>
  </si>
  <si>
    <t>75–79</t>
  </si>
  <si>
    <t>80</t>
  </si>
  <si>
    <t>81</t>
  </si>
  <si>
    <t>82</t>
  </si>
  <si>
    <t>83</t>
  </si>
  <si>
    <t>84</t>
  </si>
  <si>
    <t>80–84</t>
  </si>
  <si>
    <t>85–89</t>
  </si>
  <si>
    <t>90–94</t>
  </si>
  <si>
    <t>95–99</t>
  </si>
  <si>
    <t>100 and over</t>
  </si>
  <si>
    <t>All ages</t>
  </si>
  <si>
    <t>Ages</t>
  </si>
  <si>
    <t>Total Mortality Count</t>
  </si>
  <si>
    <t>Total Infection Count</t>
  </si>
  <si>
    <t>Does not need to add to 100% as not necessarily exclusive, some comorbidities may be shared</t>
  </si>
  <si>
    <t>Projected COVID-19 rates in Australia</t>
  </si>
  <si>
    <t>Actual Confirmed Infections</t>
  </si>
  <si>
    <t>Actual Mortality Count</t>
  </si>
  <si>
    <t>Age</t>
  </si>
  <si>
    <t>Infections</t>
  </si>
  <si>
    <t>Percent</t>
  </si>
  <si>
    <t>Total</t>
  </si>
  <si>
    <t>Actual COVID-19 rates in Australia</t>
  </si>
  <si>
    <t>Projected COVID-19 Mortality by Age</t>
  </si>
  <si>
    <t>Projected COVID-19 Mortality by Comorbidity</t>
  </si>
  <si>
    <t>Infection Ratio</t>
  </si>
  <si>
    <t>Public Hospital Beds in Australia / 1,000</t>
  </si>
  <si>
    <t>ICU Beds in Australia / 100,000</t>
  </si>
  <si>
    <t>Naively models all deaths from CoronaVirus having been in ICU and reducing the ICU numbers over time</t>
  </si>
  <si>
    <t>Pop. Sep 2019</t>
  </si>
  <si>
    <t>Population estimated as at 30 June 2019</t>
  </si>
  <si>
    <t>Infection counts are detected infection counts, total population infection counts will be greater, but without whole population testing or some form of random sampling testing, total population infection numbers remains unknown</t>
  </si>
  <si>
    <t>From</t>
  </si>
  <si>
    <t>as of 21/3/2020, NB borders closed 9pm 20/3</t>
  </si>
  <si>
    <t>Projected Mortality at 5 wks from infection (death 2 - 8 wks from symptom onset.  2 wks + (8 - 2 wks)/2 = 5 wks)</t>
  </si>
  <si>
    <t>Projected Cumulative Mortality Count (future projection)</t>
  </si>
  <si>
    <t>wk 1</t>
  </si>
  <si>
    <t>wk 2</t>
  </si>
  <si>
    <t>wk 3</t>
  </si>
  <si>
    <t>wk 4</t>
  </si>
  <si>
    <t>wk 5</t>
  </si>
  <si>
    <t>Assumes that infection period lasts for 6 weeks, for many people it can be over within 2 weeks, for others including those requiring hospitalisation, it can be up to 8 weeks</t>
  </si>
  <si>
    <t>Actual Recovered (reporting of numbers inconsistent)</t>
  </si>
  <si>
    <t>First death 1/3</t>
  </si>
  <si>
    <t>Course grained projections based on broader rates of infection and recovery which may not be as applicable in the AU context</t>
  </si>
  <si>
    <t xml:space="preserve">Does not model incubation periods which can be from 1 - 14 days with a mean incubation of 5 - 6 days but can be up to 27 days before symptoms present.  </t>
  </si>
  <si>
    <t>% of asymptomatic infections are unknown.</t>
  </si>
  <si>
    <t>2 - 8 weeks from onset of symptoms to death (assuming average is 5 weeks)</t>
  </si>
  <si>
    <t>wk 0</t>
  </si>
  <si>
    <t>CFR</t>
  </si>
  <si>
    <t>Death</t>
  </si>
  <si>
    <t>Infection doubling times</t>
  </si>
  <si>
    <t>days</t>
  </si>
  <si>
    <t>The following illustrates how many infections will likely be detected in a population subject to the deaths that have occurred due to the infection based on the current known mortality and infection rates</t>
  </si>
  <si>
    <t>Mild</t>
  </si>
  <si>
    <t>Severe (hospitalisation)</t>
  </si>
  <si>
    <t>Critical (ICU)</t>
  </si>
  <si>
    <t>Mild Cases</t>
  </si>
  <si>
    <t>Severe Cases</t>
  </si>
  <si>
    <t>Critical Cases</t>
  </si>
  <si>
    <t>5 - 6 days mean incubation period before onset of symptoms</t>
  </si>
  <si>
    <t>Recovered</t>
  </si>
  <si>
    <t>Recovery time for mild cases</t>
  </si>
  <si>
    <t>weeks</t>
  </si>
  <si>
    <t>Recovery time for severe/critical cases</t>
  </si>
  <si>
    <t>(3 - 6 weeks recovery time)</t>
  </si>
  <si>
    <t>Assume a lag of 1 -2 weeks from the dates that these numbers are against, to when they are detected</t>
  </si>
  <si>
    <t>This is a generic illustration to demonstrate the potential extent of community infection that may be inferred from COVID-19 deaths based on WHO statistics and not meant to represent actual real world behaviours in a particular environment.</t>
  </si>
  <si>
    <t>Actual number of infections will be higher than the numbers detected, as many will be asymptomatic and so will not be tested</t>
  </si>
  <si>
    <t>Feb CFR</t>
  </si>
  <si>
    <t>Mar CFR</t>
  </si>
  <si>
    <t>Case Fatality Rates (CFR)</t>
  </si>
  <si>
    <t>Infections (cumulative)</t>
  </si>
  <si>
    <t>Detected Infections (cumulative)</t>
  </si>
  <si>
    <t>Assumes that asymptomatic cases make up 30% of all cases, the asymptomatic portion of infections has yet to be determined.</t>
  </si>
  <si>
    <t xml:space="preserve"> of total (assumed)</t>
  </si>
  <si>
    <t>of detected</t>
  </si>
  <si>
    <t>Number of deaths today</t>
  </si>
  <si>
    <t>Date</t>
  </si>
  <si>
    <t>Days</t>
  </si>
  <si>
    <t>Weeks</t>
  </si>
  <si>
    <t>CFR likely to be higher as time progresses</t>
  </si>
  <si>
    <t>Day Count</t>
  </si>
  <si>
    <t>Week Count</t>
  </si>
  <si>
    <t>First Detected Infection in AU</t>
  </si>
  <si>
    <t>Rolling 2 week window</t>
  </si>
  <si>
    <t>Rolling 6 week window</t>
  </si>
  <si>
    <t>Rolling 1 week window</t>
  </si>
  <si>
    <t>Rolling 5 week window</t>
  </si>
  <si>
    <t>Projected Detected Population Infected</t>
  </si>
  <si>
    <t>% of Pop. of Detected Infections</t>
  </si>
  <si>
    <t>Crtical (ICU)</t>
  </si>
  <si>
    <t>Cumulative Severe</t>
  </si>
  <si>
    <t>Cumulative Critical</t>
  </si>
  <si>
    <t>% of Pop. of all infected</t>
  </si>
  <si>
    <t>Proportion of confirmed cases to total infections</t>
  </si>
  <si>
    <t>Projected Case Mortality Rate</t>
  </si>
  <si>
    <t>Final confirmed infection rate</t>
  </si>
  <si>
    <t>Stage 1 Shutdown</t>
  </si>
  <si>
    <t>Stage 2 Shutdown</t>
  </si>
  <si>
    <t>Stage 3 Shutdown</t>
  </si>
  <si>
    <t>Lead time before expect to begin seeing results</t>
  </si>
  <si>
    <t>Population</t>
  </si>
  <si>
    <t>Current Detected Infections</t>
  </si>
  <si>
    <t>Detected Infections Doubling Rate</t>
  </si>
  <si>
    <t>Date From</t>
  </si>
  <si>
    <t>Severe</t>
  </si>
  <si>
    <t>Critical</t>
  </si>
  <si>
    <t>Deaths</t>
  </si>
  <si>
    <t>Available Hospital Beds</t>
  </si>
  <si>
    <t>Available ICU Beds</t>
  </si>
  <si>
    <t>Hospital Beds Exhausted By</t>
  </si>
  <si>
    <t>ICU Beds Exhausted By</t>
  </si>
  <si>
    <t>Asymptomatic</t>
  </si>
  <si>
    <t>60% Pop. Infected By</t>
  </si>
  <si>
    <t>Hospital Beds Exhausted in</t>
  </si>
  <si>
    <t>ICU Beds Exhausted in</t>
  </si>
  <si>
    <t>60% Pop. Infected in</t>
  </si>
  <si>
    <t>Future Date</t>
  </si>
  <si>
    <t>Number of Detected Infections</t>
  </si>
  <si>
    <t>Initial Detected Infections</t>
  </si>
  <si>
    <t>Initial Detected Date</t>
  </si>
  <si>
    <t>Elapsed Days</t>
  </si>
  <si>
    <t>doubling period = elapsed days / (log(infections/initial infections)/log(2))</t>
  </si>
  <si>
    <t>Mild (cumulative)</t>
  </si>
  <si>
    <t>Mild (active)</t>
  </si>
  <si>
    <t>infections = initial infections * 2  ^ (days/doubling rate)</t>
  </si>
  <si>
    <t>21 days, including 5 - 7 days incubation period</t>
  </si>
  <si>
    <t>21 days, 1 week of incubation and 2 weeks of symptoms</t>
  </si>
  <si>
    <t>Severe (active)</t>
  </si>
  <si>
    <t>Severe (cumulative)</t>
  </si>
  <si>
    <t>Critical (cumulative)</t>
  </si>
  <si>
    <t>Critical (active)</t>
  </si>
  <si>
    <t>49 days. 1 week of incubation and 6 weeks of hospitalisation</t>
  </si>
  <si>
    <t>Mild (recovered)</t>
  </si>
  <si>
    <t>Severe (recovered)</t>
  </si>
  <si>
    <t>Critical (recovered)</t>
  </si>
  <si>
    <t>Deaths (projected)</t>
  </si>
  <si>
    <t>Deaths (to date)</t>
  </si>
  <si>
    <t>deaths from infections up to 42 days previous, 1 week incubation, 5 weeks symptoms before death</t>
  </si>
  <si>
    <t>days = doubling period * log(infections/initial infections)/log(2)</t>
  </si>
  <si>
    <t>N.B. does not account for recovered cases</t>
  </si>
  <si>
    <t>Doubling Rate (averaged)</t>
  </si>
  <si>
    <t>Projected active detected infections</t>
  </si>
  <si>
    <t>Number active Severe</t>
  </si>
  <si>
    <t>Number active Critical</t>
  </si>
  <si>
    <t>Projected number of Cumulative Mild cases</t>
  </si>
  <si>
    <t>Avg Projected Doubling Rate</t>
  </si>
  <si>
    <t>China arrivals blocked</t>
  </si>
  <si>
    <t>Iran arrivals blocked</t>
  </si>
  <si>
    <t>Sth Korea arrivals blocked</t>
  </si>
  <si>
    <t>Outdoor gatherings &lt; 500</t>
  </si>
  <si>
    <t>Self isolation arrivals, indoor gatherings &lt; 100 people</t>
  </si>
  <si>
    <t>Italy arrivals blocked</t>
  </si>
  <si>
    <t>Projected number of undetected cases</t>
  </si>
  <si>
    <t>Projected number of recovered undetected cases</t>
  </si>
  <si>
    <t>Projected number of all infected</t>
  </si>
  <si>
    <t>Undetected (cumulative)</t>
  </si>
  <si>
    <t>Undetected (recovered)</t>
  </si>
  <si>
    <t>Undetected (active)</t>
  </si>
  <si>
    <t>What happens by this date if ongoing exponential growth</t>
  </si>
  <si>
    <t>Once the doubling value starts increasing, infection rates decreasing, values become more meaningless</t>
  </si>
  <si>
    <t xml:space="preserve">Projections from this point on are meaningless as detected infection rates decrease </t>
  </si>
  <si>
    <t>Numbers meaningless after infection rates exceed 60% of the population</t>
  </si>
  <si>
    <t>Projected number of recovered infections</t>
  </si>
  <si>
    <t>Projected number active Mild Cases</t>
  </si>
  <si>
    <t>5% world avg</t>
  </si>
  <si>
    <t>14% world avg</t>
  </si>
  <si>
    <t>81% world avg</t>
  </si>
  <si>
    <t>Worst case numbers</t>
  </si>
  <si>
    <t>Undetected Cases</t>
  </si>
  <si>
    <t>Australian CFR</t>
  </si>
  <si>
    <t>Actual Active Confirmed Infections</t>
  </si>
  <si>
    <t>Tas border closed</t>
  </si>
  <si>
    <t>SA, WA, NT borders closed</t>
  </si>
  <si>
    <t>QLD border closed</t>
  </si>
  <si>
    <t>AU borders closed to non-citizens, 9PM 20/3/2020</t>
  </si>
  <si>
    <t>Deaths decreasing from 7/4</t>
  </si>
  <si>
    <t>New cases decreasing from 28/3</t>
  </si>
  <si>
    <t>Hit the long tail around 21/4, uncertainty is too high on too little data to make any meaningful predictions unless the numbers begin to rise again.</t>
  </si>
  <si>
    <t>COVIDSafe mobile app released</t>
  </si>
  <si>
    <t>States begin relaxing socialisation restrictions, each in their own way</t>
  </si>
  <si>
    <t>Male</t>
  </si>
  <si>
    <t>Female</t>
  </si>
  <si>
    <t>Confirmed Infections</t>
  </si>
  <si>
    <t>Chinese mortality</t>
  </si>
  <si>
    <t>Italian mortality</t>
  </si>
  <si>
    <t>Spanish mortality</t>
  </si>
  <si>
    <t>Three step plan announced to begin opening back up, each state to determine their own timing</t>
  </si>
  <si>
    <t>States begin loosening restrictions, VIC follows a couple of days later</t>
  </si>
  <si>
    <t>China flags bans/tariffs on barley imports and meat from 4 abattoirs from Australia and threatening measures againt resource imports from Australia, widely interpreted as Australia's push for an independent investigation into the origin and handling of the coronavirus outbreak</t>
  </si>
  <si>
    <t>122 countries back AU/EU push for independent inquiry into coronavirus outbreak, motion to be put forward at the World Health Assembly on Tue, 19/5</t>
  </si>
  <si>
    <t>China's President Xi Jinping backed the comprehensive review of the global response to the coronavirus at the WHA, but stopped short of endorsing an independent probe advocated by Australia and the EU</t>
  </si>
  <si>
    <t>China slaps an 80% tarrif on Australian barley imports over technical infringements.  Debate ensues on whether the move by China is in retaliation of Australia's push for an independent inquiry into the coronavirus outbreak.</t>
  </si>
  <si>
    <t>Chinese embassy to Australia released a statement "To claim the World Health Assembly's resolution is a vindication of Australia's call is nothing but a joke" after the resolution was voted for with no objections at the WHA, but a watered down motion from what Australia was originally pursuing.</t>
  </si>
  <si>
    <t>COVID-19 base CFR</t>
  </si>
  <si>
    <t>Based on difference from base CFR, does not account for lag between detection and deaths</t>
  </si>
  <si>
    <t>Pauline Hanson and Peter Dutton begin agitating for QLD to open its borders, as only NSW and VIC are the only states to keep their borders open and Clive Palmer begins legal action over WA border closure.</t>
  </si>
  <si>
    <t>Clive Palmer has joined the fight against the QLD govt in an attempt to have the QLD borders opened.</t>
  </si>
  <si>
    <t>Pauline Hanson threatens QLD govt with court action unless they provide a good reason for keeping the QLD border closed, kicking off a crowd funded campaign to raise funds for the court challenge. Treasurer Josh Frydenberg also weighed in, stating that there was no medical reason to maintain domestic border closures.</t>
  </si>
  <si>
    <t>Rules are relaxed further, with progressive relaxing measures to be implemented over the coming weeks</t>
  </si>
  <si>
    <t>China issues a travel advice on Friday evening to not travel to Australia: “There has been an alarming increase recently in acts of racial discrimination and violence against Chinese and Asians in Australia, due to the impact of the COVID-19 pandemic. The Ministry of Culture and Tourism reminds Chinese tourists to enhance their safety awareness and do not travel to Australia.”</t>
  </si>
  <si>
    <t>Anti-vaccination and anti-5G protests defying social distancing measures take place in Sydney, Melbourne and Brisbane</t>
  </si>
  <si>
    <t>Protest marches take place around Australia in support of the US protests over the killing of George Floyd and to protest the treatment of Indigenous people in Australia, although police have threatened them with fines for breaking social distancing laws</t>
  </si>
  <si>
    <t>Mutual obligations of job seekers come back into effect</t>
  </si>
  <si>
    <t>Childcare fees return</t>
  </si>
  <si>
    <t>Jobkeeper wage subsidies for childcare services to be stopped.</t>
  </si>
  <si>
    <t>China releases travel advisory to Chinese students against studying in Australia due to racism</t>
  </si>
  <si>
    <t>China sentences an Australian, Karm Gilespie in custody for drug smuggling to death, 6 years after arrest, seen as further evidence of China attempting to coerce/punish Australia for its recent actions to call for an inquiry into the origins and handling of the SARS-CoV-2 pandemic</t>
  </si>
  <si>
    <t>Govt suggests increasing cyber attacks on Australian govt and business sites are from a foreign actor (implying China), assumption being that it is related to the increasing tensions with China</t>
  </si>
  <si>
    <t>Victorian govt puts further relaxation of distancing rules on hold as the state sees a spike in new COVID-19 cases, state of emergency to stay in place for another four weeks, other states begin to reconsider their scheduled border reopenings.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</si>
</sst>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
    <numFmt numFmtId="167" formatCode="0.0000%"/>
    <numFmt numFmtId="168" formatCode="[$$-C09]#,##0.00;[Red]&quot;-&quot;[$$-C09]#,##0.00"/>
    <numFmt numFmtId="169" formatCode="0.00000%"/>
    <numFmt numFmtId="170" formatCode="0.0"/>
    <numFmt numFmtId="171" formatCode="#,##0_ ;[Red]\-#,##0\ "/>
  </numFmts>
  <fonts count="13" x14ac:knownFonts="1">
    <font>
      <sz val="11"/>
      <color theme="1"/>
      <name val="Calibri"/>
      <family val="2"/>
      <scheme val="minor"/>
    </font>
    <font>
      <sz val="8"/>
      <color theme="1"/>
      <name val="Arial"/>
      <family val="2"/>
    </font>
    <font>
      <i/>
      <sz val="8"/>
      <color theme="1"/>
      <name val="Arial"/>
      <family val="2"/>
    </font>
    <font>
      <b/>
      <sz val="8"/>
      <color theme="1"/>
      <name val="Arial"/>
      <family val="2"/>
    </font>
    <font>
      <b/>
      <sz val="11"/>
      <color theme="1"/>
      <name val="Calibri"/>
      <family val="2"/>
      <scheme val="minor"/>
    </font>
    <font>
      <u/>
      <sz val="11"/>
      <color theme="10"/>
      <name val="Calibri"/>
      <family val="2"/>
      <scheme val="minor"/>
    </font>
    <font>
      <sz val="11"/>
      <color theme="1"/>
      <name val="Arial"/>
      <family val="2"/>
    </font>
    <font>
      <b/>
      <i/>
      <sz val="16"/>
      <color theme="1"/>
      <name val="Arial"/>
      <family val="2"/>
    </font>
    <font>
      <b/>
      <i/>
      <u/>
      <sz val="11"/>
      <color theme="1"/>
      <name val="Arial"/>
      <family val="2"/>
    </font>
    <font>
      <sz val="11"/>
      <color theme="0" tint="-0.499984740745262"/>
      <name val="Calibri"/>
      <family val="2"/>
      <scheme val="minor"/>
    </font>
    <font>
      <i/>
      <sz val="11"/>
      <color theme="1"/>
      <name val="Calibri"/>
      <family val="2"/>
      <scheme val="minor"/>
    </font>
    <font>
      <sz val="11"/>
      <color rgb="FFFF0000"/>
      <name val="Calibri"/>
      <family val="2"/>
      <scheme val="minor"/>
    </font>
    <font>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diagonal/>
    </border>
    <border>
      <left style="dotted">
        <color auto="1"/>
      </left>
      <right style="dotted">
        <color auto="1"/>
      </right>
      <top/>
      <bottom/>
      <diagonal/>
    </border>
    <border>
      <left style="dotted">
        <color auto="1"/>
      </left>
      <right style="dotted">
        <color auto="1"/>
      </right>
      <top/>
      <bottom style="dotted">
        <color auto="1"/>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s>
  <cellStyleXfs count="7">
    <xf numFmtId="0" fontId="0" fillId="0" borderId="0"/>
    <xf numFmtId="0" fontId="5" fillId="0" borderId="0" applyNumberFormat="0" applyFill="0" applyBorder="0" applyAlignment="0" applyProtection="0"/>
    <xf numFmtId="0" fontId="6" fillId="0" borderId="0"/>
    <xf numFmtId="0" fontId="7" fillId="0" borderId="0">
      <alignment horizontal="center"/>
    </xf>
    <xf numFmtId="0" fontId="7" fillId="0" borderId="0">
      <alignment horizontal="center" textRotation="90"/>
    </xf>
    <xf numFmtId="0" fontId="8" fillId="0" borderId="0"/>
    <xf numFmtId="168" fontId="8" fillId="0" borderId="0"/>
  </cellStyleXfs>
  <cellXfs count="313">
    <xf numFmtId="0" fontId="0" fillId="0" borderId="0" xfId="0"/>
    <xf numFmtId="10" fontId="0" fillId="0" borderId="0" xfId="0" applyNumberFormat="1"/>
    <xf numFmtId="3" fontId="0" fillId="0" borderId="0" xfId="0" applyNumberFormat="1"/>
    <xf numFmtId="164" fontId="0" fillId="0" borderId="0" xfId="0" applyNumberFormat="1"/>
    <xf numFmtId="0" fontId="3" fillId="0" borderId="0" xfId="0" applyFont="1" applyAlignment="1">
      <alignment horizontal="left"/>
    </xf>
    <xf numFmtId="3" fontId="3" fillId="0" borderId="0" xfId="0" applyNumberFormat="1" applyFont="1" applyAlignment="1">
      <alignment horizontal="right"/>
    </xf>
    <xf numFmtId="0" fontId="1" fillId="0" borderId="1" xfId="0" applyFont="1" applyBorder="1" applyAlignment="1">
      <alignment horizontal="left"/>
    </xf>
    <xf numFmtId="3" fontId="1" fillId="0" borderId="2" xfId="0" applyNumberFormat="1" applyFont="1" applyBorder="1" applyAlignment="1">
      <alignment horizontal="right"/>
    </xf>
    <xf numFmtId="0" fontId="1" fillId="0" borderId="3" xfId="0" applyFont="1" applyBorder="1" applyAlignment="1">
      <alignment horizontal="left"/>
    </xf>
    <xf numFmtId="3" fontId="1" fillId="0" borderId="4" xfId="0" applyNumberFormat="1" applyFont="1" applyBorder="1" applyAlignment="1">
      <alignment horizontal="right"/>
    </xf>
    <xf numFmtId="0" fontId="2" fillId="0" borderId="3" xfId="0" applyFont="1" applyBorder="1" applyAlignment="1">
      <alignment horizontal="left"/>
    </xf>
    <xf numFmtId="3" fontId="2" fillId="0" borderId="4" xfId="0" applyNumberFormat="1" applyFont="1" applyBorder="1" applyAlignment="1">
      <alignment horizontal="right"/>
    </xf>
    <xf numFmtId="0" fontId="2" fillId="0" borderId="5" xfId="0" applyFont="1" applyBorder="1" applyAlignment="1">
      <alignment horizontal="left"/>
    </xf>
    <xf numFmtId="3" fontId="2" fillId="0" borderId="6" xfId="0" applyNumberFormat="1" applyFont="1" applyBorder="1" applyAlignment="1">
      <alignment horizontal="right"/>
    </xf>
    <xf numFmtId="0" fontId="1" fillId="0" borderId="5" xfId="0" applyFont="1" applyBorder="1" applyAlignment="1">
      <alignment horizontal="left"/>
    </xf>
    <xf numFmtId="3" fontId="1" fillId="0" borderId="6" xfId="0" applyNumberFormat="1" applyFont="1" applyBorder="1" applyAlignment="1">
      <alignment horizontal="right"/>
    </xf>
    <xf numFmtId="0" fontId="0" fillId="0" borderId="1" xfId="0" applyBorder="1"/>
    <xf numFmtId="0" fontId="0" fillId="0" borderId="2" xfId="0" applyBorder="1"/>
    <xf numFmtId="10" fontId="0" fillId="0" borderId="3" xfId="0" applyNumberFormat="1" applyBorder="1"/>
    <xf numFmtId="10" fontId="0" fillId="0" borderId="5" xfId="0" applyNumberFormat="1" applyBorder="1"/>
    <xf numFmtId="164" fontId="0" fillId="0" borderId="3" xfId="0" applyNumberFormat="1" applyBorder="1"/>
    <xf numFmtId="0" fontId="0" fillId="0" borderId="7" xfId="0" applyBorder="1"/>
    <xf numFmtId="3" fontId="0" fillId="0" borderId="0" xfId="0" applyNumberFormat="1" applyBorder="1"/>
    <xf numFmtId="3" fontId="0" fillId="0" borderId="8" xfId="0" applyNumberFormat="1" applyBorder="1"/>
    <xf numFmtId="3" fontId="0" fillId="0" borderId="7" xfId="0" applyNumberFormat="1" applyBorder="1"/>
    <xf numFmtId="10" fontId="0" fillId="0" borderId="1" xfId="0" applyNumberFormat="1" applyBorder="1"/>
    <xf numFmtId="10" fontId="0" fillId="0" borderId="0" xfId="0" applyNumberFormat="1" applyBorder="1"/>
    <xf numFmtId="164" fontId="0" fillId="0" borderId="0" xfId="0" applyNumberFormat="1" applyBorder="1"/>
    <xf numFmtId="0" fontId="0" fillId="0" borderId="0" xfId="0" applyBorder="1"/>
    <xf numFmtId="0" fontId="0" fillId="0" borderId="4" xfId="0" applyBorder="1"/>
    <xf numFmtId="3" fontId="0" fillId="3" borderId="1" xfId="0" applyNumberFormat="1" applyFill="1" applyBorder="1"/>
    <xf numFmtId="3" fontId="0" fillId="3" borderId="7" xfId="0" applyNumberFormat="1" applyFill="1" applyBorder="1"/>
    <xf numFmtId="3" fontId="0" fillId="3" borderId="3" xfId="0" applyNumberFormat="1" applyFill="1" applyBorder="1"/>
    <xf numFmtId="3" fontId="0" fillId="3" borderId="0" xfId="0" applyNumberFormat="1" applyFill="1" applyBorder="1"/>
    <xf numFmtId="164" fontId="0" fillId="3" borderId="1" xfId="0" applyNumberFormat="1" applyFill="1" applyBorder="1"/>
    <xf numFmtId="164" fontId="0" fillId="3" borderId="3" xfId="0" applyNumberFormat="1" applyFill="1" applyBorder="1"/>
    <xf numFmtId="164" fontId="0" fillId="3" borderId="0" xfId="0" applyNumberFormat="1" applyFill="1" applyBorder="1"/>
    <xf numFmtId="164" fontId="0" fillId="0" borderId="0" xfId="0" applyNumberFormat="1" applyFill="1" applyBorder="1"/>
    <xf numFmtId="164" fontId="0" fillId="0" borderId="5" xfId="0" applyNumberFormat="1" applyFill="1" applyBorder="1"/>
    <xf numFmtId="164" fontId="0" fillId="2" borderId="4" xfId="0" applyNumberFormat="1" applyFill="1" applyBorder="1"/>
    <xf numFmtId="164" fontId="0" fillId="2" borderId="6" xfId="0" applyNumberFormat="1" applyFill="1" applyBorder="1"/>
    <xf numFmtId="3" fontId="0" fillId="2" borderId="3" xfId="0" applyNumberFormat="1" applyFill="1" applyBorder="1"/>
    <xf numFmtId="3" fontId="0" fillId="2" borderId="0" xfId="0" applyNumberFormat="1" applyFill="1" applyBorder="1"/>
    <xf numFmtId="3" fontId="0" fillId="2" borderId="5" xfId="0" applyNumberFormat="1" applyFill="1" applyBorder="1"/>
    <xf numFmtId="3" fontId="0" fillId="2" borderId="8" xfId="0" applyNumberFormat="1" applyFill="1" applyBorder="1"/>
    <xf numFmtId="3" fontId="0" fillId="4" borderId="2" xfId="0" applyNumberFormat="1" applyFill="1" applyBorder="1"/>
    <xf numFmtId="3" fontId="0" fillId="4" borderId="6" xfId="0" applyNumberFormat="1" applyFill="1" applyBorder="1"/>
    <xf numFmtId="3" fontId="0" fillId="0" borderId="0" xfId="0" applyNumberFormat="1" applyFill="1"/>
    <xf numFmtId="165" fontId="0" fillId="0" borderId="0" xfId="0" applyNumberFormat="1" applyBorder="1"/>
    <xf numFmtId="0" fontId="0" fillId="0" borderId="5" xfId="0" applyBorder="1"/>
    <xf numFmtId="164" fontId="0" fillId="0" borderId="8" xfId="0" applyNumberFormat="1" applyBorder="1"/>
    <xf numFmtId="0" fontId="0" fillId="0" borderId="8" xfId="0" applyBorder="1"/>
    <xf numFmtId="3" fontId="0" fillId="5" borderId="8" xfId="0" applyNumberFormat="1" applyFill="1" applyBorder="1"/>
    <xf numFmtId="0" fontId="0" fillId="0" borderId="3" xfId="0" applyBorder="1"/>
    <xf numFmtId="0" fontId="0" fillId="0" borderId="3" xfId="0" quotePrefix="1" applyBorder="1"/>
    <xf numFmtId="0" fontId="0" fillId="0" borderId="5" xfId="0" quotePrefix="1" applyBorder="1"/>
    <xf numFmtId="10" fontId="0" fillId="0" borderId="8" xfId="0" applyNumberFormat="1" applyBorder="1"/>
    <xf numFmtId="3" fontId="0" fillId="0" borderId="0" xfId="0" applyNumberFormat="1" applyFill="1" applyBorder="1"/>
    <xf numFmtId="164" fontId="0" fillId="2" borderId="0" xfId="0" applyNumberFormat="1" applyFill="1" applyBorder="1"/>
    <xf numFmtId="0" fontId="0" fillId="0" borderId="0" xfId="0" applyFill="1" applyBorder="1"/>
    <xf numFmtId="0" fontId="0" fillId="0" borderId="3" xfId="0" applyFill="1" applyBorder="1"/>
    <xf numFmtId="0" fontId="0" fillId="0" borderId="5" xfId="0" applyFill="1" applyBorder="1"/>
    <xf numFmtId="166" fontId="0" fillId="0" borderId="0" xfId="0" applyNumberFormat="1" applyBorder="1"/>
    <xf numFmtId="0" fontId="0" fillId="0" borderId="13" xfId="0" applyBorder="1"/>
    <xf numFmtId="3" fontId="0" fillId="6" borderId="14" xfId="0" applyNumberFormat="1" applyFill="1" applyBorder="1"/>
    <xf numFmtId="0" fontId="4" fillId="8" borderId="12" xfId="0" applyFont="1" applyFill="1" applyBorder="1"/>
    <xf numFmtId="0" fontId="4" fillId="8" borderId="9" xfId="0" quotePrefix="1" applyFont="1" applyFill="1" applyBorder="1"/>
    <xf numFmtId="164" fontId="0" fillId="0" borderId="8" xfId="0" applyNumberFormat="1" applyFill="1" applyBorder="1"/>
    <xf numFmtId="164" fontId="0" fillId="2" borderId="8" xfId="0" applyNumberFormat="1" applyFill="1" applyBorder="1"/>
    <xf numFmtId="0" fontId="5" fillId="0" borderId="1" xfId="1" applyBorder="1"/>
    <xf numFmtId="0" fontId="5" fillId="0" borderId="2" xfId="1" applyBorder="1"/>
    <xf numFmtId="0" fontId="5" fillId="0" borderId="7" xfId="1" applyBorder="1"/>
    <xf numFmtId="3" fontId="0" fillId="3" borderId="2" xfId="0" applyNumberFormat="1" applyFill="1" applyBorder="1"/>
    <xf numFmtId="3" fontId="0" fillId="0" borderId="6" xfId="0" applyNumberFormat="1" applyBorder="1"/>
    <xf numFmtId="0" fontId="0" fillId="0" borderId="1" xfId="0" applyFill="1" applyBorder="1"/>
    <xf numFmtId="0" fontId="0" fillId="0" borderId="6" xfId="0" applyBorder="1"/>
    <xf numFmtId="3" fontId="0" fillId="0" borderId="2" xfId="0" applyNumberFormat="1" applyBorder="1"/>
    <xf numFmtId="164" fontId="0" fillId="9" borderId="6" xfId="0" applyNumberFormat="1" applyFill="1" applyBorder="1"/>
    <xf numFmtId="167" fontId="0" fillId="0" borderId="0" xfId="0" applyNumberFormat="1" applyBorder="1"/>
    <xf numFmtId="0" fontId="0" fillId="6" borderId="13" xfId="0" applyFill="1" applyBorder="1"/>
    <xf numFmtId="0" fontId="0" fillId="6" borderId="14" xfId="0" applyFill="1" applyBorder="1"/>
    <xf numFmtId="0" fontId="0" fillId="0" borderId="0" xfId="0" applyFill="1"/>
    <xf numFmtId="16" fontId="0" fillId="0" borderId="0" xfId="0" applyNumberFormat="1" applyFill="1" applyBorder="1"/>
    <xf numFmtId="3" fontId="0" fillId="2" borderId="4" xfId="0" applyNumberFormat="1" applyFill="1" applyBorder="1"/>
    <xf numFmtId="3" fontId="0" fillId="3" borderId="4" xfId="0" applyNumberFormat="1" applyFill="1" applyBorder="1"/>
    <xf numFmtId="3" fontId="0" fillId="2" borderId="6" xfId="0" applyNumberFormat="1" applyFill="1" applyBorder="1"/>
    <xf numFmtId="0" fontId="4" fillId="8" borderId="9" xfId="0" applyFont="1" applyFill="1" applyBorder="1"/>
    <xf numFmtId="9" fontId="0" fillId="0" borderId="0" xfId="0" applyNumberFormat="1" applyBorder="1"/>
    <xf numFmtId="3" fontId="1" fillId="0" borderId="0" xfId="2" applyNumberFormat="1" applyFont="1" applyAlignment="1">
      <alignment horizontal="right"/>
    </xf>
    <xf numFmtId="3" fontId="2" fillId="0" borderId="0" xfId="2" applyNumberFormat="1" applyFont="1" applyAlignment="1">
      <alignment horizontal="right"/>
    </xf>
    <xf numFmtId="3" fontId="3" fillId="0" borderId="0" xfId="2" applyNumberFormat="1" applyFont="1" applyAlignment="1">
      <alignment horizontal="right"/>
    </xf>
    <xf numFmtId="3" fontId="0" fillId="5" borderId="4" xfId="0" applyNumberFormat="1" applyFill="1" applyBorder="1"/>
    <xf numFmtId="3" fontId="0" fillId="4" borderId="3" xfId="0" applyNumberFormat="1" applyFill="1" applyBorder="1"/>
    <xf numFmtId="3" fontId="0" fillId="4" borderId="0" xfId="0" applyNumberFormat="1" applyFill="1" applyBorder="1"/>
    <xf numFmtId="3" fontId="0" fillId="4" borderId="4" xfId="0" applyNumberFormat="1" applyFill="1" applyBorder="1"/>
    <xf numFmtId="3" fontId="0" fillId="0" borderId="4" xfId="0" applyNumberFormat="1" applyBorder="1"/>
    <xf numFmtId="0" fontId="0" fillId="4" borderId="7" xfId="0" applyFill="1" applyBorder="1"/>
    <xf numFmtId="164" fontId="0" fillId="0" borderId="7" xfId="0" applyNumberFormat="1" applyBorder="1"/>
    <xf numFmtId="3" fontId="0" fillId="4" borderId="5" xfId="0" applyNumberFormat="1" applyFill="1" applyBorder="1"/>
    <xf numFmtId="3" fontId="0" fillId="4" borderId="8" xfId="0" applyNumberFormat="1" applyFill="1" applyBorder="1"/>
    <xf numFmtId="3" fontId="0" fillId="4" borderId="1" xfId="0" applyNumberFormat="1" applyFill="1" applyBorder="1"/>
    <xf numFmtId="165" fontId="0" fillId="0" borderId="3" xfId="0" applyNumberFormat="1" applyBorder="1"/>
    <xf numFmtId="14" fontId="0" fillId="0" borderId="13" xfId="0" applyNumberFormat="1" applyBorder="1"/>
    <xf numFmtId="14" fontId="0" fillId="0" borderId="14" xfId="0" applyNumberFormat="1" applyBorder="1"/>
    <xf numFmtId="14" fontId="0" fillId="0" borderId="15" xfId="0" applyNumberFormat="1" applyBorder="1"/>
    <xf numFmtId="0" fontId="0" fillId="6" borderId="0" xfId="0" applyFill="1"/>
    <xf numFmtId="3" fontId="0" fillId="11" borderId="13" xfId="0" applyNumberFormat="1" applyFill="1" applyBorder="1"/>
    <xf numFmtId="3" fontId="0" fillId="11" borderId="14" xfId="0" applyNumberFormat="1" applyFill="1" applyBorder="1"/>
    <xf numFmtId="3" fontId="0" fillId="11" borderId="15" xfId="0" applyNumberFormat="1" applyFill="1" applyBorder="1"/>
    <xf numFmtId="0" fontId="0" fillId="0" borderId="14" xfId="0" applyBorder="1"/>
    <xf numFmtId="0" fontId="0" fillId="0" borderId="15" xfId="0" applyBorder="1"/>
    <xf numFmtId="3" fontId="0" fillId="11" borderId="2" xfId="0" applyNumberFormat="1" applyFill="1" applyBorder="1"/>
    <xf numFmtId="0" fontId="0" fillId="6" borderId="3" xfId="0" applyFill="1" applyBorder="1"/>
    <xf numFmtId="0" fontId="0" fillId="6" borderId="0" xfId="0" applyFill="1" applyBorder="1"/>
    <xf numFmtId="0" fontId="0" fillId="6" borderId="4" xfId="0" applyFill="1" applyBorder="1"/>
    <xf numFmtId="3" fontId="0" fillId="11" borderId="9" xfId="0" applyNumberFormat="1" applyFill="1" applyBorder="1"/>
    <xf numFmtId="3" fontId="0" fillId="11" borderId="1" xfId="0" applyNumberFormat="1" applyFill="1" applyBorder="1"/>
    <xf numFmtId="3" fontId="0" fillId="11" borderId="7" xfId="0" applyNumberFormat="1" applyFill="1" applyBorder="1"/>
    <xf numFmtId="3" fontId="0" fillId="4" borderId="7" xfId="0" applyNumberFormat="1" applyFill="1" applyBorder="1"/>
    <xf numFmtId="3" fontId="0" fillId="4" borderId="13" xfId="0" applyNumberFormat="1" applyFill="1" applyBorder="1"/>
    <xf numFmtId="3" fontId="0" fillId="4" borderId="14" xfId="0" applyNumberFormat="1" applyFill="1" applyBorder="1"/>
    <xf numFmtId="3" fontId="0" fillId="4" borderId="15" xfId="0" applyNumberFormat="1" applyFill="1" applyBorder="1"/>
    <xf numFmtId="3" fontId="0" fillId="9" borderId="0" xfId="0" applyNumberFormat="1" applyFill="1" applyBorder="1"/>
    <xf numFmtId="3" fontId="0" fillId="9" borderId="6" xfId="0" applyNumberFormat="1" applyFill="1" applyBorder="1"/>
    <xf numFmtId="14" fontId="0" fillId="11" borderId="12" xfId="0" applyNumberFormat="1" applyFill="1" applyBorder="1"/>
    <xf numFmtId="166" fontId="0" fillId="9" borderId="0" xfId="0" applyNumberFormat="1" applyFill="1" applyBorder="1"/>
    <xf numFmtId="9" fontId="0" fillId="9" borderId="2" xfId="0" applyNumberFormat="1" applyFill="1" applyBorder="1"/>
    <xf numFmtId="9" fontId="0" fillId="9" borderId="4" xfId="0" applyNumberFormat="1" applyFill="1" applyBorder="1"/>
    <xf numFmtId="9" fontId="0" fillId="9" borderId="6" xfId="0" applyNumberFormat="1" applyFill="1" applyBorder="1"/>
    <xf numFmtId="164" fontId="0" fillId="2" borderId="2" xfId="0" applyNumberFormat="1" applyFill="1" applyBorder="1"/>
    <xf numFmtId="1" fontId="0" fillId="0" borderId="8" xfId="0" applyNumberFormat="1" applyBorder="1"/>
    <xf numFmtId="1" fontId="0" fillId="0" borderId="13" xfId="0" applyNumberFormat="1" applyBorder="1"/>
    <xf numFmtId="1" fontId="0" fillId="0" borderId="14" xfId="0" applyNumberFormat="1" applyBorder="1"/>
    <xf numFmtId="1" fontId="0" fillId="0" borderId="15" xfId="0" applyNumberFormat="1" applyBorder="1"/>
    <xf numFmtId="2" fontId="0" fillId="0" borderId="0" xfId="0" applyNumberFormat="1"/>
    <xf numFmtId="3" fontId="0" fillId="8" borderId="8" xfId="0" applyNumberFormat="1" applyFill="1" applyBorder="1"/>
    <xf numFmtId="3" fontId="0" fillId="8" borderId="6" xfId="0" applyNumberFormat="1" applyFill="1" applyBorder="1"/>
    <xf numFmtId="3" fontId="0" fillId="13" borderId="0" xfId="0" applyNumberFormat="1" applyFill="1" applyBorder="1"/>
    <xf numFmtId="3" fontId="0" fillId="13" borderId="4" xfId="0" applyNumberFormat="1" applyFill="1" applyBorder="1"/>
    <xf numFmtId="3" fontId="0" fillId="14" borderId="0" xfId="0" applyNumberFormat="1" applyFill="1" applyBorder="1"/>
    <xf numFmtId="3" fontId="0" fillId="14" borderId="4" xfId="0" applyNumberFormat="1" applyFill="1" applyBorder="1"/>
    <xf numFmtId="3" fontId="0" fillId="5" borderId="6" xfId="0" applyNumberFormat="1" applyFill="1" applyBorder="1"/>
    <xf numFmtId="3" fontId="0" fillId="5" borderId="13" xfId="0" applyNumberFormat="1" applyFill="1" applyBorder="1"/>
    <xf numFmtId="3" fontId="0" fillId="5" borderId="14" xfId="0" applyNumberFormat="1" applyFill="1" applyBorder="1"/>
    <xf numFmtId="3" fontId="0" fillId="5" borderId="15" xfId="0" applyNumberFormat="1" applyFill="1" applyBorder="1"/>
    <xf numFmtId="3" fontId="0" fillId="5" borderId="12" xfId="0" applyNumberFormat="1" applyFill="1" applyBorder="1"/>
    <xf numFmtId="1" fontId="0" fillId="12" borderId="11" xfId="0" applyNumberFormat="1" applyFill="1" applyBorder="1"/>
    <xf numFmtId="0" fontId="0" fillId="0" borderId="9" xfId="0" applyFill="1" applyBorder="1"/>
    <xf numFmtId="0" fontId="0" fillId="0" borderId="10" xfId="0" applyFill="1" applyBorder="1"/>
    <xf numFmtId="0" fontId="0" fillId="0" borderId="11" xfId="0" applyFill="1" applyBorder="1"/>
    <xf numFmtId="1" fontId="0" fillId="0" borderId="0" xfId="0" applyNumberFormat="1" applyBorder="1"/>
    <xf numFmtId="9" fontId="0" fillId="0" borderId="8" xfId="0" applyNumberFormat="1" applyBorder="1"/>
    <xf numFmtId="0" fontId="0" fillId="2" borderId="7" xfId="0" applyFill="1" applyBorder="1"/>
    <xf numFmtId="1" fontId="0" fillId="2" borderId="0" xfId="0" applyNumberFormat="1" applyFill="1" applyBorder="1"/>
    <xf numFmtId="9" fontId="0" fillId="2" borderId="0" xfId="0" applyNumberFormat="1" applyFill="1" applyBorder="1"/>
    <xf numFmtId="3" fontId="0" fillId="10" borderId="13" xfId="0" applyNumberFormat="1" applyFill="1" applyBorder="1" applyAlignment="1">
      <alignment horizontal="center"/>
    </xf>
    <xf numFmtId="3" fontId="0" fillId="10" borderId="15" xfId="0" applyNumberFormat="1" applyFill="1" applyBorder="1" applyAlignment="1">
      <alignment horizontal="center"/>
    </xf>
    <xf numFmtId="0" fontId="0" fillId="0" borderId="0" xfId="0" applyFont="1" applyFill="1" applyBorder="1"/>
    <xf numFmtId="3" fontId="0" fillId="10" borderId="12" xfId="0" applyNumberFormat="1" applyFill="1" applyBorder="1" applyAlignment="1">
      <alignment horizontal="center"/>
    </xf>
    <xf numFmtId="3" fontId="0" fillId="10" borderId="14" xfId="0" applyNumberFormat="1" applyFill="1" applyBorder="1" applyAlignment="1">
      <alignment horizontal="center"/>
    </xf>
    <xf numFmtId="0" fontId="0" fillId="7" borderId="13" xfId="0" applyFill="1" applyBorder="1"/>
    <xf numFmtId="0" fontId="0" fillId="7" borderId="14" xfId="0" applyFill="1" applyBorder="1"/>
    <xf numFmtId="3" fontId="0" fillId="7" borderId="14" xfId="0" applyNumberFormat="1" applyFill="1" applyBorder="1"/>
    <xf numFmtId="3" fontId="0" fillId="9" borderId="14" xfId="0" applyNumberFormat="1" applyFill="1" applyBorder="1"/>
    <xf numFmtId="14" fontId="0" fillId="0" borderId="0" xfId="0" applyNumberFormat="1" applyFill="1" applyBorder="1"/>
    <xf numFmtId="3" fontId="0" fillId="0" borderId="6" xfId="0" applyNumberFormat="1" applyFill="1" applyBorder="1"/>
    <xf numFmtId="16" fontId="0" fillId="0" borderId="0" xfId="0" applyNumberFormat="1" applyFill="1"/>
    <xf numFmtId="0" fontId="0" fillId="0" borderId="13" xfId="0" applyFill="1" applyBorder="1"/>
    <xf numFmtId="14" fontId="0" fillId="9" borderId="15" xfId="0" applyNumberFormat="1" applyFill="1" applyBorder="1"/>
    <xf numFmtId="3" fontId="5" fillId="9" borderId="2" xfId="1" applyNumberFormat="1" applyFill="1" applyBorder="1"/>
    <xf numFmtId="9" fontId="5" fillId="9" borderId="2" xfId="1" applyNumberFormat="1" applyFill="1" applyBorder="1"/>
    <xf numFmtId="0" fontId="0" fillId="10" borderId="7" xfId="0" applyFill="1" applyBorder="1"/>
    <xf numFmtId="0" fontId="0" fillId="15" borderId="7" xfId="0" applyFill="1" applyBorder="1"/>
    <xf numFmtId="14" fontId="0" fillId="3" borderId="0" xfId="0" applyNumberFormat="1" applyFill="1"/>
    <xf numFmtId="0" fontId="0" fillId="3" borderId="0" xfId="0" applyFill="1"/>
    <xf numFmtId="14" fontId="0" fillId="3" borderId="0" xfId="0" applyNumberFormat="1" applyFill="1" applyBorder="1"/>
    <xf numFmtId="22" fontId="0" fillId="0" borderId="0" xfId="0" applyNumberFormat="1"/>
    <xf numFmtId="14" fontId="0" fillId="13" borderId="12" xfId="0" applyNumberFormat="1" applyFill="1" applyBorder="1"/>
    <xf numFmtId="1" fontId="0" fillId="13" borderId="12" xfId="0" applyNumberFormat="1" applyFill="1" applyBorder="1"/>
    <xf numFmtId="3" fontId="0" fillId="13" borderId="12" xfId="0" applyNumberFormat="1" applyFill="1" applyBorder="1"/>
    <xf numFmtId="170" fontId="0" fillId="13" borderId="12" xfId="0" applyNumberFormat="1" applyFill="1" applyBorder="1"/>
    <xf numFmtId="14" fontId="0" fillId="0" borderId="0" xfId="0" applyNumberFormat="1" applyFill="1"/>
    <xf numFmtId="1" fontId="0" fillId="0" borderId="0" xfId="0" applyNumberFormat="1" applyFill="1"/>
    <xf numFmtId="170" fontId="0" fillId="0" borderId="0" xfId="0" applyNumberFormat="1" applyFill="1"/>
    <xf numFmtId="3" fontId="0" fillId="13" borderId="9" xfId="0" applyNumberFormat="1" applyFill="1" applyBorder="1"/>
    <xf numFmtId="3" fontId="0" fillId="0" borderId="2" xfId="0" applyNumberFormat="1" applyFill="1" applyBorder="1"/>
    <xf numFmtId="3" fontId="0" fillId="0" borderId="4" xfId="0" applyNumberFormat="1" applyFill="1" applyBorder="1"/>
    <xf numFmtId="1" fontId="0" fillId="0" borderId="2" xfId="0" applyNumberFormat="1" applyBorder="1"/>
    <xf numFmtId="14" fontId="0" fillId="0" borderId="6" xfId="0" applyNumberFormat="1" applyBorder="1"/>
    <xf numFmtId="1" fontId="0" fillId="0" borderId="4" xfId="0" applyNumberFormat="1" applyBorder="1"/>
    <xf numFmtId="170" fontId="0" fillId="7" borderId="14" xfId="0" applyNumberFormat="1" applyFill="1" applyBorder="1"/>
    <xf numFmtId="16" fontId="0" fillId="0" borderId="0" xfId="0" applyNumberFormat="1"/>
    <xf numFmtId="170" fontId="0" fillId="0" borderId="0" xfId="0" applyNumberFormat="1"/>
    <xf numFmtId="9" fontId="9" fillId="4" borderId="0" xfId="0" applyNumberFormat="1" applyFont="1" applyFill="1" applyBorder="1"/>
    <xf numFmtId="0" fontId="0" fillId="0" borderId="9" xfId="0" applyBorder="1"/>
    <xf numFmtId="0" fontId="0" fillId="0" borderId="10" xfId="0" applyBorder="1"/>
    <xf numFmtId="0" fontId="0" fillId="0" borderId="11" xfId="0" applyBorder="1"/>
    <xf numFmtId="0" fontId="10" fillId="0" borderId="0" xfId="0" applyFont="1" applyBorder="1"/>
    <xf numFmtId="3" fontId="0" fillId="3" borderId="14" xfId="0" applyNumberFormat="1" applyFill="1" applyBorder="1"/>
    <xf numFmtId="170" fontId="0" fillId="3" borderId="14" xfId="0" applyNumberFormat="1" applyFill="1" applyBorder="1"/>
    <xf numFmtId="3" fontId="0" fillId="8" borderId="14" xfId="0" applyNumberFormat="1" applyFill="1" applyBorder="1"/>
    <xf numFmtId="3" fontId="0" fillId="2" borderId="14" xfId="0" applyNumberFormat="1" applyFill="1" applyBorder="1"/>
    <xf numFmtId="3" fontId="9" fillId="4" borderId="14" xfId="0" applyNumberFormat="1" applyFont="1" applyFill="1" applyBorder="1"/>
    <xf numFmtId="3" fontId="9" fillId="4" borderId="15" xfId="0" applyNumberFormat="1" applyFont="1" applyFill="1" applyBorder="1"/>
    <xf numFmtId="170" fontId="9" fillId="4" borderId="14" xfId="0" applyNumberFormat="1" applyFont="1" applyFill="1" applyBorder="1"/>
    <xf numFmtId="170" fontId="9" fillId="4" borderId="15" xfId="0" applyNumberFormat="1" applyFont="1" applyFill="1" applyBorder="1"/>
    <xf numFmtId="14" fontId="0" fillId="0" borderId="12" xfId="0" applyNumberFormat="1" applyBorder="1"/>
    <xf numFmtId="0" fontId="0" fillId="3" borderId="0" xfId="0" applyFill="1" applyBorder="1"/>
    <xf numFmtId="170" fontId="0" fillId="4" borderId="13" xfId="0" applyNumberFormat="1" applyFill="1" applyBorder="1"/>
    <xf numFmtId="165" fontId="0" fillId="0" borderId="4" xfId="0" applyNumberFormat="1" applyBorder="1"/>
    <xf numFmtId="169" fontId="0" fillId="0" borderId="3" xfId="0" applyNumberFormat="1" applyBorder="1"/>
    <xf numFmtId="169" fontId="0" fillId="0" borderId="0" xfId="0" applyNumberFormat="1" applyBorder="1"/>
    <xf numFmtId="171" fontId="0" fillId="0" borderId="3" xfId="0" applyNumberFormat="1" applyBorder="1"/>
    <xf numFmtId="171" fontId="0" fillId="0" borderId="0" xfId="0" applyNumberFormat="1" applyBorder="1"/>
    <xf numFmtId="171" fontId="0" fillId="0" borderId="4" xfId="0" applyNumberFormat="1" applyBorder="1"/>
    <xf numFmtId="171" fontId="9" fillId="4" borderId="0" xfId="0" applyNumberFormat="1" applyFont="1" applyFill="1" applyBorder="1"/>
    <xf numFmtId="171" fontId="0" fillId="4" borderId="5" xfId="0" applyNumberFormat="1" applyFill="1" applyBorder="1"/>
    <xf numFmtId="171" fontId="0" fillId="4" borderId="8" xfId="0" applyNumberFormat="1" applyFill="1" applyBorder="1"/>
    <xf numFmtId="171" fontId="0" fillId="0" borderId="6" xfId="0" applyNumberFormat="1" applyBorder="1"/>
    <xf numFmtId="171" fontId="0" fillId="0" borderId="8" xfId="0" applyNumberFormat="1" applyBorder="1"/>
    <xf numFmtId="171" fontId="0" fillId="0" borderId="5" xfId="0" applyNumberFormat="1" applyBorder="1"/>
    <xf numFmtId="171" fontId="9" fillId="4" borderId="8" xfId="0" applyNumberFormat="1" applyFont="1" applyFill="1" applyBorder="1"/>
    <xf numFmtId="171" fontId="9" fillId="4" borderId="7" xfId="0" applyNumberFormat="1" applyFont="1" applyFill="1" applyBorder="1"/>
    <xf numFmtId="171" fontId="0" fillId="0" borderId="8" xfId="0" applyNumberFormat="1" applyFill="1" applyBorder="1"/>
    <xf numFmtId="171" fontId="0" fillId="0" borderId="5" xfId="0" applyNumberFormat="1" applyFill="1" applyBorder="1"/>
    <xf numFmtId="171" fontId="0" fillId="2" borderId="3" xfId="0" applyNumberFormat="1" applyFill="1" applyBorder="1"/>
    <xf numFmtId="171" fontId="0" fillId="2" borderId="0" xfId="0" applyNumberFormat="1" applyFill="1" applyBorder="1"/>
    <xf numFmtId="171" fontId="0" fillId="2" borderId="4" xfId="0" applyNumberFormat="1" applyFill="1" applyBorder="1"/>
    <xf numFmtId="171" fontId="0" fillId="2" borderId="6" xfId="0" applyNumberFormat="1" applyFill="1" applyBorder="1"/>
    <xf numFmtId="171" fontId="0" fillId="2" borderId="8" xfId="0" applyNumberFormat="1" applyFill="1" applyBorder="1"/>
    <xf numFmtId="171" fontId="0" fillId="2" borderId="5" xfId="0" applyNumberFormat="1" applyFill="1" applyBorder="1"/>
    <xf numFmtId="171" fontId="0" fillId="0" borderId="1" xfId="0" applyNumberFormat="1" applyBorder="1"/>
    <xf numFmtId="171" fontId="0" fillId="0" borderId="7" xfId="0" applyNumberFormat="1" applyBorder="1"/>
    <xf numFmtId="0" fontId="10" fillId="0" borderId="0" xfId="0" applyFont="1"/>
    <xf numFmtId="3" fontId="9" fillId="4" borderId="8" xfId="0" applyNumberFormat="1" applyFont="1" applyFill="1" applyBorder="1"/>
    <xf numFmtId="3" fontId="9" fillId="4" borderId="6" xfId="0" applyNumberFormat="1" applyFont="1" applyFill="1" applyBorder="1"/>
    <xf numFmtId="171" fontId="0" fillId="0" borderId="1" xfId="0" applyNumberFormat="1" applyFill="1" applyBorder="1"/>
    <xf numFmtId="171" fontId="0" fillId="0" borderId="7" xfId="0" applyNumberFormat="1" applyFill="1" applyBorder="1"/>
    <xf numFmtId="171" fontId="0" fillId="0" borderId="6" xfId="0" applyNumberFormat="1" applyFill="1" applyBorder="1"/>
    <xf numFmtId="3" fontId="9" fillId="4" borderId="5" xfId="0" applyNumberFormat="1" applyFont="1" applyFill="1" applyBorder="1"/>
    <xf numFmtId="171" fontId="0" fillId="0" borderId="2" xfId="0" applyNumberFormat="1" applyBorder="1"/>
    <xf numFmtId="171" fontId="9" fillId="0" borderId="16" xfId="0" applyNumberFormat="1" applyFont="1" applyFill="1" applyBorder="1"/>
    <xf numFmtId="9" fontId="9" fillId="0" borderId="17" xfId="0" applyNumberFormat="1" applyFont="1" applyFill="1" applyBorder="1"/>
    <xf numFmtId="171" fontId="9" fillId="0" borderId="17" xfId="0" applyNumberFormat="1" applyFont="1" applyFill="1" applyBorder="1"/>
    <xf numFmtId="3" fontId="9" fillId="0" borderId="17" xfId="0" applyNumberFormat="1" applyFont="1" applyFill="1" applyBorder="1"/>
    <xf numFmtId="171" fontId="9" fillId="0" borderId="17" xfId="0" applyNumberFormat="1" applyFont="1" applyBorder="1"/>
    <xf numFmtId="171" fontId="9" fillId="0" borderId="18" xfId="0" applyNumberFormat="1" applyFont="1" applyFill="1" applyBorder="1"/>
    <xf numFmtId="0" fontId="9" fillId="0" borderId="0" xfId="0" applyFont="1" applyFill="1"/>
    <xf numFmtId="14" fontId="9" fillId="0" borderId="16" xfId="0" applyNumberFormat="1" applyFont="1" applyFill="1" applyBorder="1"/>
    <xf numFmtId="3" fontId="9" fillId="8" borderId="14" xfId="0" applyNumberFormat="1" applyFont="1" applyFill="1" applyBorder="1"/>
    <xf numFmtId="3" fontId="9" fillId="2" borderId="14" xfId="0" applyNumberFormat="1" applyFont="1" applyFill="1" applyBorder="1"/>
    <xf numFmtId="170" fontId="0" fillId="0" borderId="11" xfId="0" applyNumberFormat="1" applyBorder="1"/>
    <xf numFmtId="171" fontId="0" fillId="16" borderId="3" xfId="0" applyNumberFormat="1" applyFill="1" applyBorder="1"/>
    <xf numFmtId="171" fontId="0" fillId="16" borderId="0" xfId="0" applyNumberFormat="1" applyFill="1" applyBorder="1"/>
    <xf numFmtId="171" fontId="0" fillId="16" borderId="4" xfId="0" applyNumberFormat="1" applyFill="1" applyBorder="1"/>
    <xf numFmtId="3" fontId="9" fillId="4" borderId="13" xfId="0" applyNumberFormat="1" applyFont="1" applyFill="1" applyBorder="1"/>
    <xf numFmtId="170" fontId="9" fillId="4" borderId="13" xfId="0" applyNumberFormat="1" applyFont="1" applyFill="1" applyBorder="1"/>
    <xf numFmtId="3" fontId="9" fillId="4" borderId="9" xfId="0" applyNumberFormat="1" applyFont="1" applyFill="1" applyBorder="1" applyAlignment="1">
      <alignment horizontal="center"/>
    </xf>
    <xf numFmtId="3" fontId="0" fillId="0" borderId="13" xfId="0" applyNumberFormat="1" applyFill="1" applyBorder="1" applyAlignment="1">
      <alignment horizontal="center"/>
    </xf>
    <xf numFmtId="3" fontId="0" fillId="0" borderId="14" xfId="0" applyNumberFormat="1" applyFill="1" applyBorder="1" applyAlignment="1">
      <alignment horizontal="center"/>
    </xf>
    <xf numFmtId="3" fontId="0" fillId="0" borderId="15" xfId="0" applyNumberFormat="1" applyFill="1" applyBorder="1" applyAlignment="1">
      <alignment horizontal="center"/>
    </xf>
    <xf numFmtId="3" fontId="0" fillId="17" borderId="13" xfId="0" applyNumberFormat="1" applyFill="1" applyBorder="1"/>
    <xf numFmtId="3" fontId="0" fillId="17" borderId="14" xfId="0" applyNumberFormat="1" applyFill="1" applyBorder="1"/>
    <xf numFmtId="3" fontId="0" fillId="16" borderId="14" xfId="0" applyNumberFormat="1" applyFill="1" applyBorder="1"/>
    <xf numFmtId="3" fontId="9" fillId="4" borderId="3" xfId="0" applyNumberFormat="1" applyFont="1" applyFill="1" applyBorder="1" applyAlignment="1">
      <alignment horizontal="center"/>
    </xf>
    <xf numFmtId="171" fontId="9" fillId="4" borderId="2" xfId="0" applyNumberFormat="1" applyFont="1" applyFill="1" applyBorder="1"/>
    <xf numFmtId="9" fontId="9" fillId="4" borderId="4" xfId="0" applyNumberFormat="1" applyFont="1" applyFill="1" applyBorder="1"/>
    <xf numFmtId="171" fontId="9" fillId="4" borderId="4" xfId="0" applyNumberFormat="1" applyFont="1" applyFill="1" applyBorder="1"/>
    <xf numFmtId="171" fontId="9" fillId="4" borderId="6" xfId="0" applyNumberFormat="1" applyFont="1" applyFill="1" applyBorder="1"/>
    <xf numFmtId="9" fontId="0" fillId="0" borderId="4" xfId="0" applyNumberFormat="1" applyBorder="1"/>
    <xf numFmtId="3" fontId="0" fillId="8" borderId="5" xfId="0" applyNumberFormat="1" applyFill="1" applyBorder="1"/>
    <xf numFmtId="171" fontId="0" fillId="0" borderId="2" xfId="0" applyNumberFormat="1" applyFill="1" applyBorder="1"/>
    <xf numFmtId="171" fontId="0" fillId="4" borderId="1" xfId="0" applyNumberFormat="1" applyFill="1" applyBorder="1"/>
    <xf numFmtId="171" fontId="0" fillId="4" borderId="7" xfId="0" applyNumberFormat="1" applyFill="1" applyBorder="1"/>
    <xf numFmtId="171" fontId="0" fillId="9" borderId="3" xfId="0" applyNumberFormat="1" applyFill="1" applyBorder="1"/>
    <xf numFmtId="171" fontId="0" fillId="3" borderId="0" xfId="0" applyNumberFormat="1" applyFill="1" applyBorder="1"/>
    <xf numFmtId="171" fontId="0" fillId="3" borderId="4" xfId="0" applyNumberFormat="1" applyFill="1" applyBorder="1"/>
    <xf numFmtId="171" fontId="0" fillId="3" borderId="3" xfId="0" applyNumberFormat="1" applyFill="1" applyBorder="1"/>
    <xf numFmtId="14" fontId="0" fillId="0" borderId="0" xfId="0" applyNumberFormat="1"/>
    <xf numFmtId="14" fontId="9" fillId="8" borderId="14" xfId="0" applyNumberFormat="1" applyFont="1" applyFill="1" applyBorder="1"/>
    <xf numFmtId="14" fontId="9" fillId="0" borderId="14" xfId="0" applyNumberFormat="1" applyFont="1" applyFill="1" applyBorder="1"/>
    <xf numFmtId="14" fontId="9" fillId="0" borderId="15" xfId="0" applyNumberFormat="1" applyFont="1" applyFill="1" applyBorder="1"/>
    <xf numFmtId="14" fontId="9" fillId="4" borderId="2" xfId="0" applyNumberFormat="1" applyFont="1" applyFill="1" applyBorder="1"/>
    <xf numFmtId="14" fontId="9" fillId="4" borderId="14" xfId="0" applyNumberFormat="1" applyFont="1" applyFill="1" applyBorder="1"/>
    <xf numFmtId="171" fontId="11" fillId="0" borderId="7" xfId="0" applyNumberFormat="1" applyFont="1" applyBorder="1"/>
    <xf numFmtId="171" fontId="11" fillId="0" borderId="1" xfId="0" applyNumberFormat="1" applyFont="1" applyBorder="1"/>
    <xf numFmtId="0" fontId="0" fillId="0" borderId="0" xfId="0" quotePrefix="1" applyFill="1" applyBorder="1"/>
    <xf numFmtId="0" fontId="5" fillId="0" borderId="9" xfId="1" applyBorder="1"/>
    <xf numFmtId="164" fontId="0" fillId="0" borderId="9" xfId="0" applyNumberFormat="1" applyBorder="1"/>
    <xf numFmtId="164" fontId="0" fillId="0" borderId="10" xfId="0" applyNumberFormat="1" applyBorder="1"/>
    <xf numFmtId="164" fontId="0" fillId="0" borderId="11" xfId="0" applyNumberFormat="1" applyBorder="1"/>
    <xf numFmtId="164" fontId="0" fillId="9" borderId="2" xfId="0" applyNumberFormat="1" applyFill="1" applyBorder="1"/>
    <xf numFmtId="0" fontId="0" fillId="0" borderId="4" xfId="0" applyFill="1" applyBorder="1"/>
    <xf numFmtId="14" fontId="12" fillId="8" borderId="21" xfId="0" applyNumberFormat="1" applyFont="1" applyFill="1" applyBorder="1"/>
    <xf numFmtId="14" fontId="0" fillId="2" borderId="0" xfId="0" applyNumberFormat="1" applyFill="1"/>
    <xf numFmtId="0" fontId="0" fillId="2" borderId="0" xfId="0" applyFill="1"/>
    <xf numFmtId="14" fontId="0" fillId="2" borderId="0" xfId="0" applyNumberFormat="1" applyFill="1" applyBorder="1"/>
    <xf numFmtId="0" fontId="0" fillId="2" borderId="0" xfId="0" applyFill="1" applyBorder="1"/>
    <xf numFmtId="14" fontId="9" fillId="0" borderId="0" xfId="0" applyNumberFormat="1" applyFont="1"/>
    <xf numFmtId="0" fontId="9" fillId="0" borderId="0" xfId="0" applyFont="1"/>
    <xf numFmtId="14" fontId="12" fillId="10" borderId="19" xfId="0" applyNumberFormat="1" applyFont="1" applyFill="1" applyBorder="1"/>
    <xf numFmtId="14" fontId="12" fillId="10" borderId="20" xfId="0" applyNumberFormat="1" applyFont="1" applyFill="1" applyBorder="1"/>
    <xf numFmtId="14" fontId="12" fillId="15" borderId="20" xfId="0" applyNumberFormat="1" applyFont="1" applyFill="1" applyBorder="1"/>
    <xf numFmtId="14" fontId="12" fillId="4" borderId="20" xfId="0" applyNumberFormat="1" applyFont="1" applyFill="1" applyBorder="1"/>
    <xf numFmtId="14" fontId="12" fillId="8" borderId="20" xfId="0" applyNumberFormat="1" applyFont="1" applyFill="1" applyBorder="1"/>
    <xf numFmtId="0" fontId="0" fillId="4" borderId="5" xfId="0" applyFill="1" applyBorder="1" applyAlignment="1">
      <alignment horizontal="center"/>
    </xf>
    <xf numFmtId="0" fontId="0" fillId="4" borderId="8" xfId="0" applyFill="1" applyBorder="1" applyAlignment="1">
      <alignment horizontal="center"/>
    </xf>
    <xf numFmtId="0" fontId="0" fillId="4" borderId="6" xfId="0"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6" xfId="0" applyBorder="1" applyAlignment="1">
      <alignment horizontal="center"/>
    </xf>
  </cellXfs>
  <cellStyles count="7">
    <cellStyle name="Heading" xfId="3" xr:uid="{DB9EF5E1-A693-41C3-82C7-CA90563DBB00}"/>
    <cellStyle name="Heading1" xfId="4" xr:uid="{33778C9B-2759-42CE-8B12-70EF179014AB}"/>
    <cellStyle name="Hyperlink" xfId="1" builtinId="8"/>
    <cellStyle name="Normal" xfId="0" builtinId="0"/>
    <cellStyle name="Normal 2" xfId="2" xr:uid="{F4FF767F-813C-4942-8E90-D60D18A1396E}"/>
    <cellStyle name="Result" xfId="5" xr:uid="{92363E1D-B163-4931-AE8B-9DBC97E2614C}"/>
    <cellStyle name="Result2" xfId="6" xr:uid="{346AB93D-4A1D-4E1B-B53F-62B068519100}"/>
  </cellStyles>
  <dxfs count="29">
    <dxf>
      <fill>
        <patternFill>
          <bgColor rgb="FFC39BFF"/>
        </patternFill>
      </fill>
    </dxf>
    <dxf>
      <fill>
        <patternFill>
          <bgColor rgb="FFC39BFF"/>
        </patternFill>
      </fill>
    </dxf>
    <dxf>
      <fill>
        <patternFill>
          <bgColor rgb="FFC39BFF"/>
        </patternFill>
      </fill>
    </dxf>
    <dxf>
      <fill>
        <patternFill>
          <bgColor rgb="FFC39BE1"/>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C39BFF"/>
        </patternFill>
      </fill>
    </dxf>
    <dxf>
      <fill>
        <patternFill>
          <bgColor rgb="FFC39BFF"/>
        </patternFill>
      </fill>
    </dxf>
    <dxf>
      <fill>
        <patternFill>
          <bgColor rgb="FFC39BFF"/>
        </patternFill>
      </fill>
    </dxf>
    <dxf>
      <fill>
        <patternFill>
          <bgColor rgb="FFC39BE1"/>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s>
  <tableStyles count="0" defaultTableStyle="TableStyleMedium2" defaultPivotStyle="PivotStyleLight16"/>
  <colors>
    <mruColors>
      <color rgb="FFC39BFF"/>
      <color rgb="FFC39BE1"/>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Infections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About!$A$17</c:f>
              <c:strCache>
                <c:ptCount val="1"/>
                <c:pt idx="0">
                  <c:v>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About!$B$17:$AO$17</c15:sqref>
                  </c15:fullRef>
                </c:ext>
              </c:extLst>
              <c:f>(About!$B$17,About!$E$17,About!$H$17,About!$K$17,About!$N$17,About!$Q$17,About!$T$17,About!$W$17,About!$Z$17,About!$AC$17,About!$AF$17,About!$AI$17,About!$AL$17,About!$AO$17)</c:f>
              <c:numCache>
                <c:formatCode>#,##0</c:formatCode>
                <c:ptCount val="14"/>
                <c:pt idx="0">
                  <c:v>71.428571428571431</c:v>
                </c:pt>
                <c:pt idx="1">
                  <c:v>142.85714285714286</c:v>
                </c:pt>
                <c:pt idx="2">
                  <c:v>285.71428571428572</c:v>
                </c:pt>
                <c:pt idx="3">
                  <c:v>571.42857142857144</c:v>
                </c:pt>
                <c:pt idx="4">
                  <c:v>1142.8571428571429</c:v>
                </c:pt>
                <c:pt idx="5">
                  <c:v>2285.7142857142858</c:v>
                </c:pt>
                <c:pt idx="6">
                  <c:v>4571.4285714285716</c:v>
                </c:pt>
                <c:pt idx="7">
                  <c:v>9142.8571428571431</c:v>
                </c:pt>
                <c:pt idx="8">
                  <c:v>18285.714285714286</c:v>
                </c:pt>
                <c:pt idx="9">
                  <c:v>36571.428571428572</c:v>
                </c:pt>
                <c:pt idx="10">
                  <c:v>73142.857142857145</c:v>
                </c:pt>
                <c:pt idx="11">
                  <c:v>146285.71428571429</c:v>
                </c:pt>
                <c:pt idx="12">
                  <c:v>292571.42857142858</c:v>
                </c:pt>
                <c:pt idx="13">
                  <c:v>585142.85714285716</c:v>
                </c:pt>
              </c:numCache>
            </c:numRef>
          </c:val>
          <c:smooth val="0"/>
          <c:extLst>
            <c:ext xmlns:c16="http://schemas.microsoft.com/office/drawing/2014/chart" uri="{C3380CC4-5D6E-409C-BE32-E72D297353CC}">
              <c16:uniqueId val="{00000000-9272-4A6F-9A61-484B451178B0}"/>
            </c:ext>
          </c:extLst>
        </c:ser>
        <c:ser>
          <c:idx val="1"/>
          <c:order val="1"/>
          <c:tx>
            <c:strRef>
              <c:f>About!$A$18</c:f>
              <c:strCache>
                <c:ptCount val="1"/>
                <c:pt idx="0">
                  <c:v>Undetected (cumulative)</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About!$B$18:$AO$18</c15:sqref>
                  </c15:fullRef>
                </c:ext>
              </c:extLst>
              <c:f>(About!$B$18,About!$E$18,About!$H$18,About!$K$18,About!$N$18,About!$Q$18,About!$T$18,About!$W$18,About!$Z$18,About!$AC$18,About!$AF$18,About!$AI$18,About!$AL$18,About!$AO$18)</c:f>
              <c:numCache>
                <c:formatCode>#,##0</c:formatCode>
                <c:ptCount val="14"/>
                <c:pt idx="0">
                  <c:v>-1.0351966873706051</c:v>
                </c:pt>
                <c:pt idx="1">
                  <c:v>-2.0703933747412102</c:v>
                </c:pt>
                <c:pt idx="2">
                  <c:v>-4.1407867494824204</c:v>
                </c:pt>
                <c:pt idx="3">
                  <c:v>-8.2815734989648409</c:v>
                </c:pt>
                <c:pt idx="4">
                  <c:v>-16.563146997929682</c:v>
                </c:pt>
                <c:pt idx="5">
                  <c:v>-33.126293995859363</c:v>
                </c:pt>
                <c:pt idx="6">
                  <c:v>-66.252587991718727</c:v>
                </c:pt>
                <c:pt idx="7">
                  <c:v>-132.50517598343745</c:v>
                </c:pt>
                <c:pt idx="8">
                  <c:v>-265.01035196687491</c:v>
                </c:pt>
                <c:pt idx="9">
                  <c:v>-530.02070393374981</c:v>
                </c:pt>
                <c:pt idx="10">
                  <c:v>-1060.0414078674996</c:v>
                </c:pt>
                <c:pt idx="11">
                  <c:v>-2120.0828157349993</c:v>
                </c:pt>
                <c:pt idx="12">
                  <c:v>-4240.1656314699985</c:v>
                </c:pt>
                <c:pt idx="13">
                  <c:v>-8480.331262939997</c:v>
                </c:pt>
              </c:numCache>
            </c:numRef>
          </c:val>
          <c:smooth val="0"/>
          <c:extLst>
            <c:ext xmlns:c16="http://schemas.microsoft.com/office/drawing/2014/chart" uri="{C3380CC4-5D6E-409C-BE32-E72D297353CC}">
              <c16:uniqueId val="{00000001-9272-4A6F-9A61-484B451178B0}"/>
            </c:ext>
          </c:extLst>
        </c:ser>
        <c:ser>
          <c:idx val="3"/>
          <c:order val="2"/>
          <c:tx>
            <c:strRef>
              <c:f>About!$A$20</c:f>
              <c:strCache>
                <c:ptCount val="1"/>
                <c:pt idx="0">
                  <c:v>Detected Infections (cumulative)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72.463768115942031</c:v>
                </c:pt>
                <c:pt idx="4">
                  <c:v>144.92753623188406</c:v>
                </c:pt>
                <c:pt idx="5">
                  <c:v>289.85507246376812</c:v>
                </c:pt>
                <c:pt idx="6">
                  <c:v>579.71014492753625</c:v>
                </c:pt>
                <c:pt idx="7">
                  <c:v>1159.4202898550725</c:v>
                </c:pt>
                <c:pt idx="8">
                  <c:v>2318.840579710145</c:v>
                </c:pt>
                <c:pt idx="9">
                  <c:v>4637.68115942029</c:v>
                </c:pt>
                <c:pt idx="10">
                  <c:v>9275.36231884058</c:v>
                </c:pt>
                <c:pt idx="11">
                  <c:v>18550.72463768116</c:v>
                </c:pt>
                <c:pt idx="12">
                  <c:v>37101.44927536232</c:v>
                </c:pt>
                <c:pt idx="13">
                  <c:v>74202.89855072464</c:v>
                </c:pt>
              </c:numCache>
            </c:numRef>
          </c:val>
          <c:smooth val="0"/>
          <c:extLst>
            <c:ext xmlns:c16="http://schemas.microsoft.com/office/drawing/2014/chart" uri="{C3380CC4-5D6E-409C-BE32-E72D297353CC}">
              <c16:uniqueId val="{00000003-9272-4A6F-9A61-484B451178B0}"/>
            </c:ext>
          </c:extLst>
        </c:ser>
        <c:dLbls>
          <c:showLegendKey val="0"/>
          <c:showVal val="0"/>
          <c:showCatName val="0"/>
          <c:showSerName val="0"/>
          <c:showPercent val="0"/>
          <c:showBubbleSize val="0"/>
        </c:dLbls>
        <c:smooth val="0"/>
        <c:axId val="711850920"/>
        <c:axId val="711846328"/>
      </c:lineChart>
      <c:dateAx>
        <c:axId val="711850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328"/>
        <c:crosses val="autoZero"/>
        <c:auto val="1"/>
        <c:lblOffset val="100"/>
        <c:baseTimeUnit val="days"/>
      </c:dateAx>
      <c:valAx>
        <c:axId val="711846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0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Detected Infections and Hospitalisations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About!$A$20</c:f>
              <c:strCache>
                <c:ptCount val="1"/>
                <c:pt idx="0">
                  <c:v>Detected 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72.463768115942031</c:v>
                </c:pt>
                <c:pt idx="4">
                  <c:v>144.92753623188406</c:v>
                </c:pt>
                <c:pt idx="5">
                  <c:v>289.85507246376812</c:v>
                </c:pt>
                <c:pt idx="6">
                  <c:v>579.71014492753625</c:v>
                </c:pt>
                <c:pt idx="7">
                  <c:v>1159.4202898550725</c:v>
                </c:pt>
                <c:pt idx="8">
                  <c:v>2318.840579710145</c:v>
                </c:pt>
                <c:pt idx="9">
                  <c:v>4637.68115942029</c:v>
                </c:pt>
                <c:pt idx="10">
                  <c:v>9275.36231884058</c:v>
                </c:pt>
                <c:pt idx="11">
                  <c:v>18550.72463768116</c:v>
                </c:pt>
                <c:pt idx="12">
                  <c:v>37101.44927536232</c:v>
                </c:pt>
                <c:pt idx="13">
                  <c:v>74202.89855072464</c:v>
                </c:pt>
              </c:numCache>
            </c:numRef>
          </c:val>
          <c:smooth val="0"/>
          <c:extLst>
            <c:ext xmlns:c16="http://schemas.microsoft.com/office/drawing/2014/chart" uri="{C3380CC4-5D6E-409C-BE32-E72D297353CC}">
              <c16:uniqueId val="{00000002-93EB-466B-815C-848AFD231B9A}"/>
            </c:ext>
          </c:extLst>
        </c:ser>
        <c:ser>
          <c:idx val="1"/>
          <c:order val="1"/>
          <c:tx>
            <c:strRef>
              <c:f>About!$A$21</c:f>
              <c:strCache>
                <c:ptCount val="1"/>
                <c:pt idx="0">
                  <c:v>Mild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About!$B$21:$AO$21</c15:sqref>
                  </c15:fullRef>
                </c:ext>
              </c:extLst>
              <c:f>(About!$B$21,About!$E$21,About!$H$21,About!$K$21,About!$N$21,About!$Q$21,About!$T$21,About!$W$21,About!$Z$21,About!$AC$21,About!$AF$21,About!$AI$21,About!$AL$21,About!$AO$21)</c:f>
              <c:numCache>
                <c:formatCode>#,##0</c:formatCode>
                <c:ptCount val="14"/>
                <c:pt idx="2">
                  <c:v>72.463768115942031</c:v>
                </c:pt>
                <c:pt idx="3">
                  <c:v>144.92753623188406</c:v>
                </c:pt>
                <c:pt idx="4">
                  <c:v>266.66666666666669</c:v>
                </c:pt>
                <c:pt idx="5">
                  <c:v>533.33333333333337</c:v>
                </c:pt>
                <c:pt idx="6">
                  <c:v>1066.6666666666667</c:v>
                </c:pt>
                <c:pt idx="7">
                  <c:v>2066.666666666667</c:v>
                </c:pt>
                <c:pt idx="8">
                  <c:v>4133.3333333333339</c:v>
                </c:pt>
                <c:pt idx="9">
                  <c:v>8266.6666666666679</c:v>
                </c:pt>
                <c:pt idx="10">
                  <c:v>16533.333333333336</c:v>
                </c:pt>
                <c:pt idx="11">
                  <c:v>33066.666666666672</c:v>
                </c:pt>
                <c:pt idx="12">
                  <c:v>66200</c:v>
                </c:pt>
                <c:pt idx="13">
                  <c:v>132400</c:v>
                </c:pt>
              </c:numCache>
            </c:numRef>
          </c:val>
          <c:smooth val="0"/>
          <c:extLst>
            <c:ext xmlns:c16="http://schemas.microsoft.com/office/drawing/2014/chart" uri="{C3380CC4-5D6E-409C-BE32-E72D297353CC}">
              <c16:uniqueId val="{00000003-93EB-466B-815C-848AFD231B9A}"/>
            </c:ext>
          </c:extLst>
        </c:ser>
        <c:ser>
          <c:idx val="2"/>
          <c:order val="2"/>
          <c:tx>
            <c:strRef>
              <c:f>About!$A$22</c:f>
              <c:strCache>
                <c:ptCount val="1"/>
                <c:pt idx="0">
                  <c:v>Severe (hospitalisation)</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About!$B$22:$AP$22</c15:sqref>
                  </c15:fullRef>
                </c:ext>
              </c:extLst>
              <c:f>(About!$B$22,About!$E$22,About!$H$22,About!$K$22,About!$N$22,About!$Q$22,About!$T$22,About!$W$22,About!$Z$22,About!$AC$22,About!$AF$22,About!$AI$22,About!$AL$22,About!$AO$22)</c:f>
              <c:numCache>
                <c:formatCode>#,##0</c:formatCode>
                <c:ptCount val="14"/>
                <c:pt idx="4">
                  <c:v>23.188405797101449</c:v>
                </c:pt>
                <c:pt idx="5">
                  <c:v>46.376811594202898</c:v>
                </c:pt>
                <c:pt idx="6">
                  <c:v>57.971014492753625</c:v>
                </c:pt>
                <c:pt idx="7">
                  <c:v>115.94202898550725</c:v>
                </c:pt>
                <c:pt idx="8">
                  <c:v>231.8840579710145</c:v>
                </c:pt>
                <c:pt idx="9">
                  <c:v>463.768115942029</c:v>
                </c:pt>
                <c:pt idx="10">
                  <c:v>927.536231884058</c:v>
                </c:pt>
                <c:pt idx="11">
                  <c:v>1855.072463768116</c:v>
                </c:pt>
                <c:pt idx="12">
                  <c:v>3710.144927536232</c:v>
                </c:pt>
                <c:pt idx="13">
                  <c:v>7420.289855072464</c:v>
                </c:pt>
              </c:numCache>
            </c:numRef>
          </c:val>
          <c:smooth val="0"/>
          <c:extLst>
            <c:ext xmlns:c16="http://schemas.microsoft.com/office/drawing/2014/chart" uri="{C3380CC4-5D6E-409C-BE32-E72D297353CC}">
              <c16:uniqueId val="{00000004-93EB-466B-815C-848AFD231B9A}"/>
            </c:ext>
          </c:extLst>
        </c:ser>
        <c:ser>
          <c:idx val="3"/>
          <c:order val="3"/>
          <c:tx>
            <c:strRef>
              <c:f>About!$A$23</c:f>
              <c:strCache>
                <c:ptCount val="1"/>
                <c:pt idx="0">
                  <c:v>Critical (ICU)</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About!$B$23:$AP$23</c15:sqref>
                  </c15:fullRef>
                </c:ext>
              </c:extLst>
              <c:f>(About!$B$23,About!$E$23,About!$H$23,About!$K$23,About!$N$23,About!$Q$23,About!$T$23,About!$W$23,About!$Z$23,About!$AC$23,About!$AF$23,About!$AI$23,About!$AL$23,About!$AO$23)</c:f>
              <c:numCache>
                <c:formatCode>#,##0</c:formatCode>
                <c:ptCount val="14"/>
                <c:pt idx="6">
                  <c:v>34.782608695652172</c:v>
                </c:pt>
                <c:pt idx="7">
                  <c:v>69.565217391304344</c:v>
                </c:pt>
                <c:pt idx="8">
                  <c:v>139.13043478260869</c:v>
                </c:pt>
                <c:pt idx="9">
                  <c:v>278.26086956521738</c:v>
                </c:pt>
                <c:pt idx="10">
                  <c:v>556.52173913043475</c:v>
                </c:pt>
                <c:pt idx="11">
                  <c:v>1113.0434782608695</c:v>
                </c:pt>
                <c:pt idx="12">
                  <c:v>2226.086956521739</c:v>
                </c:pt>
                <c:pt idx="13">
                  <c:v>4452.173913043478</c:v>
                </c:pt>
              </c:numCache>
            </c:numRef>
          </c:val>
          <c:smooth val="0"/>
          <c:extLst>
            <c:ext xmlns:c16="http://schemas.microsoft.com/office/drawing/2014/chart" uri="{C3380CC4-5D6E-409C-BE32-E72D297353CC}">
              <c16:uniqueId val="{00000005-93EB-466B-815C-848AFD231B9A}"/>
            </c:ext>
          </c:extLst>
        </c:ser>
        <c:dLbls>
          <c:showLegendKey val="0"/>
          <c:showVal val="0"/>
          <c:showCatName val="0"/>
          <c:showSerName val="0"/>
          <c:showPercent val="0"/>
          <c:showBubbleSize val="0"/>
        </c:dLbls>
        <c:smooth val="0"/>
        <c:axId val="546649856"/>
        <c:axId val="546653136"/>
      </c:lineChart>
      <c:dateAx>
        <c:axId val="546649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53136"/>
        <c:crosses val="autoZero"/>
        <c:auto val="1"/>
        <c:lblOffset val="100"/>
        <c:baseTimeUnit val="days"/>
      </c:dateAx>
      <c:valAx>
        <c:axId val="546653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Infections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About!$A$17</c:f>
              <c:strCache>
                <c:ptCount val="1"/>
                <c:pt idx="0">
                  <c:v>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About!$B$17:$AO$17</c15:sqref>
                  </c15:fullRef>
                </c:ext>
              </c:extLst>
              <c:f>(About!$B$17,About!$E$17,About!$H$17,About!$K$17,About!$N$17,About!$Q$17,About!$T$17,About!$W$17,About!$Z$17,About!$AC$17,About!$AF$17,About!$AI$17,About!$AL$17,About!$AO$17)</c:f>
              <c:numCache>
                <c:formatCode>#,##0</c:formatCode>
                <c:ptCount val="14"/>
                <c:pt idx="0">
                  <c:v>71.428571428571431</c:v>
                </c:pt>
                <c:pt idx="1">
                  <c:v>142.85714285714286</c:v>
                </c:pt>
                <c:pt idx="2">
                  <c:v>285.71428571428572</c:v>
                </c:pt>
                <c:pt idx="3">
                  <c:v>571.42857142857144</c:v>
                </c:pt>
                <c:pt idx="4">
                  <c:v>1142.8571428571429</c:v>
                </c:pt>
                <c:pt idx="5">
                  <c:v>2285.7142857142858</c:v>
                </c:pt>
                <c:pt idx="6">
                  <c:v>4571.4285714285716</c:v>
                </c:pt>
                <c:pt idx="7">
                  <c:v>9142.8571428571431</c:v>
                </c:pt>
                <c:pt idx="8">
                  <c:v>18285.714285714286</c:v>
                </c:pt>
                <c:pt idx="9">
                  <c:v>36571.428571428572</c:v>
                </c:pt>
                <c:pt idx="10">
                  <c:v>73142.857142857145</c:v>
                </c:pt>
                <c:pt idx="11">
                  <c:v>146285.71428571429</c:v>
                </c:pt>
                <c:pt idx="12">
                  <c:v>292571.42857142858</c:v>
                </c:pt>
                <c:pt idx="13">
                  <c:v>585142.85714285716</c:v>
                </c:pt>
              </c:numCache>
            </c:numRef>
          </c:val>
          <c:smooth val="0"/>
          <c:extLst>
            <c:ext xmlns:c16="http://schemas.microsoft.com/office/drawing/2014/chart" uri="{C3380CC4-5D6E-409C-BE32-E72D297353CC}">
              <c16:uniqueId val="{00000000-F25F-48C4-B767-01D2FE6F59F8}"/>
            </c:ext>
          </c:extLst>
        </c:ser>
        <c:ser>
          <c:idx val="1"/>
          <c:order val="1"/>
          <c:tx>
            <c:strRef>
              <c:f>About!$A$18</c:f>
              <c:strCache>
                <c:ptCount val="1"/>
                <c:pt idx="0">
                  <c:v>Undetected (cumulative)</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About!$B$18:$AO$18</c15:sqref>
                  </c15:fullRef>
                </c:ext>
              </c:extLst>
              <c:f>(About!$B$18,About!$E$18,About!$H$18,About!$K$18,About!$N$18,About!$Q$18,About!$T$18,About!$W$18,About!$Z$18,About!$AC$18,About!$AF$18,About!$AI$18,About!$AL$18,About!$AO$18)</c:f>
              <c:numCache>
                <c:formatCode>#,##0</c:formatCode>
                <c:ptCount val="14"/>
                <c:pt idx="0">
                  <c:v>-1.0351966873706051</c:v>
                </c:pt>
                <c:pt idx="1">
                  <c:v>-2.0703933747412102</c:v>
                </c:pt>
                <c:pt idx="2">
                  <c:v>-4.1407867494824204</c:v>
                </c:pt>
                <c:pt idx="3">
                  <c:v>-8.2815734989648409</c:v>
                </c:pt>
                <c:pt idx="4">
                  <c:v>-16.563146997929682</c:v>
                </c:pt>
                <c:pt idx="5">
                  <c:v>-33.126293995859363</c:v>
                </c:pt>
                <c:pt idx="6">
                  <c:v>-66.252587991718727</c:v>
                </c:pt>
                <c:pt idx="7">
                  <c:v>-132.50517598343745</c:v>
                </c:pt>
                <c:pt idx="8">
                  <c:v>-265.01035196687491</c:v>
                </c:pt>
                <c:pt idx="9">
                  <c:v>-530.02070393374981</c:v>
                </c:pt>
                <c:pt idx="10">
                  <c:v>-1060.0414078674996</c:v>
                </c:pt>
                <c:pt idx="11">
                  <c:v>-2120.0828157349993</c:v>
                </c:pt>
                <c:pt idx="12">
                  <c:v>-4240.1656314699985</c:v>
                </c:pt>
                <c:pt idx="13">
                  <c:v>-8480.331262939997</c:v>
                </c:pt>
              </c:numCache>
            </c:numRef>
          </c:val>
          <c:smooth val="0"/>
          <c:extLst>
            <c:ext xmlns:c16="http://schemas.microsoft.com/office/drawing/2014/chart" uri="{C3380CC4-5D6E-409C-BE32-E72D297353CC}">
              <c16:uniqueId val="{00000001-F25F-48C4-B767-01D2FE6F59F8}"/>
            </c:ext>
          </c:extLst>
        </c:ser>
        <c:ser>
          <c:idx val="3"/>
          <c:order val="2"/>
          <c:tx>
            <c:strRef>
              <c:f>About!$A$20</c:f>
              <c:strCache>
                <c:ptCount val="1"/>
                <c:pt idx="0">
                  <c:v>Detected Infections (cumulative)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72.463768115942031</c:v>
                </c:pt>
                <c:pt idx="4">
                  <c:v>144.92753623188406</c:v>
                </c:pt>
                <c:pt idx="5">
                  <c:v>289.85507246376812</c:v>
                </c:pt>
                <c:pt idx="6">
                  <c:v>579.71014492753625</c:v>
                </c:pt>
                <c:pt idx="7">
                  <c:v>1159.4202898550725</c:v>
                </c:pt>
                <c:pt idx="8">
                  <c:v>2318.840579710145</c:v>
                </c:pt>
                <c:pt idx="9">
                  <c:v>4637.68115942029</c:v>
                </c:pt>
                <c:pt idx="10">
                  <c:v>9275.36231884058</c:v>
                </c:pt>
                <c:pt idx="11">
                  <c:v>18550.72463768116</c:v>
                </c:pt>
                <c:pt idx="12">
                  <c:v>37101.44927536232</c:v>
                </c:pt>
                <c:pt idx="13">
                  <c:v>74202.89855072464</c:v>
                </c:pt>
              </c:numCache>
            </c:numRef>
          </c:val>
          <c:smooth val="0"/>
          <c:extLst>
            <c:ext xmlns:c16="http://schemas.microsoft.com/office/drawing/2014/chart" uri="{C3380CC4-5D6E-409C-BE32-E72D297353CC}">
              <c16:uniqueId val="{00000002-F25F-48C4-B767-01D2FE6F59F8}"/>
            </c:ext>
          </c:extLst>
        </c:ser>
        <c:dLbls>
          <c:showLegendKey val="0"/>
          <c:showVal val="0"/>
          <c:showCatName val="0"/>
          <c:showSerName val="0"/>
          <c:showPercent val="0"/>
          <c:showBubbleSize val="0"/>
        </c:dLbls>
        <c:smooth val="0"/>
        <c:axId val="711850920"/>
        <c:axId val="711846328"/>
      </c:lineChart>
      <c:dateAx>
        <c:axId val="71185092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46328"/>
        <c:crosses val="autoZero"/>
        <c:auto val="1"/>
        <c:lblOffset val="100"/>
        <c:baseTimeUnit val="days"/>
      </c:dateAx>
      <c:valAx>
        <c:axId val="71184632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850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Detected Infections and Hospitalisations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About!$A$20</c:f>
              <c:strCache>
                <c:ptCount val="1"/>
                <c:pt idx="0">
                  <c:v>Detected Infections (cumulative)</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About!$B$20:$AO$20</c15:sqref>
                  </c15:fullRef>
                </c:ext>
              </c:extLst>
              <c:f>(About!$B$20,About!$E$20,About!$H$20,About!$K$20,About!$N$20,About!$Q$20,About!$T$20,About!$W$20,About!$Z$20,About!$AC$20,About!$AF$20,About!$AI$20,About!$AL$20,About!$AO$20)</c:f>
              <c:numCache>
                <c:formatCode>#,##0</c:formatCode>
                <c:ptCount val="14"/>
                <c:pt idx="3">
                  <c:v>72.463768115942031</c:v>
                </c:pt>
                <c:pt idx="4">
                  <c:v>144.92753623188406</c:v>
                </c:pt>
                <c:pt idx="5">
                  <c:v>289.85507246376812</c:v>
                </c:pt>
                <c:pt idx="6">
                  <c:v>579.71014492753625</c:v>
                </c:pt>
                <c:pt idx="7">
                  <c:v>1159.4202898550725</c:v>
                </c:pt>
                <c:pt idx="8">
                  <c:v>2318.840579710145</c:v>
                </c:pt>
                <c:pt idx="9">
                  <c:v>4637.68115942029</c:v>
                </c:pt>
                <c:pt idx="10">
                  <c:v>9275.36231884058</c:v>
                </c:pt>
                <c:pt idx="11">
                  <c:v>18550.72463768116</c:v>
                </c:pt>
                <c:pt idx="12">
                  <c:v>37101.44927536232</c:v>
                </c:pt>
                <c:pt idx="13">
                  <c:v>74202.89855072464</c:v>
                </c:pt>
              </c:numCache>
            </c:numRef>
          </c:val>
          <c:smooth val="0"/>
          <c:extLst>
            <c:ext xmlns:c16="http://schemas.microsoft.com/office/drawing/2014/chart" uri="{C3380CC4-5D6E-409C-BE32-E72D297353CC}">
              <c16:uniqueId val="{00000000-21E7-4DFE-B019-F4CAF9806853}"/>
            </c:ext>
          </c:extLst>
        </c:ser>
        <c:ser>
          <c:idx val="1"/>
          <c:order val="1"/>
          <c:tx>
            <c:strRef>
              <c:f>About!$A$21</c:f>
              <c:strCache>
                <c:ptCount val="1"/>
                <c:pt idx="0">
                  <c:v>Mild</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About!$B$21:$AO$21</c15:sqref>
                  </c15:fullRef>
                </c:ext>
              </c:extLst>
              <c:f>(About!$B$21,About!$E$21,About!$H$21,About!$K$21,About!$N$21,About!$Q$21,About!$T$21,About!$W$21,About!$Z$21,About!$AC$21,About!$AF$21,About!$AI$21,About!$AL$21,About!$AO$21)</c:f>
              <c:numCache>
                <c:formatCode>#,##0</c:formatCode>
                <c:ptCount val="14"/>
                <c:pt idx="2">
                  <c:v>72.463768115942031</c:v>
                </c:pt>
                <c:pt idx="3">
                  <c:v>144.92753623188406</c:v>
                </c:pt>
                <c:pt idx="4">
                  <c:v>266.66666666666669</c:v>
                </c:pt>
                <c:pt idx="5">
                  <c:v>533.33333333333337</c:v>
                </c:pt>
                <c:pt idx="6">
                  <c:v>1066.6666666666667</c:v>
                </c:pt>
                <c:pt idx="7">
                  <c:v>2066.666666666667</c:v>
                </c:pt>
                <c:pt idx="8">
                  <c:v>4133.3333333333339</c:v>
                </c:pt>
                <c:pt idx="9">
                  <c:v>8266.6666666666679</c:v>
                </c:pt>
                <c:pt idx="10">
                  <c:v>16533.333333333336</c:v>
                </c:pt>
                <c:pt idx="11">
                  <c:v>33066.666666666672</c:v>
                </c:pt>
                <c:pt idx="12">
                  <c:v>66200</c:v>
                </c:pt>
                <c:pt idx="13">
                  <c:v>132400</c:v>
                </c:pt>
              </c:numCache>
            </c:numRef>
          </c:val>
          <c:smooth val="0"/>
          <c:extLst>
            <c:ext xmlns:c16="http://schemas.microsoft.com/office/drawing/2014/chart" uri="{C3380CC4-5D6E-409C-BE32-E72D297353CC}">
              <c16:uniqueId val="{00000001-21E7-4DFE-B019-F4CAF9806853}"/>
            </c:ext>
          </c:extLst>
        </c:ser>
        <c:ser>
          <c:idx val="2"/>
          <c:order val="2"/>
          <c:tx>
            <c:strRef>
              <c:f>About!$A$22</c:f>
              <c:strCache>
                <c:ptCount val="1"/>
                <c:pt idx="0">
                  <c:v>Severe (hospitalisation)</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About!$B$22:$AP$22</c15:sqref>
                  </c15:fullRef>
                </c:ext>
              </c:extLst>
              <c:f>(About!$B$22,About!$E$22,About!$H$22,About!$K$22,About!$N$22,About!$Q$22,About!$T$22,About!$W$22,About!$Z$22,About!$AC$22,About!$AF$22,About!$AI$22,About!$AL$22,About!$AO$22)</c:f>
              <c:numCache>
                <c:formatCode>#,##0</c:formatCode>
                <c:ptCount val="14"/>
                <c:pt idx="4">
                  <c:v>23.188405797101449</c:v>
                </c:pt>
                <c:pt idx="5">
                  <c:v>46.376811594202898</c:v>
                </c:pt>
                <c:pt idx="6">
                  <c:v>57.971014492753625</c:v>
                </c:pt>
                <c:pt idx="7">
                  <c:v>115.94202898550725</c:v>
                </c:pt>
                <c:pt idx="8">
                  <c:v>231.8840579710145</c:v>
                </c:pt>
                <c:pt idx="9">
                  <c:v>463.768115942029</c:v>
                </c:pt>
                <c:pt idx="10">
                  <c:v>927.536231884058</c:v>
                </c:pt>
                <c:pt idx="11">
                  <c:v>1855.072463768116</c:v>
                </c:pt>
                <c:pt idx="12">
                  <c:v>3710.144927536232</c:v>
                </c:pt>
                <c:pt idx="13">
                  <c:v>7420.289855072464</c:v>
                </c:pt>
              </c:numCache>
            </c:numRef>
          </c:val>
          <c:smooth val="0"/>
          <c:extLst>
            <c:ext xmlns:c16="http://schemas.microsoft.com/office/drawing/2014/chart" uri="{C3380CC4-5D6E-409C-BE32-E72D297353CC}">
              <c16:uniqueId val="{00000002-21E7-4DFE-B019-F4CAF9806853}"/>
            </c:ext>
          </c:extLst>
        </c:ser>
        <c:ser>
          <c:idx val="3"/>
          <c:order val="3"/>
          <c:tx>
            <c:strRef>
              <c:f>About!$A$23</c:f>
              <c:strCache>
                <c:ptCount val="1"/>
                <c:pt idx="0">
                  <c:v>Critical (ICU)</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About!$B$26:$AO$26</c15:sqref>
                  </c15:fullRef>
                </c:ext>
              </c:extLst>
              <c:f>(About!$B$26,About!$E$26,About!$H$26,About!$K$26,About!$N$26,About!$Q$26,About!$T$26,About!$W$26,About!$Z$26,About!$AC$26,About!$AF$26,About!$AI$26,About!$AL$26,About!$AO$26)</c:f>
              <c:numCache>
                <c:formatCode>m/d/yyyy</c:formatCode>
                <c:ptCount val="14"/>
                <c:pt idx="0">
                  <c:v>43964.917079166669</c:v>
                </c:pt>
                <c:pt idx="1">
                  <c:v>43967.917079166669</c:v>
                </c:pt>
                <c:pt idx="2">
                  <c:v>43970.917079166669</c:v>
                </c:pt>
                <c:pt idx="3">
                  <c:v>43973.917079166669</c:v>
                </c:pt>
                <c:pt idx="4">
                  <c:v>43976.917079166669</c:v>
                </c:pt>
                <c:pt idx="5">
                  <c:v>43979.917079166669</c:v>
                </c:pt>
                <c:pt idx="6">
                  <c:v>43982.917079166669</c:v>
                </c:pt>
                <c:pt idx="7">
                  <c:v>43985.917079166669</c:v>
                </c:pt>
                <c:pt idx="8">
                  <c:v>43988.917079166669</c:v>
                </c:pt>
                <c:pt idx="9">
                  <c:v>43991.917079166669</c:v>
                </c:pt>
                <c:pt idx="10">
                  <c:v>43994.917079166669</c:v>
                </c:pt>
                <c:pt idx="11">
                  <c:v>43997.917079166669</c:v>
                </c:pt>
                <c:pt idx="12">
                  <c:v>44000.917079166669</c:v>
                </c:pt>
                <c:pt idx="13">
                  <c:v>44003.917079166669</c:v>
                </c:pt>
              </c:numCache>
            </c:numRef>
          </c:cat>
          <c:val>
            <c:numRef>
              <c:extLst>
                <c:ext xmlns:c15="http://schemas.microsoft.com/office/drawing/2012/chart" uri="{02D57815-91ED-43cb-92C2-25804820EDAC}">
                  <c15:fullRef>
                    <c15:sqref>About!$B$23:$AP$23</c15:sqref>
                  </c15:fullRef>
                </c:ext>
              </c:extLst>
              <c:f>(About!$B$23,About!$E$23,About!$H$23,About!$K$23,About!$N$23,About!$Q$23,About!$T$23,About!$W$23,About!$Z$23,About!$AC$23,About!$AF$23,About!$AI$23,About!$AL$23,About!$AO$23)</c:f>
              <c:numCache>
                <c:formatCode>#,##0</c:formatCode>
                <c:ptCount val="14"/>
                <c:pt idx="6">
                  <c:v>34.782608695652172</c:v>
                </c:pt>
                <c:pt idx="7">
                  <c:v>69.565217391304344</c:v>
                </c:pt>
                <c:pt idx="8">
                  <c:v>139.13043478260869</c:v>
                </c:pt>
                <c:pt idx="9">
                  <c:v>278.26086956521738</c:v>
                </c:pt>
                <c:pt idx="10">
                  <c:v>556.52173913043475</c:v>
                </c:pt>
                <c:pt idx="11">
                  <c:v>1113.0434782608695</c:v>
                </c:pt>
                <c:pt idx="12">
                  <c:v>2226.086956521739</c:v>
                </c:pt>
                <c:pt idx="13">
                  <c:v>4452.173913043478</c:v>
                </c:pt>
              </c:numCache>
            </c:numRef>
          </c:val>
          <c:smooth val="0"/>
          <c:extLst>
            <c:ext xmlns:c16="http://schemas.microsoft.com/office/drawing/2014/chart" uri="{C3380CC4-5D6E-409C-BE32-E72D297353CC}">
              <c16:uniqueId val="{00000003-21E7-4DFE-B019-F4CAF9806853}"/>
            </c:ext>
          </c:extLst>
        </c:ser>
        <c:dLbls>
          <c:showLegendKey val="0"/>
          <c:showVal val="0"/>
          <c:showCatName val="0"/>
          <c:showSerName val="0"/>
          <c:showPercent val="0"/>
          <c:showBubbleSize val="0"/>
        </c:dLbls>
        <c:smooth val="0"/>
        <c:axId val="546649856"/>
        <c:axId val="546653136"/>
      </c:lineChart>
      <c:dateAx>
        <c:axId val="546649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53136"/>
        <c:crosses val="autoZero"/>
        <c:auto val="1"/>
        <c:lblOffset val="100"/>
        <c:baseTimeUnit val="days"/>
      </c:dateAx>
      <c:valAx>
        <c:axId val="54665313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4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Hospitalisation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688864268909969E-2"/>
          <c:y val="0.16402429427241846"/>
          <c:w val="0.54877376992928728"/>
          <c:h val="0.66019671368499344"/>
        </c:manualLayout>
      </c:layout>
      <c:lineChart>
        <c:grouping val="standard"/>
        <c:varyColors val="0"/>
        <c:ser>
          <c:idx val="3"/>
          <c:order val="0"/>
          <c:tx>
            <c:strRef>
              <c:f>Projections!$A$59</c:f>
              <c:strCache>
                <c:ptCount val="1"/>
                <c:pt idx="0">
                  <c:v>Cumulative Severe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Projections!$G$59:$AF$59</c15:sqref>
                  </c15:fullRef>
                </c:ext>
              </c:extLst>
              <c:f>Projections!$G$59:$T$59</c:f>
              <c:numCache>
                <c:formatCode>#,##0_ ;[Red]\-#,##0\ </c:formatCode>
                <c:ptCount val="14"/>
                <c:pt idx="0">
                  <c:v>1.3624403770173663</c:v>
                </c:pt>
                <c:pt idx="1">
                  <c:v>1.9882966234408881</c:v>
                </c:pt>
                <c:pt idx="2">
                  <c:v>2.7477734693782825</c:v>
                </c:pt>
                <c:pt idx="3">
                  <c:v>5.6101344648732603</c:v>
                </c:pt>
                <c:pt idx="4">
                  <c:v>10.283171151388096</c:v>
                </c:pt>
                <c:pt idx="5">
                  <c:v>18.787878787878775</c:v>
                </c:pt>
                <c:pt idx="6">
                  <c:v>31.107290494170176</c:v>
                </c:pt>
                <c:pt idx="7">
                  <c:v>97.540056745390302</c:v>
                </c:pt>
                <c:pt idx="8">
                  <c:v>574.77618799654329</c:v>
                </c:pt>
                <c:pt idx="9">
                  <c:v>859.05698537255921</c:v>
                </c:pt>
                <c:pt idx="10">
                  <c:v>3648.0224340846935</c:v>
                </c:pt>
                <c:pt idx="11">
                  <c:v>4217.9293984147635</c:v>
                </c:pt>
                <c:pt idx="12">
                  <c:v>1102.9505029517011</c:v>
                </c:pt>
                <c:pt idx="13">
                  <c:v>713.45778394840875</c:v>
                </c:pt>
              </c:numCache>
            </c:numRef>
          </c:val>
          <c:smooth val="0"/>
          <c:extLst>
            <c:ext xmlns:c16="http://schemas.microsoft.com/office/drawing/2014/chart" uri="{C3380CC4-5D6E-409C-BE32-E72D297353CC}">
              <c16:uniqueId val="{00000003-5231-4BE2-97ED-54F0C3DB105C}"/>
            </c:ext>
          </c:extLst>
        </c:ser>
        <c:ser>
          <c:idx val="2"/>
          <c:order val="1"/>
          <c:tx>
            <c:strRef>
              <c:f>Projections!$A$60</c:f>
              <c:strCache>
                <c:ptCount val="1"/>
                <c:pt idx="0">
                  <c:v>Number active Severe</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Projections!$G$60:$AF$60</c15:sqref>
                  </c15:fullRef>
                </c:ext>
              </c:extLst>
              <c:f>Projections!$G$60:$T$60</c:f>
              <c:numCache>
                <c:formatCode>#,##0_ ;[Red]\-#,##0\ </c:formatCode>
                <c:ptCount val="14"/>
                <c:pt idx="0">
                  <c:v>1.3624403770173663</c:v>
                </c:pt>
                <c:pt idx="1">
                  <c:v>1.9882966234408881</c:v>
                </c:pt>
                <c:pt idx="2">
                  <c:v>2.7477734693782825</c:v>
                </c:pt>
                <c:pt idx="3">
                  <c:v>5.6101344648732603</c:v>
                </c:pt>
                <c:pt idx="4">
                  <c:v>9.1506322955352211</c:v>
                </c:pt>
                <c:pt idx="5">
                  <c:v>16.684078363551301</c:v>
                </c:pt>
                <c:pt idx="6">
                  <c:v>27.811835948715633</c:v>
                </c:pt>
                <c:pt idx="7">
                  <c:v>89.205090812551802</c:v>
                </c:pt>
                <c:pt idx="8">
                  <c:v>489.33133033984944</c:v>
                </c:pt>
                <c:pt idx="9">
                  <c:v>376.35533838085632</c:v>
                </c:pt>
                <c:pt idx="10">
                  <c:v>3007.9225055713932</c:v>
                </c:pt>
                <c:pt idx="11">
                  <c:v>3264.2939799538044</c:v>
                </c:pt>
                <c:pt idx="12">
                  <c:v>810.07029325376584</c:v>
                </c:pt>
                <c:pt idx="13">
                  <c:v>0</c:v>
                </c:pt>
              </c:numCache>
            </c:numRef>
          </c:val>
          <c:smooth val="0"/>
          <c:extLst>
            <c:ext xmlns:c16="http://schemas.microsoft.com/office/drawing/2014/chart" uri="{C3380CC4-5D6E-409C-BE32-E72D297353CC}">
              <c16:uniqueId val="{00000002-9381-4A4E-BB43-DCD8EC2F4E00}"/>
            </c:ext>
          </c:extLst>
        </c:ser>
        <c:ser>
          <c:idx val="0"/>
          <c:order val="2"/>
          <c:tx>
            <c:strRef>
              <c:f>Projections!$A$61</c:f>
              <c:strCache>
                <c:ptCount val="1"/>
                <c:pt idx="0">
                  <c:v>Cumulative Critical</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Projections!$G$61:$AF$61</c15:sqref>
                  </c15:fullRef>
                </c:ext>
              </c:extLst>
              <c:f>Projections!$G$61:$T$61</c:f>
              <c:numCache>
                <c:formatCode>#,##0_ ;[Red]\-#,##0\ </c:formatCode>
                <c:ptCount val="14"/>
                <c:pt idx="0">
                  <c:v>0.26367099160898083</c:v>
                </c:pt>
                <c:pt idx="1">
                  <c:v>0.38479198881578991</c:v>
                </c:pt>
                <c:pt idx="2">
                  <c:v>0.5615516282367099</c:v>
                </c:pt>
                <c:pt idx="3">
                  <c:v>0.81950830667179397</c:v>
                </c:pt>
                <c:pt idx="4">
                  <c:v>1.1325388558528744</c:v>
                </c:pt>
                <c:pt idx="5">
                  <c:v>2.1038004243274724</c:v>
                </c:pt>
                <c:pt idx="6">
                  <c:v>3.295454545454545</c:v>
                </c:pt>
                <c:pt idx="7">
                  <c:v>8.3349659328384966</c:v>
                </c:pt>
                <c:pt idx="8">
                  <c:v>85.444857656693841</c:v>
                </c:pt>
                <c:pt idx="9">
                  <c:v>482.70164699170289</c:v>
                </c:pt>
                <c:pt idx="10">
                  <c:v>640.09992851330003</c:v>
                </c:pt>
                <c:pt idx="11">
                  <c:v>953.63541846095893</c:v>
                </c:pt>
                <c:pt idx="12">
                  <c:v>292.88020969793524</c:v>
                </c:pt>
                <c:pt idx="13">
                  <c:v>516.35670124040007</c:v>
                </c:pt>
              </c:numCache>
            </c:numRef>
          </c:val>
          <c:smooth val="0"/>
          <c:extLst>
            <c:ext xmlns:c16="http://schemas.microsoft.com/office/drawing/2014/chart" uri="{C3380CC4-5D6E-409C-BE32-E72D297353CC}">
              <c16:uniqueId val="{00000000-9381-4A4E-BB43-DCD8EC2F4E00}"/>
            </c:ext>
          </c:extLst>
        </c:ser>
        <c:ser>
          <c:idx val="4"/>
          <c:order val="3"/>
          <c:tx>
            <c:strRef>
              <c:f>Projections!$A$62</c:f>
              <c:strCache>
                <c:ptCount val="1"/>
                <c:pt idx="0">
                  <c:v>Number active Critical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Projections!$G$62:$AF$62</c15:sqref>
                  </c15:fullRef>
                </c:ext>
              </c:extLst>
              <c:f>Projections!$G$62:$T$62</c:f>
              <c:numCache>
                <c:formatCode>#,##0_ ;[Red]\-#,##0\ </c:formatCode>
                <c:ptCount val="14"/>
                <c:pt idx="0">
                  <c:v>0.26367099160898083</c:v>
                </c:pt>
                <c:pt idx="1">
                  <c:v>0.38479198881578991</c:v>
                </c:pt>
                <c:pt idx="2">
                  <c:v>0.5615516282367099</c:v>
                </c:pt>
                <c:pt idx="3">
                  <c:v>0.81950830667179397</c:v>
                </c:pt>
                <c:pt idx="4">
                  <c:v>1.1325388558528744</c:v>
                </c:pt>
                <c:pt idx="5">
                  <c:v>2.1038004243274724</c:v>
                </c:pt>
                <c:pt idx="6">
                  <c:v>3.295454545454545</c:v>
                </c:pt>
                <c:pt idx="7">
                  <c:v>8.3349659328384966</c:v>
                </c:pt>
                <c:pt idx="8">
                  <c:v>85.444857656693841</c:v>
                </c:pt>
                <c:pt idx="9">
                  <c:v>482.70164699170289</c:v>
                </c:pt>
                <c:pt idx="10">
                  <c:v>640.09992851330003</c:v>
                </c:pt>
                <c:pt idx="11">
                  <c:v>953.63541846095893</c:v>
                </c:pt>
                <c:pt idx="12">
                  <c:v>292.88020969793524</c:v>
                </c:pt>
                <c:pt idx="13">
                  <c:v>0</c:v>
                </c:pt>
              </c:numCache>
            </c:numRef>
          </c:val>
          <c:smooth val="0"/>
          <c:extLst>
            <c:ext xmlns:c16="http://schemas.microsoft.com/office/drawing/2014/chart" uri="{C3380CC4-5D6E-409C-BE32-E72D297353CC}">
              <c16:uniqueId val="{00000003-9381-4A4E-BB43-DCD8EC2F4E00}"/>
            </c:ext>
          </c:extLst>
        </c:ser>
        <c:ser>
          <c:idx val="1"/>
          <c:order val="4"/>
          <c:tx>
            <c:strRef>
              <c:f>Projections!$A$63</c:f>
              <c:strCache>
                <c:ptCount val="1"/>
                <c:pt idx="0">
                  <c:v>Projected Cumulative Mortality Count (future projection)</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Projections!$G$63:$AF$63</c15:sqref>
                  </c15:fullRef>
                </c:ext>
              </c:extLst>
              <c:f>Projections!$G$63:$T$63</c:f>
              <c:numCache>
                <c:formatCode>#,##0_ ;[Red]\-#,##0\ </c:formatCode>
                <c:ptCount val="14"/>
                <c:pt idx="0">
                  <c:v>0.43124999999999997</c:v>
                </c:pt>
                <c:pt idx="1">
                  <c:v>0.86249999999999993</c:v>
                </c:pt>
                <c:pt idx="2">
                  <c:v>1.7249999999999999</c:v>
                </c:pt>
                <c:pt idx="3">
                  <c:v>3.4499999999999997</c:v>
                </c:pt>
                <c:pt idx="4">
                  <c:v>6.8999999999999995</c:v>
                </c:pt>
                <c:pt idx="5">
                  <c:v>13.799999999999999</c:v>
                </c:pt>
                <c:pt idx="6">
                  <c:v>27.599999999999998</c:v>
                </c:pt>
                <c:pt idx="7">
                  <c:v>55.199999999999996</c:v>
                </c:pt>
                <c:pt idx="8">
                  <c:v>82.8</c:v>
                </c:pt>
                <c:pt idx="9">
                  <c:v>91.08</c:v>
                </c:pt>
                <c:pt idx="10">
                  <c:v>96.6</c:v>
                </c:pt>
                <c:pt idx="11">
                  <c:v>102.12</c:v>
                </c:pt>
                <c:pt idx="12">
                  <c:v>107.64</c:v>
                </c:pt>
                <c:pt idx="13">
                  <c:v>110.39999999999999</c:v>
                </c:pt>
              </c:numCache>
            </c:numRef>
          </c:val>
          <c:smooth val="0"/>
          <c:extLst>
            <c:ext xmlns:c16="http://schemas.microsoft.com/office/drawing/2014/chart" uri="{C3380CC4-5D6E-409C-BE32-E72D297353CC}">
              <c16:uniqueId val="{00000001-9381-4A4E-BB43-DCD8EC2F4E00}"/>
            </c:ext>
          </c:extLst>
        </c:ser>
        <c:dLbls>
          <c:showLegendKey val="0"/>
          <c:showVal val="0"/>
          <c:showCatName val="0"/>
          <c:showSerName val="0"/>
          <c:showPercent val="0"/>
          <c:showBubbleSize val="0"/>
        </c:dLbls>
        <c:smooth val="0"/>
        <c:axId val="485124952"/>
        <c:axId val="485122000"/>
      </c:lineChart>
      <c:dateAx>
        <c:axId val="48512495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2000"/>
        <c:crosses val="autoZero"/>
        <c:auto val="1"/>
        <c:lblOffset val="100"/>
        <c:baseTimeUnit val="days"/>
      </c:dateAx>
      <c:valAx>
        <c:axId val="485122000"/>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a:t>
            </a:r>
            <a:r>
              <a:rPr lang="en-AU" baseline="0"/>
              <a:t> COVID-19 Cumulative Infections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Projections!$A$81</c:f>
              <c:strCache>
                <c:ptCount val="1"/>
                <c:pt idx="0">
                  <c:v>80+</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Projections!$G$81:$AF$81</c15:sqref>
                  </c15:fullRef>
                </c:ext>
              </c:extLst>
              <c:f>Projections!$G$81:$T$81</c:f>
              <c:numCache>
                <c:formatCode>#,##0</c:formatCode>
                <c:ptCount val="14"/>
                <c:pt idx="0">
                  <c:v>1.0538600891861762</c:v>
                </c:pt>
                <c:pt idx="1">
                  <c:v>2.1077201783723525</c:v>
                </c:pt>
                <c:pt idx="2">
                  <c:v>4.215440356744705</c:v>
                </c:pt>
                <c:pt idx="3">
                  <c:v>8.4308807134894099</c:v>
                </c:pt>
                <c:pt idx="4">
                  <c:v>16.86176142697882</c:v>
                </c:pt>
                <c:pt idx="5">
                  <c:v>33.72352285395764</c:v>
                </c:pt>
                <c:pt idx="6">
                  <c:v>67.447045707915279</c:v>
                </c:pt>
                <c:pt idx="7">
                  <c:v>134.89409141583056</c:v>
                </c:pt>
                <c:pt idx="8">
                  <c:v>202.34113712374582</c:v>
                </c:pt>
                <c:pt idx="9">
                  <c:v>222.57525083612043</c:v>
                </c:pt>
                <c:pt idx="10">
                  <c:v>236.06465997770349</c:v>
                </c:pt>
                <c:pt idx="11">
                  <c:v>249.55406911928654</c:v>
                </c:pt>
                <c:pt idx="12">
                  <c:v>263.04347826086956</c:v>
                </c:pt>
                <c:pt idx="13">
                  <c:v>269.78818283166112</c:v>
                </c:pt>
              </c:numCache>
            </c:numRef>
          </c:val>
          <c:smooth val="0"/>
          <c:extLst>
            <c:ext xmlns:c16="http://schemas.microsoft.com/office/drawing/2014/chart" uri="{C3380CC4-5D6E-409C-BE32-E72D297353CC}">
              <c16:uniqueId val="{00000000-04B6-450D-AD81-6BF382C059D1}"/>
            </c:ext>
          </c:extLst>
        </c:ser>
        <c:ser>
          <c:idx val="2"/>
          <c:order val="1"/>
          <c:tx>
            <c:strRef>
              <c:f>Projections!$A$83</c:f>
              <c:strCache>
                <c:ptCount val="1"/>
                <c:pt idx="0">
                  <c:v>70-79</c:v>
                </c:pt>
              </c:strCache>
            </c:strRef>
          </c:tx>
          <c:spPr>
            <a:ln w="28575" cap="rnd">
              <a:solidFill>
                <a:schemeClr val="accent2">
                  <a:lumMod val="5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Projections!$G$83:$AF$83</c15:sqref>
                  </c15:fullRef>
                </c:ext>
              </c:extLst>
              <c:f>Projections!$G$83:$T$83</c:f>
              <c:numCache>
                <c:formatCode>#,##0</c:formatCode>
                <c:ptCount val="14"/>
                <c:pt idx="0">
                  <c:v>3.287869286510591</c:v>
                </c:pt>
                <c:pt idx="1">
                  <c:v>6.5757385730211819</c:v>
                </c:pt>
                <c:pt idx="2">
                  <c:v>13.151477146042364</c:v>
                </c:pt>
                <c:pt idx="3">
                  <c:v>26.302954292084728</c:v>
                </c:pt>
                <c:pt idx="4">
                  <c:v>52.605908584169455</c:v>
                </c:pt>
                <c:pt idx="5">
                  <c:v>105.21181716833891</c:v>
                </c:pt>
                <c:pt idx="6">
                  <c:v>210.42363433667782</c:v>
                </c:pt>
                <c:pt idx="7">
                  <c:v>420.84726867335564</c:v>
                </c:pt>
                <c:pt idx="8">
                  <c:v>631.27090301003352</c:v>
                </c:pt>
                <c:pt idx="9">
                  <c:v>694.39799331103677</c:v>
                </c:pt>
                <c:pt idx="10">
                  <c:v>736.48272017837235</c:v>
                </c:pt>
                <c:pt idx="11">
                  <c:v>778.56744704570792</c:v>
                </c:pt>
                <c:pt idx="12">
                  <c:v>820.6521739130435</c:v>
                </c:pt>
                <c:pt idx="13">
                  <c:v>841.69453734671129</c:v>
                </c:pt>
              </c:numCache>
            </c:numRef>
          </c:val>
          <c:smooth val="0"/>
          <c:extLst>
            <c:ext xmlns:c16="http://schemas.microsoft.com/office/drawing/2014/chart" uri="{C3380CC4-5D6E-409C-BE32-E72D297353CC}">
              <c16:uniqueId val="{00000002-04B6-450D-AD81-6BF382C059D1}"/>
            </c:ext>
          </c:extLst>
        </c:ser>
        <c:ser>
          <c:idx val="4"/>
          <c:order val="2"/>
          <c:tx>
            <c:strRef>
              <c:f>Projections!$A$85</c:f>
              <c:strCache>
                <c:ptCount val="1"/>
                <c:pt idx="0">
                  <c:v>60-69</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Projections!$G$85:$AF$85</c15:sqref>
                  </c15:fullRef>
                </c:ext>
              </c:extLst>
              <c:f>Projections!$G$85:$T$85</c:f>
              <c:numCache>
                <c:formatCode>#,##0</c:formatCode>
                <c:ptCount val="14"/>
                <c:pt idx="0">
                  <c:v>5.0733347268673361</c:v>
                </c:pt>
                <c:pt idx="1">
                  <c:v>10.146669453734672</c:v>
                </c:pt>
                <c:pt idx="2">
                  <c:v>20.293338907469344</c:v>
                </c:pt>
                <c:pt idx="3">
                  <c:v>40.586677814938689</c:v>
                </c:pt>
                <c:pt idx="4">
                  <c:v>81.173355629877378</c:v>
                </c:pt>
                <c:pt idx="5">
                  <c:v>162.34671125975476</c:v>
                </c:pt>
                <c:pt idx="6">
                  <c:v>324.69342251950951</c:v>
                </c:pt>
                <c:pt idx="7">
                  <c:v>649.38684503901902</c:v>
                </c:pt>
                <c:pt idx="8">
                  <c:v>974.08026755852848</c:v>
                </c:pt>
                <c:pt idx="9">
                  <c:v>1071.4882943143814</c:v>
                </c:pt>
                <c:pt idx="10">
                  <c:v>1136.4269788182833</c:v>
                </c:pt>
                <c:pt idx="11">
                  <c:v>1201.3656633221851</c:v>
                </c:pt>
                <c:pt idx="12">
                  <c:v>1266.304347826087</c:v>
                </c:pt>
                <c:pt idx="13">
                  <c:v>1298.773690078038</c:v>
                </c:pt>
              </c:numCache>
            </c:numRef>
          </c:val>
          <c:smooth val="0"/>
          <c:extLst>
            <c:ext xmlns:c16="http://schemas.microsoft.com/office/drawing/2014/chart" uri="{C3380CC4-5D6E-409C-BE32-E72D297353CC}">
              <c16:uniqueId val="{00000004-04B6-450D-AD81-6BF382C059D1}"/>
            </c:ext>
          </c:extLst>
        </c:ser>
        <c:ser>
          <c:idx val="6"/>
          <c:order val="3"/>
          <c:tx>
            <c:strRef>
              <c:f>Projections!$A$87</c:f>
              <c:strCache>
                <c:ptCount val="1"/>
                <c:pt idx="0">
                  <c:v>50-59</c:v>
                </c:pt>
              </c:strCache>
            </c:strRef>
          </c:tx>
          <c:spPr>
            <a:ln w="28575" cap="rnd">
              <a:solidFill>
                <a:schemeClr val="accent2">
                  <a:lumMod val="80000"/>
                  <a:lumOff val="2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Projections!$G$87:$AF$87</c15:sqref>
                  </c15:fullRef>
                </c:ext>
              </c:extLst>
              <c:f>Projections!$G$87:$T$87</c:f>
              <c:numCache>
                <c:formatCode>#,##0</c:formatCode>
                <c:ptCount val="14"/>
                <c:pt idx="0">
                  <c:v>4.9296265328874025</c:v>
                </c:pt>
                <c:pt idx="1">
                  <c:v>9.859253065774805</c:v>
                </c:pt>
                <c:pt idx="2">
                  <c:v>19.71850613154961</c:v>
                </c:pt>
                <c:pt idx="3">
                  <c:v>39.43701226309922</c:v>
                </c:pt>
                <c:pt idx="4">
                  <c:v>78.87402452619844</c:v>
                </c:pt>
                <c:pt idx="5">
                  <c:v>157.74804905239688</c:v>
                </c:pt>
                <c:pt idx="6">
                  <c:v>315.49609810479376</c:v>
                </c:pt>
                <c:pt idx="7">
                  <c:v>630.99219620958752</c:v>
                </c:pt>
                <c:pt idx="8">
                  <c:v>946.48829431438116</c:v>
                </c:pt>
                <c:pt idx="9">
                  <c:v>1041.1371237458193</c:v>
                </c:pt>
                <c:pt idx="10">
                  <c:v>1104.2363433667781</c:v>
                </c:pt>
                <c:pt idx="11">
                  <c:v>1167.3355629877369</c:v>
                </c:pt>
                <c:pt idx="12">
                  <c:v>1230.4347826086955</c:v>
                </c:pt>
                <c:pt idx="13">
                  <c:v>1261.984392419175</c:v>
                </c:pt>
              </c:numCache>
            </c:numRef>
          </c:val>
          <c:smooth val="0"/>
          <c:extLst>
            <c:ext xmlns:c16="http://schemas.microsoft.com/office/drawing/2014/chart" uri="{C3380CC4-5D6E-409C-BE32-E72D297353CC}">
              <c16:uniqueId val="{00000006-04B6-450D-AD81-6BF382C059D1}"/>
            </c:ext>
          </c:extLst>
        </c:ser>
        <c:ser>
          <c:idx val="8"/>
          <c:order val="4"/>
          <c:tx>
            <c:strRef>
              <c:f>Projections!$A$89</c:f>
              <c:strCache>
                <c:ptCount val="1"/>
                <c:pt idx="0">
                  <c:v>40-49</c:v>
                </c:pt>
              </c:strCache>
            </c:strRef>
          </c:tx>
          <c:spPr>
            <a:ln w="28575" cap="rnd">
              <a:solidFill>
                <a:schemeClr val="accent6">
                  <a:lumMod val="80000"/>
                  <a:lumOff val="2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Projections!$G$89:$AF$89</c15:sqref>
                  </c15:fullRef>
                </c:ext>
              </c:extLst>
              <c:f>Projections!$G$89:$T$89</c:f>
              <c:numCache>
                <c:formatCode>#,##0</c:formatCode>
                <c:ptCount val="14"/>
                <c:pt idx="0">
                  <c:v>3.9802814938684499</c:v>
                </c:pt>
                <c:pt idx="1">
                  <c:v>7.9605629877368997</c:v>
                </c:pt>
                <c:pt idx="2">
                  <c:v>15.921125975473799</c:v>
                </c:pt>
                <c:pt idx="3">
                  <c:v>31.842251950947599</c:v>
                </c:pt>
                <c:pt idx="4">
                  <c:v>63.684503901895198</c:v>
                </c:pt>
                <c:pt idx="5">
                  <c:v>127.3690078037904</c:v>
                </c:pt>
                <c:pt idx="6">
                  <c:v>254.73801560758079</c:v>
                </c:pt>
                <c:pt idx="7">
                  <c:v>509.47603121516158</c:v>
                </c:pt>
                <c:pt idx="8">
                  <c:v>764.21404682274238</c:v>
                </c:pt>
                <c:pt idx="9">
                  <c:v>840.6354515050167</c:v>
                </c:pt>
                <c:pt idx="10">
                  <c:v>891.58305462653277</c:v>
                </c:pt>
                <c:pt idx="11">
                  <c:v>942.53065774804895</c:v>
                </c:pt>
                <c:pt idx="12">
                  <c:v>993.47826086956513</c:v>
                </c:pt>
                <c:pt idx="13">
                  <c:v>1018.9520624303232</c:v>
                </c:pt>
              </c:numCache>
            </c:numRef>
          </c:val>
          <c:smooth val="0"/>
          <c:extLst>
            <c:ext xmlns:c16="http://schemas.microsoft.com/office/drawing/2014/chart" uri="{C3380CC4-5D6E-409C-BE32-E72D297353CC}">
              <c16:uniqueId val="{00000008-04B6-450D-AD81-6BF382C059D1}"/>
            </c:ext>
          </c:extLst>
        </c:ser>
        <c:ser>
          <c:idx val="10"/>
          <c:order val="5"/>
          <c:tx>
            <c:strRef>
              <c:f>Projections!$A$91</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Projections!$G$91:$AF$91</c15:sqref>
                  </c15:fullRef>
                </c:ext>
              </c:extLst>
              <c:f>Projections!$G$91:$T$91</c:f>
              <c:numCache>
                <c:formatCode>#,##0</c:formatCode>
                <c:ptCount val="14"/>
                <c:pt idx="0">
                  <c:v>4.9688196767001109</c:v>
                </c:pt>
                <c:pt idx="1">
                  <c:v>9.9376393534002219</c:v>
                </c:pt>
                <c:pt idx="2">
                  <c:v>19.875278706800444</c:v>
                </c:pt>
                <c:pt idx="3">
                  <c:v>39.750557413600887</c:v>
                </c:pt>
                <c:pt idx="4">
                  <c:v>79.501114827201775</c:v>
                </c:pt>
                <c:pt idx="5">
                  <c:v>159.00222965440355</c:v>
                </c:pt>
                <c:pt idx="6">
                  <c:v>318.0044593088071</c:v>
                </c:pt>
                <c:pt idx="7">
                  <c:v>636.0089186176142</c:v>
                </c:pt>
                <c:pt idx="8">
                  <c:v>954.0133779264213</c:v>
                </c:pt>
                <c:pt idx="9">
                  <c:v>1049.4147157190635</c:v>
                </c:pt>
                <c:pt idx="10">
                  <c:v>1113.015607580825</c:v>
                </c:pt>
                <c:pt idx="11">
                  <c:v>1176.6164994425862</c:v>
                </c:pt>
                <c:pt idx="12">
                  <c:v>1240.2173913043478</c:v>
                </c:pt>
                <c:pt idx="13">
                  <c:v>1272.0178372352284</c:v>
                </c:pt>
              </c:numCache>
            </c:numRef>
          </c:val>
          <c:smooth val="0"/>
          <c:extLst>
            <c:ext xmlns:c16="http://schemas.microsoft.com/office/drawing/2014/chart" uri="{C3380CC4-5D6E-409C-BE32-E72D297353CC}">
              <c16:uniqueId val="{0000000A-04B6-450D-AD81-6BF382C059D1}"/>
            </c:ext>
          </c:extLst>
        </c:ser>
        <c:ser>
          <c:idx val="12"/>
          <c:order val="6"/>
          <c:tx>
            <c:strRef>
              <c:f>Projections!$A$93</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Projections!$G$93:$AF$93</c15:sqref>
                  </c15:fullRef>
                </c:ext>
              </c:extLst>
              <c:f>Projections!$G$93:$T$93</c:f>
              <c:numCache>
                <c:formatCode>#,##0</c:formatCode>
                <c:ptCount val="14"/>
                <c:pt idx="0">
                  <c:v>6.4973522853957641</c:v>
                </c:pt>
                <c:pt idx="1">
                  <c:v>12.994704570791528</c:v>
                </c:pt>
                <c:pt idx="2">
                  <c:v>25.989409141583057</c:v>
                </c:pt>
                <c:pt idx="3">
                  <c:v>51.978818283166113</c:v>
                </c:pt>
                <c:pt idx="4">
                  <c:v>103.95763656633223</c:v>
                </c:pt>
                <c:pt idx="5">
                  <c:v>207.91527313266445</c:v>
                </c:pt>
                <c:pt idx="6">
                  <c:v>415.83054626532891</c:v>
                </c:pt>
                <c:pt idx="7">
                  <c:v>831.66109253065781</c:v>
                </c:pt>
                <c:pt idx="8">
                  <c:v>1247.4916387959868</c:v>
                </c:pt>
                <c:pt idx="9">
                  <c:v>1372.2408026755854</c:v>
                </c:pt>
                <c:pt idx="10">
                  <c:v>1455.4069119286512</c:v>
                </c:pt>
                <c:pt idx="11">
                  <c:v>1538.573021181717</c:v>
                </c:pt>
                <c:pt idx="12">
                  <c:v>1621.7391304347827</c:v>
                </c:pt>
                <c:pt idx="13">
                  <c:v>1663.3221850613156</c:v>
                </c:pt>
              </c:numCache>
            </c:numRef>
          </c:val>
          <c:smooth val="0"/>
          <c:extLst>
            <c:ext xmlns:c16="http://schemas.microsoft.com/office/drawing/2014/chart" uri="{C3380CC4-5D6E-409C-BE32-E72D297353CC}">
              <c16:uniqueId val="{0000000C-04B6-450D-AD81-6BF382C059D1}"/>
            </c:ext>
          </c:extLst>
        </c:ser>
        <c:ser>
          <c:idx val="14"/>
          <c:order val="7"/>
          <c:tx>
            <c:strRef>
              <c:f>Projections!$A$95</c:f>
              <c:strCache>
                <c:ptCount val="1"/>
                <c:pt idx="0">
                  <c:v>10-19</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Projections!$G$95:$AF$95</c15:sqref>
                  </c15:fullRef>
                </c:ext>
              </c:extLst>
              <c:f>Projections!$G$95:$T$95</c:f>
              <c:numCache>
                <c:formatCode>#,##0</c:formatCode>
                <c:ptCount val="14"/>
                <c:pt idx="0">
                  <c:v>1.0146669453734669</c:v>
                </c:pt>
                <c:pt idx="1">
                  <c:v>2.0293338907469338</c:v>
                </c:pt>
                <c:pt idx="2">
                  <c:v>4.0586677814938676</c:v>
                </c:pt>
                <c:pt idx="3">
                  <c:v>8.1173355629877353</c:v>
                </c:pt>
                <c:pt idx="4">
                  <c:v>16.234671125975471</c:v>
                </c:pt>
                <c:pt idx="5">
                  <c:v>32.469342251950941</c:v>
                </c:pt>
                <c:pt idx="6">
                  <c:v>64.938684503901882</c:v>
                </c:pt>
                <c:pt idx="7">
                  <c:v>129.87736900780376</c:v>
                </c:pt>
                <c:pt idx="8">
                  <c:v>194.81605351170566</c:v>
                </c:pt>
                <c:pt idx="9">
                  <c:v>214.29765886287623</c:v>
                </c:pt>
                <c:pt idx="10">
                  <c:v>227.28539576365662</c:v>
                </c:pt>
                <c:pt idx="11">
                  <c:v>240.27313266443699</c:v>
                </c:pt>
                <c:pt idx="12">
                  <c:v>253.26086956521738</c:v>
                </c:pt>
                <c:pt idx="13">
                  <c:v>259.75473801560753</c:v>
                </c:pt>
              </c:numCache>
            </c:numRef>
          </c:val>
          <c:smooth val="0"/>
          <c:extLst>
            <c:ext xmlns:c16="http://schemas.microsoft.com/office/drawing/2014/chart" uri="{C3380CC4-5D6E-409C-BE32-E72D297353CC}">
              <c16:uniqueId val="{0000000E-04B6-450D-AD81-6BF382C059D1}"/>
            </c:ext>
          </c:extLst>
        </c:ser>
        <c:ser>
          <c:idx val="16"/>
          <c:order val="8"/>
          <c:tx>
            <c:strRef>
              <c:f>Projections!$A$97</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Projections!$G$97:$AF$97</c15:sqref>
                  </c15:fullRef>
                </c:ext>
              </c:extLst>
              <c:f>Projections!$G$97:$T$97</c:f>
              <c:numCache>
                <c:formatCode>#,##0</c:formatCode>
                <c:ptCount val="14"/>
                <c:pt idx="0">
                  <c:v>0.44418896321070234</c:v>
                </c:pt>
                <c:pt idx="1">
                  <c:v>0.88837792642140467</c:v>
                </c:pt>
                <c:pt idx="2">
                  <c:v>1.7767558528428093</c:v>
                </c:pt>
                <c:pt idx="3">
                  <c:v>3.5535117056856187</c:v>
                </c:pt>
                <c:pt idx="4">
                  <c:v>7.1070234113712374</c:v>
                </c:pt>
                <c:pt idx="5">
                  <c:v>14.214046822742475</c:v>
                </c:pt>
                <c:pt idx="6">
                  <c:v>28.42809364548495</c:v>
                </c:pt>
                <c:pt idx="7">
                  <c:v>56.856187290969899</c:v>
                </c:pt>
                <c:pt idx="8">
                  <c:v>85.284280936454849</c:v>
                </c:pt>
                <c:pt idx="9">
                  <c:v>93.812709030100322</c:v>
                </c:pt>
                <c:pt idx="10">
                  <c:v>99.498327759197323</c:v>
                </c:pt>
                <c:pt idx="11">
                  <c:v>105.18394648829431</c:v>
                </c:pt>
                <c:pt idx="12">
                  <c:v>110.8695652173913</c:v>
                </c:pt>
                <c:pt idx="13">
                  <c:v>113.7123745819398</c:v>
                </c:pt>
              </c:numCache>
            </c:numRef>
          </c:val>
          <c:smooth val="0"/>
          <c:extLst>
            <c:ext xmlns:c16="http://schemas.microsoft.com/office/drawing/2014/chart" uri="{C3380CC4-5D6E-409C-BE32-E72D297353CC}">
              <c16:uniqueId val="{00000010-04B6-450D-AD81-6BF382C059D1}"/>
            </c:ext>
          </c:extLst>
        </c:ser>
        <c:dLbls>
          <c:showLegendKey val="0"/>
          <c:showVal val="0"/>
          <c:showCatName val="0"/>
          <c:showSerName val="0"/>
          <c:showPercent val="0"/>
          <c:showBubbleSize val="0"/>
        </c:dLbls>
        <c:smooth val="0"/>
        <c:axId val="594920464"/>
        <c:axId val="585298016"/>
      </c:lineChart>
      <c:dateAx>
        <c:axId val="59492046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98016"/>
        <c:crosses val="autoZero"/>
        <c:auto val="1"/>
        <c:lblOffset val="100"/>
        <c:baseTimeUnit val="days"/>
      </c:dateAx>
      <c:valAx>
        <c:axId val="5852980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Projections!$A$81</c:f>
              <c:strCache>
                <c:ptCount val="1"/>
                <c:pt idx="0">
                  <c:v>80+</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Projections!$G$82:$AF$82</c15:sqref>
                  </c15:fullRef>
                </c:ext>
              </c:extLst>
              <c:f>Projections!$G$82:$T$82</c:f>
              <c:numCache>
                <c:formatCode>#,##0</c:formatCode>
                <c:ptCount val="14"/>
                <c:pt idx="0">
                  <c:v>0.23951365663322186</c:v>
                </c:pt>
                <c:pt idx="1">
                  <c:v>0.47902731326644371</c:v>
                </c:pt>
                <c:pt idx="2">
                  <c:v>0.95805462653288742</c:v>
                </c:pt>
                <c:pt idx="3">
                  <c:v>1.9161092530657748</c:v>
                </c:pt>
                <c:pt idx="4">
                  <c:v>3.8322185061315497</c:v>
                </c:pt>
                <c:pt idx="5">
                  <c:v>7.6644370122630994</c:v>
                </c:pt>
                <c:pt idx="6">
                  <c:v>15.328874024526199</c:v>
                </c:pt>
                <c:pt idx="7">
                  <c:v>30.657748049052397</c:v>
                </c:pt>
                <c:pt idx="8">
                  <c:v>45.986622073578594</c:v>
                </c:pt>
                <c:pt idx="9">
                  <c:v>50.585284280936463</c:v>
                </c:pt>
                <c:pt idx="10">
                  <c:v>53.651059085841702</c:v>
                </c:pt>
                <c:pt idx="11">
                  <c:v>56.71683389074694</c:v>
                </c:pt>
                <c:pt idx="12">
                  <c:v>59.782608695652172</c:v>
                </c:pt>
                <c:pt idx="13">
                  <c:v>61.315496098104795</c:v>
                </c:pt>
              </c:numCache>
            </c:numRef>
          </c:val>
          <c:smooth val="0"/>
          <c:extLst>
            <c:ext xmlns:c16="http://schemas.microsoft.com/office/drawing/2014/chart" uri="{C3380CC4-5D6E-409C-BE32-E72D297353CC}">
              <c16:uniqueId val="{00000001-EBAD-48A5-9277-83F388186C0C}"/>
            </c:ext>
          </c:extLst>
        </c:ser>
        <c:ser>
          <c:idx val="3"/>
          <c:order val="1"/>
          <c:tx>
            <c:strRef>
              <c:f>Projections!$A$83</c:f>
              <c:strCache>
                <c:ptCount val="1"/>
                <c:pt idx="0">
                  <c:v>70-79</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Projections!$G$84:$AF$84</c15:sqref>
                  </c15:fullRef>
                </c:ext>
              </c:extLst>
              <c:f>Projections!$G$84:$T$84</c:f>
              <c:numCache>
                <c:formatCode>#,##0</c:formatCode>
                <c:ptCount val="14"/>
                <c:pt idx="0">
                  <c:v>0.14806298773690077</c:v>
                </c:pt>
                <c:pt idx="1">
                  <c:v>0.29612597547380154</c:v>
                </c:pt>
                <c:pt idx="2">
                  <c:v>0.59225195094760308</c:v>
                </c:pt>
                <c:pt idx="3">
                  <c:v>1.1845039018952062</c:v>
                </c:pt>
                <c:pt idx="4">
                  <c:v>2.3690078037904123</c:v>
                </c:pt>
                <c:pt idx="5">
                  <c:v>4.7380156075808246</c:v>
                </c:pt>
                <c:pt idx="6">
                  <c:v>9.4760312151616493</c:v>
                </c:pt>
                <c:pt idx="7">
                  <c:v>18.952062430323299</c:v>
                </c:pt>
                <c:pt idx="8">
                  <c:v>28.428093645484953</c:v>
                </c:pt>
                <c:pt idx="9">
                  <c:v>31.270903010033443</c:v>
                </c:pt>
                <c:pt idx="10">
                  <c:v>33.16610925306577</c:v>
                </c:pt>
                <c:pt idx="11">
                  <c:v>35.061315496098103</c:v>
                </c:pt>
                <c:pt idx="12">
                  <c:v>36.956521739130437</c:v>
                </c:pt>
                <c:pt idx="13">
                  <c:v>37.904124860646597</c:v>
                </c:pt>
              </c:numCache>
            </c:numRef>
          </c:val>
          <c:smooth val="0"/>
          <c:extLst>
            <c:ext xmlns:c16="http://schemas.microsoft.com/office/drawing/2014/chart" uri="{C3380CC4-5D6E-409C-BE32-E72D297353CC}">
              <c16:uniqueId val="{00000003-EBAD-48A5-9277-83F388186C0C}"/>
            </c:ext>
          </c:extLst>
        </c:ser>
        <c:ser>
          <c:idx val="5"/>
          <c:order val="2"/>
          <c:tx>
            <c:strRef>
              <c:f>Projections!$A$85</c:f>
              <c:strCache>
                <c:ptCount val="1"/>
                <c:pt idx="0">
                  <c:v>60-69</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Projections!$G$86:$AF$86</c15:sqref>
                  </c15:fullRef>
                </c:ext>
              </c:extLst>
              <c:f>Projections!$G$86:$T$86</c:f>
              <c:numCache>
                <c:formatCode>#,##0</c:formatCode>
                <c:ptCount val="14"/>
                <c:pt idx="0">
                  <c:v>4.3547937569676703E-2</c:v>
                </c:pt>
                <c:pt idx="1">
                  <c:v>8.7095875139353407E-2</c:v>
                </c:pt>
                <c:pt idx="2">
                  <c:v>0.17419175027870681</c:v>
                </c:pt>
                <c:pt idx="3">
                  <c:v>0.34838350055741363</c:v>
                </c:pt>
                <c:pt idx="4">
                  <c:v>0.69676700111482726</c:v>
                </c:pt>
                <c:pt idx="5">
                  <c:v>1.3935340022296545</c:v>
                </c:pt>
                <c:pt idx="6">
                  <c:v>2.787068004459309</c:v>
                </c:pt>
                <c:pt idx="7">
                  <c:v>5.574136008918618</c:v>
                </c:pt>
                <c:pt idx="8">
                  <c:v>8.3612040133779271</c:v>
                </c:pt>
                <c:pt idx="9">
                  <c:v>9.1973244147157196</c:v>
                </c:pt>
                <c:pt idx="10">
                  <c:v>9.7547380156075825</c:v>
                </c:pt>
                <c:pt idx="11">
                  <c:v>10.312151616499444</c:v>
                </c:pt>
                <c:pt idx="12">
                  <c:v>10.869565217391305</c:v>
                </c:pt>
                <c:pt idx="13">
                  <c:v>11.148272017837236</c:v>
                </c:pt>
              </c:numCache>
            </c:numRef>
          </c:val>
          <c:smooth val="0"/>
          <c:extLst>
            <c:ext xmlns:c16="http://schemas.microsoft.com/office/drawing/2014/chart" uri="{C3380CC4-5D6E-409C-BE32-E72D297353CC}">
              <c16:uniqueId val="{00000005-EBAD-48A5-9277-83F388186C0C}"/>
            </c:ext>
          </c:extLst>
        </c:ser>
        <c:ser>
          <c:idx val="7"/>
          <c:order val="3"/>
          <c:tx>
            <c:strRef>
              <c:f>Projections!$A$87</c:f>
              <c:strCache>
                <c:ptCount val="1"/>
                <c:pt idx="0">
                  <c:v>50-59</c:v>
                </c:pt>
              </c:strCache>
            </c:strRef>
          </c:tx>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Projections!$G$88:$AF$88</c15:sqref>
                  </c15:fullRef>
                </c:ext>
              </c:extLst>
              <c:f>Projections!$G$88:$T$88</c:f>
              <c:numCache>
                <c:formatCode>#,##0</c:formatCode>
                <c:ptCount val="14"/>
                <c:pt idx="0">
                  <c:v>8.70958751393534E-3</c:v>
                </c:pt>
                <c:pt idx="1">
                  <c:v>1.741917502787068E-2</c:v>
                </c:pt>
                <c:pt idx="2">
                  <c:v>3.483835005574136E-2</c:v>
                </c:pt>
                <c:pt idx="3">
                  <c:v>6.967670011148272E-2</c:v>
                </c:pt>
                <c:pt idx="4">
                  <c:v>0.13935340022296544</c:v>
                </c:pt>
                <c:pt idx="5">
                  <c:v>0.27870680044593088</c:v>
                </c:pt>
                <c:pt idx="6">
                  <c:v>0.55741360089186176</c:v>
                </c:pt>
                <c:pt idx="7">
                  <c:v>1.1148272017837235</c:v>
                </c:pt>
                <c:pt idx="8">
                  <c:v>1.6722408026755851</c:v>
                </c:pt>
                <c:pt idx="9">
                  <c:v>1.8394648829431435</c:v>
                </c:pt>
                <c:pt idx="10">
                  <c:v>1.950947603121516</c:v>
                </c:pt>
                <c:pt idx="11">
                  <c:v>2.0624303232998886</c:v>
                </c:pt>
                <c:pt idx="12">
                  <c:v>2.1739130434782608</c:v>
                </c:pt>
                <c:pt idx="13">
                  <c:v>2.229654403567447</c:v>
                </c:pt>
              </c:numCache>
            </c:numRef>
          </c:val>
          <c:smooth val="0"/>
          <c:extLst>
            <c:ext xmlns:c16="http://schemas.microsoft.com/office/drawing/2014/chart" uri="{C3380CC4-5D6E-409C-BE32-E72D297353CC}">
              <c16:uniqueId val="{00000007-EBAD-48A5-9277-83F388186C0C}"/>
            </c:ext>
          </c:extLst>
        </c:ser>
        <c:ser>
          <c:idx val="9"/>
          <c:order val="4"/>
          <c:tx>
            <c:strRef>
              <c:f>Projections!$A$89</c:f>
              <c:strCache>
                <c:ptCount val="1"/>
                <c:pt idx="0">
                  <c:v>40-49</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Projections!$G$90:$AF$90</c15:sqref>
                  </c15:fullRef>
                </c:ext>
              </c:extLst>
              <c:f>Projections!$G$90:$T$90</c:f>
              <c:numCache>
                <c:formatCode>#,##0</c:formatCode>
                <c:ptCount val="14"/>
                <c:pt idx="0">
                  <c:v>4.3547937569676691E-3</c:v>
                </c:pt>
                <c:pt idx="1">
                  <c:v>8.7095875139353383E-3</c:v>
                </c:pt>
                <c:pt idx="2">
                  <c:v>1.7419175027870677E-2</c:v>
                </c:pt>
                <c:pt idx="3">
                  <c:v>3.4838350055741353E-2</c:v>
                </c:pt>
                <c:pt idx="4">
                  <c:v>6.9676700111482706E-2</c:v>
                </c:pt>
                <c:pt idx="5">
                  <c:v>0.13935340022296541</c:v>
                </c:pt>
                <c:pt idx="6">
                  <c:v>0.27870680044593082</c:v>
                </c:pt>
                <c:pt idx="7">
                  <c:v>0.55741360089186165</c:v>
                </c:pt>
                <c:pt idx="8">
                  <c:v>0.83612040133779253</c:v>
                </c:pt>
                <c:pt idx="9">
                  <c:v>0.91973244147157185</c:v>
                </c:pt>
                <c:pt idx="10">
                  <c:v>0.97547380156075791</c:v>
                </c:pt>
                <c:pt idx="11">
                  <c:v>1.0312151616499441</c:v>
                </c:pt>
                <c:pt idx="12">
                  <c:v>1.0869565217391304</c:v>
                </c:pt>
                <c:pt idx="13">
                  <c:v>1.1148272017837233</c:v>
                </c:pt>
              </c:numCache>
            </c:numRef>
          </c:val>
          <c:smooth val="0"/>
          <c:extLst>
            <c:ext xmlns:c16="http://schemas.microsoft.com/office/drawing/2014/chart" uri="{C3380CC4-5D6E-409C-BE32-E72D297353CC}">
              <c16:uniqueId val="{00000009-EBAD-48A5-9277-83F388186C0C}"/>
            </c:ext>
          </c:extLst>
        </c:ser>
        <c:ser>
          <c:idx val="11"/>
          <c:order val="5"/>
          <c:tx>
            <c:strRef>
              <c:f>Projections!$A$91</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Projections!$G$92:$AF$92</c15:sqref>
                  </c15:fullRef>
                </c:ext>
              </c:extLst>
              <c:f>Projections!$G$92:$T$92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B-EBAD-48A5-9277-83F388186C0C}"/>
            </c:ext>
          </c:extLst>
        </c:ser>
        <c:ser>
          <c:idx val="13"/>
          <c:order val="6"/>
          <c:tx>
            <c:strRef>
              <c:f>Projections!$A$93</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Projections!$G$94:$AF$94</c15:sqref>
                  </c15:fullRef>
                </c:ext>
              </c:extLst>
              <c:f>Projections!$G$94:$T$94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D-EBAD-48A5-9277-83F388186C0C}"/>
            </c:ext>
          </c:extLst>
        </c:ser>
        <c:ser>
          <c:idx val="15"/>
          <c:order val="7"/>
          <c:tx>
            <c:strRef>
              <c:f>Projections!$A$95</c:f>
              <c:strCache>
                <c:ptCount val="1"/>
                <c:pt idx="0">
                  <c:v>10-19</c:v>
                </c:pt>
              </c:strCache>
            </c:strRef>
          </c:tx>
          <c:spPr>
            <a:ln w="28575" cap="rnd">
              <a:solidFill>
                <a:srgbClr val="92D05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Projections!$G$96:$AF$96</c15:sqref>
                  </c15:fullRef>
                </c:ext>
              </c:extLst>
              <c:f>Projections!$G$96:$T$96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F-EBAD-48A5-9277-83F388186C0C}"/>
            </c:ext>
          </c:extLst>
        </c:ser>
        <c:ser>
          <c:idx val="17"/>
          <c:order val="8"/>
          <c:tx>
            <c:strRef>
              <c:f>Projections!$A$97</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Projections!$G$98:$AF$98</c15:sqref>
                  </c15:fullRef>
                </c:ext>
              </c:extLst>
              <c:f>Projections!$G$98:$T$98</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11-EBAD-48A5-9277-83F388186C0C}"/>
            </c:ext>
          </c:extLst>
        </c:ser>
        <c:dLbls>
          <c:showLegendKey val="0"/>
          <c:showVal val="0"/>
          <c:showCatName val="0"/>
          <c:showSerName val="0"/>
          <c:showPercent val="0"/>
          <c:showBubbleSize val="0"/>
        </c:dLbls>
        <c:smooth val="0"/>
        <c:axId val="677647896"/>
        <c:axId val="677648224"/>
      </c:lineChart>
      <c:dateAx>
        <c:axId val="67764789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8224"/>
        <c:crosses val="autoZero"/>
        <c:auto val="1"/>
        <c:lblOffset val="100"/>
        <c:baseTimeUnit val="days"/>
      </c:dateAx>
      <c:valAx>
        <c:axId val="677648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Cumulative Infections</a:t>
            </a:r>
            <a:r>
              <a:rPr lang="en-AU" baseline="0"/>
              <a:t>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Projections!$A$110</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Projections!$G$110:$AF$110</c15:sqref>
                  </c15:fullRef>
                </c:ext>
              </c:extLst>
              <c:f>Projections!$G$110:$T$110</c:f>
              <c:numCache>
                <c:formatCode>#,##0</c:formatCode>
                <c:ptCount val="14"/>
                <c:pt idx="0">
                  <c:v>3.3125</c:v>
                </c:pt>
                <c:pt idx="1">
                  <c:v>6.625</c:v>
                </c:pt>
                <c:pt idx="2">
                  <c:v>13.25</c:v>
                </c:pt>
                <c:pt idx="3">
                  <c:v>26.5</c:v>
                </c:pt>
                <c:pt idx="4">
                  <c:v>53</c:v>
                </c:pt>
                <c:pt idx="5">
                  <c:v>106</c:v>
                </c:pt>
                <c:pt idx="6">
                  <c:v>212</c:v>
                </c:pt>
                <c:pt idx="7">
                  <c:v>424</c:v>
                </c:pt>
                <c:pt idx="8">
                  <c:v>636</c:v>
                </c:pt>
                <c:pt idx="9">
                  <c:v>699.6</c:v>
                </c:pt>
                <c:pt idx="10">
                  <c:v>742</c:v>
                </c:pt>
                <c:pt idx="11">
                  <c:v>784.4</c:v>
                </c:pt>
                <c:pt idx="12">
                  <c:v>826.8</c:v>
                </c:pt>
                <c:pt idx="13">
                  <c:v>848</c:v>
                </c:pt>
              </c:numCache>
            </c:numRef>
          </c:val>
          <c:smooth val="0"/>
          <c:extLst>
            <c:ext xmlns:c16="http://schemas.microsoft.com/office/drawing/2014/chart" uri="{C3380CC4-5D6E-409C-BE32-E72D297353CC}">
              <c16:uniqueId val="{0000001E-05DD-4DD4-A5B5-12D162507280}"/>
            </c:ext>
          </c:extLst>
        </c:ser>
        <c:ser>
          <c:idx val="4"/>
          <c:order val="1"/>
          <c:tx>
            <c:strRef>
              <c:f>Projections!$A$108</c:f>
              <c:strCache>
                <c:ptCount val="1"/>
                <c:pt idx="0">
                  <c:v>Chronic Respiratory Disease</c:v>
                </c:pt>
              </c:strCache>
            </c:strRef>
          </c:tx>
          <c:spPr>
            <a:ln w="28575" cap="rnd">
              <a:solidFill>
                <a:schemeClr val="accent6">
                  <a:lumMod val="75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Projections!$G$108:$AF$108</c15:sqref>
                  </c15:fullRef>
                </c:ext>
              </c:extLst>
              <c:f>Projections!$G$108:$T$108</c:f>
              <c:numCache>
                <c:formatCode>#,##0</c:formatCode>
                <c:ptCount val="14"/>
                <c:pt idx="0">
                  <c:v>9.6875</c:v>
                </c:pt>
                <c:pt idx="1">
                  <c:v>19.375</c:v>
                </c:pt>
                <c:pt idx="2">
                  <c:v>38.75</c:v>
                </c:pt>
                <c:pt idx="3">
                  <c:v>77.5</c:v>
                </c:pt>
                <c:pt idx="4">
                  <c:v>155</c:v>
                </c:pt>
                <c:pt idx="5">
                  <c:v>310</c:v>
                </c:pt>
                <c:pt idx="6">
                  <c:v>620</c:v>
                </c:pt>
                <c:pt idx="7">
                  <c:v>1240</c:v>
                </c:pt>
                <c:pt idx="8">
                  <c:v>1860</c:v>
                </c:pt>
                <c:pt idx="9">
                  <c:v>2046</c:v>
                </c:pt>
                <c:pt idx="10">
                  <c:v>2170</c:v>
                </c:pt>
                <c:pt idx="11">
                  <c:v>2294</c:v>
                </c:pt>
                <c:pt idx="12">
                  <c:v>2418</c:v>
                </c:pt>
                <c:pt idx="13">
                  <c:v>2480</c:v>
                </c:pt>
              </c:numCache>
            </c:numRef>
          </c:val>
          <c:smooth val="0"/>
          <c:extLst>
            <c:ext xmlns:c16="http://schemas.microsoft.com/office/drawing/2014/chart" uri="{C3380CC4-5D6E-409C-BE32-E72D297353CC}">
              <c16:uniqueId val="{0000001C-05DD-4DD4-A5B5-12D162507280}"/>
            </c:ext>
          </c:extLst>
        </c:ser>
        <c:ser>
          <c:idx val="10"/>
          <c:order val="2"/>
          <c:tx>
            <c:strRef>
              <c:f>Projections!$A$114</c:f>
              <c:strCache>
                <c:ptCount val="1"/>
                <c:pt idx="0">
                  <c:v>Smoking</c:v>
                </c:pt>
              </c:strCache>
            </c:strRef>
          </c:tx>
          <c:spPr>
            <a:ln w="28575" cap="rnd">
              <a:solidFill>
                <a:schemeClr val="accent4">
                  <a:lumMod val="8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Projections!$G$114:$AF$114</c15:sqref>
                  </c15:fullRef>
                </c:ext>
              </c:extLst>
              <c:f>Projections!$G$114:$T$114</c:f>
              <c:numCache>
                <c:formatCode>#,##0</c:formatCode>
                <c:ptCount val="14"/>
                <c:pt idx="0">
                  <c:v>4.75</c:v>
                </c:pt>
                <c:pt idx="1">
                  <c:v>9.5</c:v>
                </c:pt>
                <c:pt idx="2">
                  <c:v>19</c:v>
                </c:pt>
                <c:pt idx="3">
                  <c:v>38</c:v>
                </c:pt>
                <c:pt idx="4">
                  <c:v>76</c:v>
                </c:pt>
                <c:pt idx="5">
                  <c:v>152</c:v>
                </c:pt>
                <c:pt idx="6">
                  <c:v>304</c:v>
                </c:pt>
                <c:pt idx="7">
                  <c:v>608</c:v>
                </c:pt>
                <c:pt idx="8">
                  <c:v>912</c:v>
                </c:pt>
                <c:pt idx="9">
                  <c:v>1003.1999999999999</c:v>
                </c:pt>
                <c:pt idx="10">
                  <c:v>1064</c:v>
                </c:pt>
                <c:pt idx="11">
                  <c:v>1124.8</c:v>
                </c:pt>
                <c:pt idx="12">
                  <c:v>1185.5999999999999</c:v>
                </c:pt>
                <c:pt idx="13">
                  <c:v>1216</c:v>
                </c:pt>
              </c:numCache>
            </c:numRef>
          </c:val>
          <c:smooth val="0"/>
          <c:extLst>
            <c:ext xmlns:c16="http://schemas.microsoft.com/office/drawing/2014/chart" uri="{C3380CC4-5D6E-409C-BE32-E72D297353CC}">
              <c16:uniqueId val="{00000022-05DD-4DD4-A5B5-12D162507280}"/>
            </c:ext>
          </c:extLst>
        </c:ser>
        <c:ser>
          <c:idx val="0"/>
          <c:order val="3"/>
          <c:tx>
            <c:strRef>
              <c:f>Projections!$A$104</c:f>
              <c:strCache>
                <c:ptCount val="1"/>
                <c:pt idx="0">
                  <c:v>Cardiovascular Disease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Projections!$G$104:$AF$104</c15:sqref>
                  </c15:fullRef>
                </c:ext>
              </c:extLst>
              <c:f>Projections!$G$104:$T$104</c:f>
              <c:numCache>
                <c:formatCode>#,##0</c:formatCode>
                <c:ptCount val="14"/>
                <c:pt idx="0">
                  <c:v>1.5625</c:v>
                </c:pt>
                <c:pt idx="1">
                  <c:v>3.125</c:v>
                </c:pt>
                <c:pt idx="2">
                  <c:v>6.25</c:v>
                </c:pt>
                <c:pt idx="3">
                  <c:v>12.5</c:v>
                </c:pt>
                <c:pt idx="4">
                  <c:v>25</c:v>
                </c:pt>
                <c:pt idx="5">
                  <c:v>50</c:v>
                </c:pt>
                <c:pt idx="6">
                  <c:v>100</c:v>
                </c:pt>
                <c:pt idx="7">
                  <c:v>200</c:v>
                </c:pt>
                <c:pt idx="8">
                  <c:v>300</c:v>
                </c:pt>
                <c:pt idx="9">
                  <c:v>330</c:v>
                </c:pt>
                <c:pt idx="10">
                  <c:v>350</c:v>
                </c:pt>
                <c:pt idx="11">
                  <c:v>370</c:v>
                </c:pt>
                <c:pt idx="12">
                  <c:v>390</c:v>
                </c:pt>
                <c:pt idx="13">
                  <c:v>400</c:v>
                </c:pt>
              </c:numCache>
            </c:numRef>
          </c:val>
          <c:smooth val="0"/>
          <c:extLst>
            <c:ext xmlns:c16="http://schemas.microsoft.com/office/drawing/2014/chart" uri="{C3380CC4-5D6E-409C-BE32-E72D297353CC}">
              <c16:uniqueId val="{00000018-05DD-4DD4-A5B5-12D162507280}"/>
            </c:ext>
          </c:extLst>
        </c:ser>
        <c:ser>
          <c:idx val="2"/>
          <c:order val="4"/>
          <c:tx>
            <c:strRef>
              <c:f>Projections!$A$106</c:f>
              <c:strCache>
                <c:ptCount val="1"/>
                <c:pt idx="0">
                  <c:v>Diabetes</c:v>
                </c:pt>
              </c:strCache>
            </c:strRef>
          </c:tx>
          <c:spPr>
            <a:ln w="28575" cap="rnd">
              <a:solidFill>
                <a:schemeClr val="accent2">
                  <a:lumMod val="75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Projections!$G$106:$AF$106</c15:sqref>
                  </c15:fullRef>
                </c:ext>
              </c:extLst>
              <c:f>Projections!$G$106:$T$106</c:f>
              <c:numCache>
                <c:formatCode>#,##0</c:formatCode>
                <c:ptCount val="14"/>
                <c:pt idx="0">
                  <c:v>1.53125</c:v>
                </c:pt>
                <c:pt idx="1">
                  <c:v>3.0625</c:v>
                </c:pt>
                <c:pt idx="2">
                  <c:v>6.125</c:v>
                </c:pt>
                <c:pt idx="3">
                  <c:v>12.25</c:v>
                </c:pt>
                <c:pt idx="4">
                  <c:v>24.5</c:v>
                </c:pt>
                <c:pt idx="5">
                  <c:v>49</c:v>
                </c:pt>
                <c:pt idx="6">
                  <c:v>98</c:v>
                </c:pt>
                <c:pt idx="7">
                  <c:v>196</c:v>
                </c:pt>
                <c:pt idx="8">
                  <c:v>294</c:v>
                </c:pt>
                <c:pt idx="9">
                  <c:v>323.40000000000003</c:v>
                </c:pt>
                <c:pt idx="10">
                  <c:v>343</c:v>
                </c:pt>
                <c:pt idx="11">
                  <c:v>362.6</c:v>
                </c:pt>
                <c:pt idx="12">
                  <c:v>382.2</c:v>
                </c:pt>
                <c:pt idx="13">
                  <c:v>392</c:v>
                </c:pt>
              </c:numCache>
            </c:numRef>
          </c:val>
          <c:smooth val="0"/>
          <c:extLst>
            <c:ext xmlns:c16="http://schemas.microsoft.com/office/drawing/2014/chart" uri="{C3380CC4-5D6E-409C-BE32-E72D297353CC}">
              <c16:uniqueId val="{0000001A-05DD-4DD4-A5B5-12D162507280}"/>
            </c:ext>
          </c:extLst>
        </c:ser>
        <c:ser>
          <c:idx val="8"/>
          <c:order val="5"/>
          <c:tx>
            <c:strRef>
              <c:f>Projections!$A$112</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Projections!$G$112:$AF$112</c15:sqref>
                  </c15:fullRef>
                </c:ext>
              </c:extLst>
              <c:f>Projections!$G$112:$T$112</c:f>
              <c:numCache>
                <c:formatCode>#,##0</c:formatCode>
                <c:ptCount val="14"/>
                <c:pt idx="0">
                  <c:v>0.5625</c:v>
                </c:pt>
                <c:pt idx="1">
                  <c:v>1.125</c:v>
                </c:pt>
                <c:pt idx="2">
                  <c:v>2.25</c:v>
                </c:pt>
                <c:pt idx="3">
                  <c:v>4.5</c:v>
                </c:pt>
                <c:pt idx="4">
                  <c:v>9</c:v>
                </c:pt>
                <c:pt idx="5">
                  <c:v>18</c:v>
                </c:pt>
                <c:pt idx="6">
                  <c:v>36</c:v>
                </c:pt>
                <c:pt idx="7">
                  <c:v>72</c:v>
                </c:pt>
                <c:pt idx="8">
                  <c:v>107.99999999999999</c:v>
                </c:pt>
                <c:pt idx="9">
                  <c:v>118.8</c:v>
                </c:pt>
                <c:pt idx="10">
                  <c:v>125.99999999999999</c:v>
                </c:pt>
                <c:pt idx="11">
                  <c:v>133.19999999999999</c:v>
                </c:pt>
                <c:pt idx="12">
                  <c:v>140.39999999999998</c:v>
                </c:pt>
                <c:pt idx="13">
                  <c:v>144</c:v>
                </c:pt>
              </c:numCache>
            </c:numRef>
          </c:val>
          <c:smooth val="0"/>
          <c:extLst>
            <c:ext xmlns:c16="http://schemas.microsoft.com/office/drawing/2014/chart" uri="{C3380CC4-5D6E-409C-BE32-E72D297353CC}">
              <c16:uniqueId val="{00000020-05DD-4DD4-A5B5-12D162507280}"/>
            </c:ext>
          </c:extLst>
        </c:ser>
        <c:dLbls>
          <c:showLegendKey val="0"/>
          <c:showVal val="0"/>
          <c:showCatName val="0"/>
          <c:showSerName val="0"/>
          <c:showPercent val="0"/>
          <c:showBubbleSize val="0"/>
        </c:dLbls>
        <c:smooth val="0"/>
        <c:axId val="672865256"/>
        <c:axId val="672864272"/>
      </c:lineChart>
      <c:dateAx>
        <c:axId val="6728652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4272"/>
        <c:crosses val="autoZero"/>
        <c:auto val="1"/>
        <c:lblOffset val="100"/>
        <c:baseTimeUnit val="days"/>
      </c:dateAx>
      <c:valAx>
        <c:axId val="672864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0"/>
          <c:tx>
            <c:strRef>
              <c:f>Projections!$A$110</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Projections!$G$111:$AF$111</c15:sqref>
                  </c15:fullRef>
                </c:ext>
              </c:extLst>
              <c:f>Projections!$G$111:$T$111</c:f>
              <c:numCache>
                <c:formatCode>#,##0</c:formatCode>
                <c:ptCount val="14"/>
                <c:pt idx="0">
                  <c:v>0.19874999999999998</c:v>
                </c:pt>
                <c:pt idx="1">
                  <c:v>0.39749999999999996</c:v>
                </c:pt>
                <c:pt idx="2">
                  <c:v>0.79499999999999993</c:v>
                </c:pt>
                <c:pt idx="3">
                  <c:v>1.5899999999999999</c:v>
                </c:pt>
                <c:pt idx="4">
                  <c:v>3.1799999999999997</c:v>
                </c:pt>
                <c:pt idx="5">
                  <c:v>6.3599999999999994</c:v>
                </c:pt>
                <c:pt idx="6">
                  <c:v>12.719999999999999</c:v>
                </c:pt>
                <c:pt idx="7">
                  <c:v>25.439999999999998</c:v>
                </c:pt>
                <c:pt idx="8">
                  <c:v>38.159999999999997</c:v>
                </c:pt>
                <c:pt idx="9">
                  <c:v>41.975999999999999</c:v>
                </c:pt>
                <c:pt idx="10">
                  <c:v>44.519999999999996</c:v>
                </c:pt>
                <c:pt idx="11">
                  <c:v>47.064</c:v>
                </c:pt>
                <c:pt idx="12">
                  <c:v>49.607999999999997</c:v>
                </c:pt>
                <c:pt idx="13">
                  <c:v>50.879999999999995</c:v>
                </c:pt>
              </c:numCache>
            </c:numRef>
          </c:val>
          <c:smooth val="0"/>
          <c:extLst>
            <c:ext xmlns:c16="http://schemas.microsoft.com/office/drawing/2014/chart" uri="{C3380CC4-5D6E-409C-BE32-E72D297353CC}">
              <c16:uniqueId val="{00000007-65B4-47F9-9B97-64FB989C8893}"/>
            </c:ext>
          </c:extLst>
        </c:ser>
        <c:ser>
          <c:idx val="5"/>
          <c:order val="1"/>
          <c:tx>
            <c:strRef>
              <c:f>Projections!$A$108</c:f>
              <c:strCache>
                <c:ptCount val="1"/>
                <c:pt idx="0">
                  <c:v>Chronic Respiratory Disease</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Projections!$G$109:$AF$109</c15:sqref>
                  </c15:fullRef>
                </c:ext>
              </c:extLst>
              <c:f>Projections!$G$109:$T$109</c:f>
              <c:numCache>
                <c:formatCode>#,##0</c:formatCode>
                <c:ptCount val="14"/>
                <c:pt idx="0">
                  <c:v>0.61031250000000004</c:v>
                </c:pt>
                <c:pt idx="1">
                  <c:v>1.2206250000000001</c:v>
                </c:pt>
                <c:pt idx="2">
                  <c:v>2.4412500000000001</c:v>
                </c:pt>
                <c:pt idx="3">
                  <c:v>4.8825000000000003</c:v>
                </c:pt>
                <c:pt idx="4">
                  <c:v>9.7650000000000006</c:v>
                </c:pt>
                <c:pt idx="5">
                  <c:v>19.53</c:v>
                </c:pt>
                <c:pt idx="6">
                  <c:v>39.06</c:v>
                </c:pt>
                <c:pt idx="7">
                  <c:v>78.12</c:v>
                </c:pt>
                <c:pt idx="8">
                  <c:v>117.18</c:v>
                </c:pt>
                <c:pt idx="9">
                  <c:v>128.898</c:v>
                </c:pt>
                <c:pt idx="10">
                  <c:v>136.71</c:v>
                </c:pt>
                <c:pt idx="11">
                  <c:v>144.52199999999999</c:v>
                </c:pt>
                <c:pt idx="12">
                  <c:v>152.334</c:v>
                </c:pt>
                <c:pt idx="13">
                  <c:v>156.24</c:v>
                </c:pt>
              </c:numCache>
            </c:numRef>
          </c:val>
          <c:smooth val="0"/>
          <c:extLst>
            <c:ext xmlns:c16="http://schemas.microsoft.com/office/drawing/2014/chart" uri="{C3380CC4-5D6E-409C-BE32-E72D297353CC}">
              <c16:uniqueId val="{00000005-65B4-47F9-9B97-64FB989C8893}"/>
            </c:ext>
          </c:extLst>
        </c:ser>
        <c:ser>
          <c:idx val="1"/>
          <c:order val="2"/>
          <c:tx>
            <c:strRef>
              <c:f>Projections!$A$104</c:f>
              <c:strCache>
                <c:ptCount val="1"/>
                <c:pt idx="0">
                  <c:v>Cardiovascular Disease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Projections!$G$105:$AF$105</c15:sqref>
                  </c15:fullRef>
                </c:ext>
              </c:extLst>
              <c:f>Projections!$G$105:$T$105</c:f>
              <c:numCache>
                <c:formatCode>#,##0</c:formatCode>
                <c:ptCount val="14"/>
                <c:pt idx="0">
                  <c:v>0.1640625</c:v>
                </c:pt>
                <c:pt idx="1">
                  <c:v>0.328125</c:v>
                </c:pt>
                <c:pt idx="2">
                  <c:v>0.65625</c:v>
                </c:pt>
                <c:pt idx="3">
                  <c:v>1.3125</c:v>
                </c:pt>
                <c:pt idx="4">
                  <c:v>2.625</c:v>
                </c:pt>
                <c:pt idx="5">
                  <c:v>5.25</c:v>
                </c:pt>
                <c:pt idx="6">
                  <c:v>10.5</c:v>
                </c:pt>
                <c:pt idx="7">
                  <c:v>21</c:v>
                </c:pt>
                <c:pt idx="8">
                  <c:v>31.5</c:v>
                </c:pt>
                <c:pt idx="9">
                  <c:v>34.65</c:v>
                </c:pt>
                <c:pt idx="10">
                  <c:v>36.75</c:v>
                </c:pt>
                <c:pt idx="11">
                  <c:v>38.85</c:v>
                </c:pt>
                <c:pt idx="12">
                  <c:v>40.949999999999996</c:v>
                </c:pt>
                <c:pt idx="13">
                  <c:v>42</c:v>
                </c:pt>
              </c:numCache>
            </c:numRef>
          </c:val>
          <c:smooth val="0"/>
          <c:extLst>
            <c:ext xmlns:c16="http://schemas.microsoft.com/office/drawing/2014/chart" uri="{C3380CC4-5D6E-409C-BE32-E72D297353CC}">
              <c16:uniqueId val="{00000001-65B4-47F9-9B97-64FB989C8893}"/>
            </c:ext>
          </c:extLst>
        </c:ser>
        <c:ser>
          <c:idx val="3"/>
          <c:order val="3"/>
          <c:tx>
            <c:strRef>
              <c:f>Projections!$A$106</c:f>
              <c:strCache>
                <c:ptCount val="1"/>
                <c:pt idx="0">
                  <c:v>Diabetes</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Projections!$G$107:$AF$107</c15:sqref>
                  </c15:fullRef>
                </c:ext>
              </c:extLst>
              <c:f>Projections!$G$107:$T$107</c:f>
              <c:numCache>
                <c:formatCode>#,##0</c:formatCode>
                <c:ptCount val="14"/>
                <c:pt idx="0">
                  <c:v>0.11178125</c:v>
                </c:pt>
                <c:pt idx="1">
                  <c:v>0.2235625</c:v>
                </c:pt>
                <c:pt idx="2">
                  <c:v>0.44712499999999999</c:v>
                </c:pt>
                <c:pt idx="3">
                  <c:v>0.89424999999999999</c:v>
                </c:pt>
                <c:pt idx="4">
                  <c:v>1.7885</c:v>
                </c:pt>
                <c:pt idx="5">
                  <c:v>3.577</c:v>
                </c:pt>
                <c:pt idx="6">
                  <c:v>7.1539999999999999</c:v>
                </c:pt>
                <c:pt idx="7">
                  <c:v>14.308</c:v>
                </c:pt>
                <c:pt idx="8">
                  <c:v>21.462</c:v>
                </c:pt>
                <c:pt idx="9">
                  <c:v>23.6082</c:v>
                </c:pt>
                <c:pt idx="10">
                  <c:v>25.038999999999998</c:v>
                </c:pt>
                <c:pt idx="11">
                  <c:v>26.469799999999999</c:v>
                </c:pt>
                <c:pt idx="12">
                  <c:v>27.900599999999997</c:v>
                </c:pt>
                <c:pt idx="13">
                  <c:v>28.616</c:v>
                </c:pt>
              </c:numCache>
            </c:numRef>
          </c:val>
          <c:smooth val="0"/>
          <c:extLst>
            <c:ext xmlns:c16="http://schemas.microsoft.com/office/drawing/2014/chart" uri="{C3380CC4-5D6E-409C-BE32-E72D297353CC}">
              <c16:uniqueId val="{00000003-65B4-47F9-9B97-64FB989C8893}"/>
            </c:ext>
          </c:extLst>
        </c:ser>
        <c:ser>
          <c:idx val="9"/>
          <c:order val="4"/>
          <c:tx>
            <c:strRef>
              <c:f>Projections!$A$112</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Projections!$G$113:$AF$113</c15:sqref>
                  </c15:fullRef>
                </c:ext>
              </c:extLst>
              <c:f>Projections!$G$113:$T$113</c:f>
              <c:numCache>
                <c:formatCode>#,##0</c:formatCode>
                <c:ptCount val="14"/>
                <c:pt idx="0">
                  <c:v>3.15E-2</c:v>
                </c:pt>
                <c:pt idx="1">
                  <c:v>6.3E-2</c:v>
                </c:pt>
                <c:pt idx="2">
                  <c:v>0.126</c:v>
                </c:pt>
                <c:pt idx="3">
                  <c:v>0.252</c:v>
                </c:pt>
                <c:pt idx="4">
                  <c:v>0.504</c:v>
                </c:pt>
                <c:pt idx="5">
                  <c:v>1.008</c:v>
                </c:pt>
                <c:pt idx="6">
                  <c:v>2.016</c:v>
                </c:pt>
                <c:pt idx="7">
                  <c:v>4.032</c:v>
                </c:pt>
                <c:pt idx="8">
                  <c:v>6.0479999999999992</c:v>
                </c:pt>
                <c:pt idx="9">
                  <c:v>6.6528</c:v>
                </c:pt>
                <c:pt idx="10">
                  <c:v>7.0559999999999992</c:v>
                </c:pt>
                <c:pt idx="11">
                  <c:v>7.4591999999999992</c:v>
                </c:pt>
                <c:pt idx="12">
                  <c:v>7.8623999999999992</c:v>
                </c:pt>
                <c:pt idx="13">
                  <c:v>8.0640000000000001</c:v>
                </c:pt>
              </c:numCache>
            </c:numRef>
          </c:val>
          <c:smooth val="0"/>
          <c:extLst>
            <c:ext xmlns:c16="http://schemas.microsoft.com/office/drawing/2014/chart" uri="{C3380CC4-5D6E-409C-BE32-E72D297353CC}">
              <c16:uniqueId val="{00000009-65B4-47F9-9B97-64FB989C8893}"/>
            </c:ext>
          </c:extLst>
        </c:ser>
        <c:dLbls>
          <c:showLegendKey val="0"/>
          <c:showVal val="0"/>
          <c:showCatName val="0"/>
          <c:showSerName val="0"/>
          <c:showPercent val="0"/>
          <c:showBubbleSize val="0"/>
        </c:dLbls>
        <c:smooth val="0"/>
        <c:axId val="591031856"/>
        <c:axId val="591030544"/>
      </c:lineChart>
      <c:dateAx>
        <c:axId val="591031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0544"/>
        <c:crosses val="autoZero"/>
        <c:auto val="1"/>
        <c:lblOffset val="100"/>
        <c:baseTimeUnit val="days"/>
      </c:dateAx>
      <c:valAx>
        <c:axId val="591030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 Actual Infection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Projections!$A$49</c:f>
              <c:strCache>
                <c:ptCount val="1"/>
                <c:pt idx="0">
                  <c:v>Projected Detected Population Infected</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Projections!$G$49:$AF$49</c15:sqref>
                  </c15:fullRef>
                </c:ext>
              </c:extLst>
              <c:f>Projections!$G$49:$T$49</c:f>
              <c:numCache>
                <c:formatCode>#,##0_ ;[Red]\-#,##0\ </c:formatCode>
                <c:ptCount val="14"/>
                <c:pt idx="0">
                  <c:v>31.25</c:v>
                </c:pt>
                <c:pt idx="1">
                  <c:v>62.5</c:v>
                </c:pt>
                <c:pt idx="2">
                  <c:v>125</c:v>
                </c:pt>
                <c:pt idx="3">
                  <c:v>250</c:v>
                </c:pt>
                <c:pt idx="4">
                  <c:v>500</c:v>
                </c:pt>
                <c:pt idx="5">
                  <c:v>1000</c:v>
                </c:pt>
                <c:pt idx="6">
                  <c:v>2000</c:v>
                </c:pt>
                <c:pt idx="7">
                  <c:v>4000</c:v>
                </c:pt>
                <c:pt idx="8">
                  <c:v>6000</c:v>
                </c:pt>
                <c:pt idx="9">
                  <c:v>6600</c:v>
                </c:pt>
                <c:pt idx="10">
                  <c:v>7000</c:v>
                </c:pt>
                <c:pt idx="11">
                  <c:v>7400</c:v>
                </c:pt>
                <c:pt idx="12">
                  <c:v>7800</c:v>
                </c:pt>
                <c:pt idx="13">
                  <c:v>8000</c:v>
                </c:pt>
              </c:numCache>
            </c:numRef>
          </c:val>
          <c:smooth val="0"/>
          <c:extLst>
            <c:ext xmlns:c16="http://schemas.microsoft.com/office/drawing/2014/chart" uri="{C3380CC4-5D6E-409C-BE32-E72D297353CC}">
              <c16:uniqueId val="{00000004-8BCC-427B-903C-670C749E04E9}"/>
            </c:ext>
          </c:extLst>
        </c:ser>
        <c:ser>
          <c:idx val="1"/>
          <c:order val="1"/>
          <c:tx>
            <c:strRef>
              <c:f>Projections!$A$73</c:f>
              <c:strCache>
                <c:ptCount val="1"/>
                <c:pt idx="0">
                  <c:v>Actual Confirmed Infections</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Projections!$G$73:$AF$73</c15:sqref>
                  </c15:fullRef>
                </c:ext>
              </c:extLst>
              <c:f>Projections!$G$73:$T$73</c:f>
              <c:numCache>
                <c:formatCode>General</c:formatCode>
                <c:ptCount val="14"/>
                <c:pt idx="0">
                  <c:v>33</c:v>
                </c:pt>
                <c:pt idx="1">
                  <c:v>63</c:v>
                </c:pt>
                <c:pt idx="2" formatCode="#,##0">
                  <c:v>116</c:v>
                </c:pt>
                <c:pt idx="3" formatCode="#,##0">
                  <c:v>248</c:v>
                </c:pt>
                <c:pt idx="4" formatCode="#,##0">
                  <c:v>596</c:v>
                </c:pt>
                <c:pt idx="5" formatCode="#,##0">
                  <c:v>1072</c:v>
                </c:pt>
                <c:pt idx="6" formatCode="#,##0">
                  <c:v>2317</c:v>
                </c:pt>
                <c:pt idx="7" formatCode="#,##0">
                  <c:v>4163</c:v>
                </c:pt>
                <c:pt idx="8" formatCode="#,##0">
                  <c:v>6052</c:v>
                </c:pt>
                <c:pt idx="9" formatCode="#,##0">
                  <c:v>6612</c:v>
                </c:pt>
                <c:pt idx="10" formatCode="#,##0">
                  <c:v>7019</c:v>
                </c:pt>
                <c:pt idx="11" formatCode="#,##0">
                  <c:v>7409</c:v>
                </c:pt>
                <c:pt idx="12" formatCode="#,##0">
                  <c:v>7800</c:v>
                </c:pt>
                <c:pt idx="13" formatCode="#,##0">
                  <c:v>8000</c:v>
                </c:pt>
              </c:numCache>
            </c:numRef>
          </c:val>
          <c:smooth val="0"/>
          <c:extLst>
            <c:ext xmlns:c16="http://schemas.microsoft.com/office/drawing/2014/chart" uri="{C3380CC4-5D6E-409C-BE32-E72D297353CC}">
              <c16:uniqueId val="{00000005-8BCC-427B-903C-670C749E04E9}"/>
            </c:ext>
          </c:extLst>
        </c:ser>
        <c:dLbls>
          <c:showLegendKey val="0"/>
          <c:showVal val="0"/>
          <c:showCatName val="0"/>
          <c:showSerName val="0"/>
          <c:showPercent val="0"/>
          <c:showBubbleSize val="0"/>
        </c:dLbls>
        <c:smooth val="0"/>
        <c:axId val="602767304"/>
        <c:axId val="602767632"/>
      </c:lineChart>
      <c:dateAx>
        <c:axId val="6027673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632"/>
        <c:crosses val="autoZero"/>
        <c:auto val="1"/>
        <c:lblOffset val="100"/>
        <c:baseTimeUnit val="days"/>
      </c:dateAx>
      <c:valAx>
        <c:axId val="602767632"/>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a:t>
            </a:r>
            <a:r>
              <a:rPr lang="en-AU" baseline="0"/>
              <a:t> Actual Mortality Rates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Projections!$A$63</c:f>
              <c:strCache>
                <c:ptCount val="1"/>
                <c:pt idx="0">
                  <c:v>Projected Cumulative Mortality Count (future projection)</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Projections!$G$63:$AF$63</c15:sqref>
                  </c15:fullRef>
                </c:ext>
              </c:extLst>
              <c:f>Projections!$G$63:$T$63</c:f>
              <c:numCache>
                <c:formatCode>#,##0_ ;[Red]\-#,##0\ </c:formatCode>
                <c:ptCount val="14"/>
                <c:pt idx="0">
                  <c:v>0.43124999999999997</c:v>
                </c:pt>
                <c:pt idx="1">
                  <c:v>0.86249999999999993</c:v>
                </c:pt>
                <c:pt idx="2">
                  <c:v>1.7249999999999999</c:v>
                </c:pt>
                <c:pt idx="3">
                  <c:v>3.4499999999999997</c:v>
                </c:pt>
                <c:pt idx="4">
                  <c:v>6.8999999999999995</c:v>
                </c:pt>
                <c:pt idx="5">
                  <c:v>13.799999999999999</c:v>
                </c:pt>
                <c:pt idx="6">
                  <c:v>27.599999999999998</c:v>
                </c:pt>
                <c:pt idx="7">
                  <c:v>55.199999999999996</c:v>
                </c:pt>
                <c:pt idx="8">
                  <c:v>82.8</c:v>
                </c:pt>
                <c:pt idx="9">
                  <c:v>91.08</c:v>
                </c:pt>
                <c:pt idx="10">
                  <c:v>96.6</c:v>
                </c:pt>
                <c:pt idx="11">
                  <c:v>102.12</c:v>
                </c:pt>
                <c:pt idx="12">
                  <c:v>107.64</c:v>
                </c:pt>
                <c:pt idx="13">
                  <c:v>110.39999999999999</c:v>
                </c:pt>
              </c:numCache>
            </c:numRef>
          </c:val>
          <c:smooth val="0"/>
          <c:extLst>
            <c:ext xmlns:c16="http://schemas.microsoft.com/office/drawing/2014/chart" uri="{C3380CC4-5D6E-409C-BE32-E72D297353CC}">
              <c16:uniqueId val="{00000000-50BE-40C1-B679-81AF0BCE3FCD}"/>
            </c:ext>
          </c:extLst>
        </c:ser>
        <c:ser>
          <c:idx val="1"/>
          <c:order val="1"/>
          <c:tx>
            <c:strRef>
              <c:f>Projections!$A$77</c:f>
              <c:strCache>
                <c:ptCount val="1"/>
                <c:pt idx="0">
                  <c:v>Actual Mortality Count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Projections!$G$77:$AF$77</c15:sqref>
                  </c15:fullRef>
                </c:ext>
              </c:extLst>
              <c:f>Projections!$G$77:$T$77</c:f>
              <c:numCache>
                <c:formatCode>General</c:formatCode>
                <c:ptCount val="14"/>
                <c:pt idx="0">
                  <c:v>1</c:v>
                </c:pt>
                <c:pt idx="1">
                  <c:v>2</c:v>
                </c:pt>
                <c:pt idx="2" formatCode="#,##0">
                  <c:v>3</c:v>
                </c:pt>
                <c:pt idx="3" formatCode="#,##0">
                  <c:v>5</c:v>
                </c:pt>
                <c:pt idx="4" formatCode="#,##0">
                  <c:v>6</c:v>
                </c:pt>
                <c:pt idx="5" formatCode="#,##0">
                  <c:v>7</c:v>
                </c:pt>
                <c:pt idx="6" formatCode="#,##0">
                  <c:v>8</c:v>
                </c:pt>
                <c:pt idx="7" formatCode="#,##0">
                  <c:v>16</c:v>
                </c:pt>
                <c:pt idx="8" formatCode="#,##0">
                  <c:v>50</c:v>
                </c:pt>
                <c:pt idx="9" formatCode="#,##0">
                  <c:v>71</c:v>
                </c:pt>
                <c:pt idx="10" formatCode="#,##0">
                  <c:v>98</c:v>
                </c:pt>
                <c:pt idx="11" formatCode="#,##0">
                  <c:v>102</c:v>
                </c:pt>
                <c:pt idx="12" formatCode="#,##0">
                  <c:v>102</c:v>
                </c:pt>
              </c:numCache>
            </c:numRef>
          </c:val>
          <c:smooth val="0"/>
          <c:extLst>
            <c:ext xmlns:c16="http://schemas.microsoft.com/office/drawing/2014/chart" uri="{C3380CC4-5D6E-409C-BE32-E72D297353CC}">
              <c16:uniqueId val="{00000001-50BE-40C1-B679-81AF0BCE3FCD}"/>
            </c:ext>
          </c:extLst>
        </c:ser>
        <c:dLbls>
          <c:showLegendKey val="0"/>
          <c:showVal val="0"/>
          <c:showCatName val="0"/>
          <c:showSerName val="0"/>
          <c:showPercent val="0"/>
          <c:showBubbleSize val="0"/>
        </c:dLbls>
        <c:smooth val="0"/>
        <c:axId val="606292128"/>
        <c:axId val="230337920"/>
      </c:lineChart>
      <c:dateAx>
        <c:axId val="606292128"/>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37920"/>
        <c:crosses val="autoZero"/>
        <c:auto val="1"/>
        <c:lblOffset val="100"/>
        <c:baseTimeUnit val="days"/>
      </c:dateAx>
      <c:valAx>
        <c:axId val="230337920"/>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Hospitalisation Numbers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688864268909969E-2"/>
          <c:y val="0.16402429427241846"/>
          <c:w val="0.54877376992928728"/>
          <c:h val="0.66019671368499344"/>
        </c:manualLayout>
      </c:layout>
      <c:lineChart>
        <c:grouping val="standard"/>
        <c:varyColors val="0"/>
        <c:ser>
          <c:idx val="3"/>
          <c:order val="0"/>
          <c:tx>
            <c:strRef>
              <c:f>Projections!$A$59</c:f>
              <c:strCache>
                <c:ptCount val="1"/>
                <c:pt idx="0">
                  <c:v>Cumulative Severe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Projections!$G$59:$AF$59</c15:sqref>
                  </c15:fullRef>
                </c:ext>
              </c:extLst>
              <c:f>Projections!$G$59:$T$59</c:f>
              <c:numCache>
                <c:formatCode>#,##0_ ;[Red]\-#,##0\ </c:formatCode>
                <c:ptCount val="14"/>
                <c:pt idx="0">
                  <c:v>1.3624403770173663</c:v>
                </c:pt>
                <c:pt idx="1">
                  <c:v>1.9882966234408881</c:v>
                </c:pt>
                <c:pt idx="2">
                  <c:v>2.7477734693782825</c:v>
                </c:pt>
                <c:pt idx="3">
                  <c:v>5.6101344648732603</c:v>
                </c:pt>
                <c:pt idx="4">
                  <c:v>10.283171151388096</c:v>
                </c:pt>
                <c:pt idx="5">
                  <c:v>18.787878787878775</c:v>
                </c:pt>
                <c:pt idx="6">
                  <c:v>31.107290494170176</c:v>
                </c:pt>
                <c:pt idx="7">
                  <c:v>97.540056745390302</c:v>
                </c:pt>
                <c:pt idx="8">
                  <c:v>574.77618799654329</c:v>
                </c:pt>
                <c:pt idx="9">
                  <c:v>859.05698537255921</c:v>
                </c:pt>
                <c:pt idx="10">
                  <c:v>3648.0224340846935</c:v>
                </c:pt>
                <c:pt idx="11">
                  <c:v>4217.9293984147635</c:v>
                </c:pt>
                <c:pt idx="12">
                  <c:v>1102.9505029517011</c:v>
                </c:pt>
                <c:pt idx="13">
                  <c:v>713.45778394840875</c:v>
                </c:pt>
              </c:numCache>
            </c:numRef>
          </c:val>
          <c:smooth val="0"/>
          <c:extLst>
            <c:ext xmlns:c16="http://schemas.microsoft.com/office/drawing/2014/chart" uri="{C3380CC4-5D6E-409C-BE32-E72D297353CC}">
              <c16:uniqueId val="{00000000-A3C2-4B4C-996C-CDB1A252886F}"/>
            </c:ext>
          </c:extLst>
        </c:ser>
        <c:ser>
          <c:idx val="2"/>
          <c:order val="1"/>
          <c:tx>
            <c:strRef>
              <c:f>Projections!$A$60</c:f>
              <c:strCache>
                <c:ptCount val="1"/>
                <c:pt idx="0">
                  <c:v>Number active Severe</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Projections!$G$60:$AF$60</c15:sqref>
                  </c15:fullRef>
                </c:ext>
              </c:extLst>
              <c:f>Projections!$G$60:$T$60</c:f>
              <c:numCache>
                <c:formatCode>#,##0_ ;[Red]\-#,##0\ </c:formatCode>
                <c:ptCount val="14"/>
                <c:pt idx="0">
                  <c:v>1.3624403770173663</c:v>
                </c:pt>
                <c:pt idx="1">
                  <c:v>1.9882966234408881</c:v>
                </c:pt>
                <c:pt idx="2">
                  <c:v>2.7477734693782825</c:v>
                </c:pt>
                <c:pt idx="3">
                  <c:v>5.6101344648732603</c:v>
                </c:pt>
                <c:pt idx="4">
                  <c:v>9.1506322955352211</c:v>
                </c:pt>
                <c:pt idx="5">
                  <c:v>16.684078363551301</c:v>
                </c:pt>
                <c:pt idx="6">
                  <c:v>27.811835948715633</c:v>
                </c:pt>
                <c:pt idx="7">
                  <c:v>89.205090812551802</c:v>
                </c:pt>
                <c:pt idx="8">
                  <c:v>489.33133033984944</c:v>
                </c:pt>
                <c:pt idx="9">
                  <c:v>376.35533838085632</c:v>
                </c:pt>
                <c:pt idx="10">
                  <c:v>3007.9225055713932</c:v>
                </c:pt>
                <c:pt idx="11">
                  <c:v>3264.2939799538044</c:v>
                </c:pt>
                <c:pt idx="12">
                  <c:v>810.07029325376584</c:v>
                </c:pt>
                <c:pt idx="13">
                  <c:v>0</c:v>
                </c:pt>
              </c:numCache>
            </c:numRef>
          </c:val>
          <c:smooth val="0"/>
          <c:extLst>
            <c:ext xmlns:c16="http://schemas.microsoft.com/office/drawing/2014/chart" uri="{C3380CC4-5D6E-409C-BE32-E72D297353CC}">
              <c16:uniqueId val="{00000001-A3C2-4B4C-996C-CDB1A252886F}"/>
            </c:ext>
          </c:extLst>
        </c:ser>
        <c:ser>
          <c:idx val="0"/>
          <c:order val="2"/>
          <c:tx>
            <c:strRef>
              <c:f>Projections!$A$61</c:f>
              <c:strCache>
                <c:ptCount val="1"/>
                <c:pt idx="0">
                  <c:v>Cumulative Critical</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Projections!$G$61:$AF$61</c15:sqref>
                  </c15:fullRef>
                </c:ext>
              </c:extLst>
              <c:f>Projections!$G$61:$T$61</c:f>
              <c:numCache>
                <c:formatCode>#,##0_ ;[Red]\-#,##0\ </c:formatCode>
                <c:ptCount val="14"/>
                <c:pt idx="0">
                  <c:v>0.26367099160898083</c:v>
                </c:pt>
                <c:pt idx="1">
                  <c:v>0.38479198881578991</c:v>
                </c:pt>
                <c:pt idx="2">
                  <c:v>0.5615516282367099</c:v>
                </c:pt>
                <c:pt idx="3">
                  <c:v>0.81950830667179397</c:v>
                </c:pt>
                <c:pt idx="4">
                  <c:v>1.1325388558528744</c:v>
                </c:pt>
                <c:pt idx="5">
                  <c:v>2.1038004243274724</c:v>
                </c:pt>
                <c:pt idx="6">
                  <c:v>3.295454545454545</c:v>
                </c:pt>
                <c:pt idx="7">
                  <c:v>8.3349659328384966</c:v>
                </c:pt>
                <c:pt idx="8">
                  <c:v>85.444857656693841</c:v>
                </c:pt>
                <c:pt idx="9">
                  <c:v>482.70164699170289</c:v>
                </c:pt>
                <c:pt idx="10">
                  <c:v>640.09992851330003</c:v>
                </c:pt>
                <c:pt idx="11">
                  <c:v>953.63541846095893</c:v>
                </c:pt>
                <c:pt idx="12">
                  <c:v>292.88020969793524</c:v>
                </c:pt>
                <c:pt idx="13">
                  <c:v>516.35670124040007</c:v>
                </c:pt>
              </c:numCache>
            </c:numRef>
          </c:val>
          <c:smooth val="0"/>
          <c:extLst>
            <c:ext xmlns:c16="http://schemas.microsoft.com/office/drawing/2014/chart" uri="{C3380CC4-5D6E-409C-BE32-E72D297353CC}">
              <c16:uniqueId val="{00000002-A3C2-4B4C-996C-CDB1A252886F}"/>
            </c:ext>
          </c:extLst>
        </c:ser>
        <c:ser>
          <c:idx val="4"/>
          <c:order val="3"/>
          <c:tx>
            <c:strRef>
              <c:f>Projections!$A$62</c:f>
              <c:strCache>
                <c:ptCount val="1"/>
                <c:pt idx="0">
                  <c:v>Number active Critical</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Projections!$G$62:$AF$62</c15:sqref>
                  </c15:fullRef>
                </c:ext>
              </c:extLst>
              <c:f>Projections!$G$62:$T$62</c:f>
              <c:numCache>
                <c:formatCode>#,##0_ ;[Red]\-#,##0\ </c:formatCode>
                <c:ptCount val="14"/>
                <c:pt idx="0">
                  <c:v>0.26367099160898083</c:v>
                </c:pt>
                <c:pt idx="1">
                  <c:v>0.38479198881578991</c:v>
                </c:pt>
                <c:pt idx="2">
                  <c:v>0.5615516282367099</c:v>
                </c:pt>
                <c:pt idx="3">
                  <c:v>0.81950830667179397</c:v>
                </c:pt>
                <c:pt idx="4">
                  <c:v>1.1325388558528744</c:v>
                </c:pt>
                <c:pt idx="5">
                  <c:v>2.1038004243274724</c:v>
                </c:pt>
                <c:pt idx="6">
                  <c:v>3.295454545454545</c:v>
                </c:pt>
                <c:pt idx="7">
                  <c:v>8.3349659328384966</c:v>
                </c:pt>
                <c:pt idx="8">
                  <c:v>85.444857656693841</c:v>
                </c:pt>
                <c:pt idx="9">
                  <c:v>482.70164699170289</c:v>
                </c:pt>
                <c:pt idx="10">
                  <c:v>640.09992851330003</c:v>
                </c:pt>
                <c:pt idx="11">
                  <c:v>953.63541846095893</c:v>
                </c:pt>
                <c:pt idx="12">
                  <c:v>292.88020969793524</c:v>
                </c:pt>
                <c:pt idx="13">
                  <c:v>0</c:v>
                </c:pt>
              </c:numCache>
            </c:numRef>
          </c:val>
          <c:smooth val="0"/>
          <c:extLst>
            <c:ext xmlns:c16="http://schemas.microsoft.com/office/drawing/2014/chart" uri="{C3380CC4-5D6E-409C-BE32-E72D297353CC}">
              <c16:uniqueId val="{00000003-A3C2-4B4C-996C-CDB1A252886F}"/>
            </c:ext>
          </c:extLst>
        </c:ser>
        <c:ser>
          <c:idx val="1"/>
          <c:order val="4"/>
          <c:tx>
            <c:strRef>
              <c:f>Projections!$A$63</c:f>
              <c:strCache>
                <c:ptCount val="1"/>
                <c:pt idx="0">
                  <c:v>Projected Cumulative Mortality Count (future projection)</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Projections!$G$63:$AF$63</c15:sqref>
                  </c15:fullRef>
                </c:ext>
              </c:extLst>
              <c:f>Projections!$G$63:$T$63</c:f>
              <c:numCache>
                <c:formatCode>#,##0_ ;[Red]\-#,##0\ </c:formatCode>
                <c:ptCount val="14"/>
                <c:pt idx="0">
                  <c:v>0.43124999999999997</c:v>
                </c:pt>
                <c:pt idx="1">
                  <c:v>0.86249999999999993</c:v>
                </c:pt>
                <c:pt idx="2">
                  <c:v>1.7249999999999999</c:v>
                </c:pt>
                <c:pt idx="3">
                  <c:v>3.4499999999999997</c:v>
                </c:pt>
                <c:pt idx="4">
                  <c:v>6.8999999999999995</c:v>
                </c:pt>
                <c:pt idx="5">
                  <c:v>13.799999999999999</c:v>
                </c:pt>
                <c:pt idx="6">
                  <c:v>27.599999999999998</c:v>
                </c:pt>
                <c:pt idx="7">
                  <c:v>55.199999999999996</c:v>
                </c:pt>
                <c:pt idx="8">
                  <c:v>82.8</c:v>
                </c:pt>
                <c:pt idx="9">
                  <c:v>91.08</c:v>
                </c:pt>
                <c:pt idx="10">
                  <c:v>96.6</c:v>
                </c:pt>
                <c:pt idx="11">
                  <c:v>102.12</c:v>
                </c:pt>
                <c:pt idx="12">
                  <c:v>107.64</c:v>
                </c:pt>
                <c:pt idx="13">
                  <c:v>110.39999999999999</c:v>
                </c:pt>
              </c:numCache>
            </c:numRef>
          </c:val>
          <c:smooth val="0"/>
          <c:extLst>
            <c:ext xmlns:c16="http://schemas.microsoft.com/office/drawing/2014/chart" uri="{C3380CC4-5D6E-409C-BE32-E72D297353CC}">
              <c16:uniqueId val="{00000004-A3C2-4B4C-996C-CDB1A252886F}"/>
            </c:ext>
          </c:extLst>
        </c:ser>
        <c:dLbls>
          <c:showLegendKey val="0"/>
          <c:showVal val="0"/>
          <c:showCatName val="0"/>
          <c:showSerName val="0"/>
          <c:showPercent val="0"/>
          <c:showBubbleSize val="0"/>
        </c:dLbls>
        <c:smooth val="0"/>
        <c:axId val="485124952"/>
        <c:axId val="485122000"/>
      </c:lineChart>
      <c:dateAx>
        <c:axId val="48512495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2000"/>
        <c:crosses val="autoZero"/>
        <c:auto val="1"/>
        <c:lblOffset val="100"/>
        <c:baseTimeUnit val="days"/>
      </c:dateAx>
      <c:valAx>
        <c:axId val="485122000"/>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24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a:t>
            </a:r>
            <a:r>
              <a:rPr lang="en-AU" baseline="0"/>
              <a:t> COVID-19 Cumulative Infections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Projections!$A$81</c:f>
              <c:strCache>
                <c:ptCount val="1"/>
                <c:pt idx="0">
                  <c:v>80+</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Projections!$G$81:$AF$81</c15:sqref>
                  </c15:fullRef>
                </c:ext>
              </c:extLst>
              <c:f>Projections!$G$81:$T$81</c:f>
              <c:numCache>
                <c:formatCode>#,##0</c:formatCode>
                <c:ptCount val="14"/>
                <c:pt idx="0">
                  <c:v>1.0538600891861762</c:v>
                </c:pt>
                <c:pt idx="1">
                  <c:v>2.1077201783723525</c:v>
                </c:pt>
                <c:pt idx="2">
                  <c:v>4.215440356744705</c:v>
                </c:pt>
                <c:pt idx="3">
                  <c:v>8.4308807134894099</c:v>
                </c:pt>
                <c:pt idx="4">
                  <c:v>16.86176142697882</c:v>
                </c:pt>
                <c:pt idx="5">
                  <c:v>33.72352285395764</c:v>
                </c:pt>
                <c:pt idx="6">
                  <c:v>67.447045707915279</c:v>
                </c:pt>
                <c:pt idx="7">
                  <c:v>134.89409141583056</c:v>
                </c:pt>
                <c:pt idx="8">
                  <c:v>202.34113712374582</c:v>
                </c:pt>
                <c:pt idx="9">
                  <c:v>222.57525083612043</c:v>
                </c:pt>
                <c:pt idx="10">
                  <c:v>236.06465997770349</c:v>
                </c:pt>
                <c:pt idx="11">
                  <c:v>249.55406911928654</c:v>
                </c:pt>
                <c:pt idx="12">
                  <c:v>263.04347826086956</c:v>
                </c:pt>
                <c:pt idx="13">
                  <c:v>269.78818283166112</c:v>
                </c:pt>
              </c:numCache>
            </c:numRef>
          </c:val>
          <c:smooth val="0"/>
          <c:extLst>
            <c:ext xmlns:c16="http://schemas.microsoft.com/office/drawing/2014/chart" uri="{C3380CC4-5D6E-409C-BE32-E72D297353CC}">
              <c16:uniqueId val="{00000000-7972-43AB-83E8-C2C99B4277B0}"/>
            </c:ext>
          </c:extLst>
        </c:ser>
        <c:ser>
          <c:idx val="2"/>
          <c:order val="1"/>
          <c:tx>
            <c:strRef>
              <c:f>Projections!$A$83</c:f>
              <c:strCache>
                <c:ptCount val="1"/>
                <c:pt idx="0">
                  <c:v>70-79</c:v>
                </c:pt>
              </c:strCache>
            </c:strRef>
          </c:tx>
          <c:spPr>
            <a:ln w="28575" cap="rnd">
              <a:solidFill>
                <a:schemeClr val="accent2">
                  <a:lumMod val="5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Projections!$G$83:$AF$83</c15:sqref>
                  </c15:fullRef>
                </c:ext>
              </c:extLst>
              <c:f>Projections!$G$83:$T$83</c:f>
              <c:numCache>
                <c:formatCode>#,##0</c:formatCode>
                <c:ptCount val="14"/>
                <c:pt idx="0">
                  <c:v>3.287869286510591</c:v>
                </c:pt>
                <c:pt idx="1">
                  <c:v>6.5757385730211819</c:v>
                </c:pt>
                <c:pt idx="2">
                  <c:v>13.151477146042364</c:v>
                </c:pt>
                <c:pt idx="3">
                  <c:v>26.302954292084728</c:v>
                </c:pt>
                <c:pt idx="4">
                  <c:v>52.605908584169455</c:v>
                </c:pt>
                <c:pt idx="5">
                  <c:v>105.21181716833891</c:v>
                </c:pt>
                <c:pt idx="6">
                  <c:v>210.42363433667782</c:v>
                </c:pt>
                <c:pt idx="7">
                  <c:v>420.84726867335564</c:v>
                </c:pt>
                <c:pt idx="8">
                  <c:v>631.27090301003352</c:v>
                </c:pt>
                <c:pt idx="9">
                  <c:v>694.39799331103677</c:v>
                </c:pt>
                <c:pt idx="10">
                  <c:v>736.48272017837235</c:v>
                </c:pt>
                <c:pt idx="11">
                  <c:v>778.56744704570792</c:v>
                </c:pt>
                <c:pt idx="12">
                  <c:v>820.6521739130435</c:v>
                </c:pt>
                <c:pt idx="13">
                  <c:v>841.69453734671129</c:v>
                </c:pt>
              </c:numCache>
            </c:numRef>
          </c:val>
          <c:smooth val="0"/>
          <c:extLst>
            <c:ext xmlns:c16="http://schemas.microsoft.com/office/drawing/2014/chart" uri="{C3380CC4-5D6E-409C-BE32-E72D297353CC}">
              <c16:uniqueId val="{00000001-7972-43AB-83E8-C2C99B4277B0}"/>
            </c:ext>
          </c:extLst>
        </c:ser>
        <c:ser>
          <c:idx val="4"/>
          <c:order val="2"/>
          <c:tx>
            <c:strRef>
              <c:f>Projections!$A$85</c:f>
              <c:strCache>
                <c:ptCount val="1"/>
                <c:pt idx="0">
                  <c:v>60-69</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Projections!$G$85:$AF$85</c15:sqref>
                  </c15:fullRef>
                </c:ext>
              </c:extLst>
              <c:f>Projections!$G$85:$T$85</c:f>
              <c:numCache>
                <c:formatCode>#,##0</c:formatCode>
                <c:ptCount val="14"/>
                <c:pt idx="0">
                  <c:v>5.0733347268673361</c:v>
                </c:pt>
                <c:pt idx="1">
                  <c:v>10.146669453734672</c:v>
                </c:pt>
                <c:pt idx="2">
                  <c:v>20.293338907469344</c:v>
                </c:pt>
                <c:pt idx="3">
                  <c:v>40.586677814938689</c:v>
                </c:pt>
                <c:pt idx="4">
                  <c:v>81.173355629877378</c:v>
                </c:pt>
                <c:pt idx="5">
                  <c:v>162.34671125975476</c:v>
                </c:pt>
                <c:pt idx="6">
                  <c:v>324.69342251950951</c:v>
                </c:pt>
                <c:pt idx="7">
                  <c:v>649.38684503901902</c:v>
                </c:pt>
                <c:pt idx="8">
                  <c:v>974.08026755852848</c:v>
                </c:pt>
                <c:pt idx="9">
                  <c:v>1071.4882943143814</c:v>
                </c:pt>
                <c:pt idx="10">
                  <c:v>1136.4269788182833</c:v>
                </c:pt>
                <c:pt idx="11">
                  <c:v>1201.3656633221851</c:v>
                </c:pt>
                <c:pt idx="12">
                  <c:v>1266.304347826087</c:v>
                </c:pt>
                <c:pt idx="13">
                  <c:v>1298.773690078038</c:v>
                </c:pt>
              </c:numCache>
            </c:numRef>
          </c:val>
          <c:smooth val="0"/>
          <c:extLst>
            <c:ext xmlns:c16="http://schemas.microsoft.com/office/drawing/2014/chart" uri="{C3380CC4-5D6E-409C-BE32-E72D297353CC}">
              <c16:uniqueId val="{00000002-7972-43AB-83E8-C2C99B4277B0}"/>
            </c:ext>
          </c:extLst>
        </c:ser>
        <c:ser>
          <c:idx val="6"/>
          <c:order val="3"/>
          <c:tx>
            <c:strRef>
              <c:f>Projections!$A$87</c:f>
              <c:strCache>
                <c:ptCount val="1"/>
                <c:pt idx="0">
                  <c:v>50-59</c:v>
                </c:pt>
              </c:strCache>
            </c:strRef>
          </c:tx>
          <c:spPr>
            <a:ln w="28575" cap="rnd">
              <a:solidFill>
                <a:schemeClr val="accent2">
                  <a:lumMod val="80000"/>
                  <a:lumOff val="2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Projections!$G$87:$AF$87</c15:sqref>
                  </c15:fullRef>
                </c:ext>
              </c:extLst>
              <c:f>Projections!$G$87:$T$87</c:f>
              <c:numCache>
                <c:formatCode>#,##0</c:formatCode>
                <c:ptCount val="14"/>
                <c:pt idx="0">
                  <c:v>4.9296265328874025</c:v>
                </c:pt>
                <c:pt idx="1">
                  <c:v>9.859253065774805</c:v>
                </c:pt>
                <c:pt idx="2">
                  <c:v>19.71850613154961</c:v>
                </c:pt>
                <c:pt idx="3">
                  <c:v>39.43701226309922</c:v>
                </c:pt>
                <c:pt idx="4">
                  <c:v>78.87402452619844</c:v>
                </c:pt>
                <c:pt idx="5">
                  <c:v>157.74804905239688</c:v>
                </c:pt>
                <c:pt idx="6">
                  <c:v>315.49609810479376</c:v>
                </c:pt>
                <c:pt idx="7">
                  <c:v>630.99219620958752</c:v>
                </c:pt>
                <c:pt idx="8">
                  <c:v>946.48829431438116</c:v>
                </c:pt>
                <c:pt idx="9">
                  <c:v>1041.1371237458193</c:v>
                </c:pt>
                <c:pt idx="10">
                  <c:v>1104.2363433667781</c:v>
                </c:pt>
                <c:pt idx="11">
                  <c:v>1167.3355629877369</c:v>
                </c:pt>
                <c:pt idx="12">
                  <c:v>1230.4347826086955</c:v>
                </c:pt>
                <c:pt idx="13">
                  <c:v>1261.984392419175</c:v>
                </c:pt>
              </c:numCache>
            </c:numRef>
          </c:val>
          <c:smooth val="0"/>
          <c:extLst>
            <c:ext xmlns:c16="http://schemas.microsoft.com/office/drawing/2014/chart" uri="{C3380CC4-5D6E-409C-BE32-E72D297353CC}">
              <c16:uniqueId val="{00000003-7972-43AB-83E8-C2C99B4277B0}"/>
            </c:ext>
          </c:extLst>
        </c:ser>
        <c:ser>
          <c:idx val="8"/>
          <c:order val="4"/>
          <c:tx>
            <c:strRef>
              <c:f>Projections!$A$89</c:f>
              <c:strCache>
                <c:ptCount val="1"/>
                <c:pt idx="0">
                  <c:v>40-49</c:v>
                </c:pt>
              </c:strCache>
            </c:strRef>
          </c:tx>
          <c:spPr>
            <a:ln w="28575" cap="rnd">
              <a:solidFill>
                <a:schemeClr val="accent6">
                  <a:lumMod val="80000"/>
                  <a:lumOff val="2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Projections!$G$89:$AF$89</c15:sqref>
                  </c15:fullRef>
                </c:ext>
              </c:extLst>
              <c:f>Projections!$G$89:$T$89</c:f>
              <c:numCache>
                <c:formatCode>#,##0</c:formatCode>
                <c:ptCount val="14"/>
                <c:pt idx="0">
                  <c:v>3.9802814938684499</c:v>
                </c:pt>
                <c:pt idx="1">
                  <c:v>7.9605629877368997</c:v>
                </c:pt>
                <c:pt idx="2">
                  <c:v>15.921125975473799</c:v>
                </c:pt>
                <c:pt idx="3">
                  <c:v>31.842251950947599</c:v>
                </c:pt>
                <c:pt idx="4">
                  <c:v>63.684503901895198</c:v>
                </c:pt>
                <c:pt idx="5">
                  <c:v>127.3690078037904</c:v>
                </c:pt>
                <c:pt idx="6">
                  <c:v>254.73801560758079</c:v>
                </c:pt>
                <c:pt idx="7">
                  <c:v>509.47603121516158</c:v>
                </c:pt>
                <c:pt idx="8">
                  <c:v>764.21404682274238</c:v>
                </c:pt>
                <c:pt idx="9">
                  <c:v>840.6354515050167</c:v>
                </c:pt>
                <c:pt idx="10">
                  <c:v>891.58305462653277</c:v>
                </c:pt>
                <c:pt idx="11">
                  <c:v>942.53065774804895</c:v>
                </c:pt>
                <c:pt idx="12">
                  <c:v>993.47826086956513</c:v>
                </c:pt>
                <c:pt idx="13">
                  <c:v>1018.9520624303232</c:v>
                </c:pt>
              </c:numCache>
            </c:numRef>
          </c:val>
          <c:smooth val="0"/>
          <c:extLst>
            <c:ext xmlns:c16="http://schemas.microsoft.com/office/drawing/2014/chart" uri="{C3380CC4-5D6E-409C-BE32-E72D297353CC}">
              <c16:uniqueId val="{00000004-7972-43AB-83E8-C2C99B4277B0}"/>
            </c:ext>
          </c:extLst>
        </c:ser>
        <c:ser>
          <c:idx val="10"/>
          <c:order val="5"/>
          <c:tx>
            <c:strRef>
              <c:f>Projections!$A$91</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Projections!$G$91:$AF$91</c15:sqref>
                  </c15:fullRef>
                </c:ext>
              </c:extLst>
              <c:f>Projections!$G$91:$T$91</c:f>
              <c:numCache>
                <c:formatCode>#,##0</c:formatCode>
                <c:ptCount val="14"/>
                <c:pt idx="0">
                  <c:v>4.9688196767001109</c:v>
                </c:pt>
                <c:pt idx="1">
                  <c:v>9.9376393534002219</c:v>
                </c:pt>
                <c:pt idx="2">
                  <c:v>19.875278706800444</c:v>
                </c:pt>
                <c:pt idx="3">
                  <c:v>39.750557413600887</c:v>
                </c:pt>
                <c:pt idx="4">
                  <c:v>79.501114827201775</c:v>
                </c:pt>
                <c:pt idx="5">
                  <c:v>159.00222965440355</c:v>
                </c:pt>
                <c:pt idx="6">
                  <c:v>318.0044593088071</c:v>
                </c:pt>
                <c:pt idx="7">
                  <c:v>636.0089186176142</c:v>
                </c:pt>
                <c:pt idx="8">
                  <c:v>954.0133779264213</c:v>
                </c:pt>
                <c:pt idx="9">
                  <c:v>1049.4147157190635</c:v>
                </c:pt>
                <c:pt idx="10">
                  <c:v>1113.015607580825</c:v>
                </c:pt>
                <c:pt idx="11">
                  <c:v>1176.6164994425862</c:v>
                </c:pt>
                <c:pt idx="12">
                  <c:v>1240.2173913043478</c:v>
                </c:pt>
                <c:pt idx="13">
                  <c:v>1272.0178372352284</c:v>
                </c:pt>
              </c:numCache>
            </c:numRef>
          </c:val>
          <c:smooth val="0"/>
          <c:extLst>
            <c:ext xmlns:c16="http://schemas.microsoft.com/office/drawing/2014/chart" uri="{C3380CC4-5D6E-409C-BE32-E72D297353CC}">
              <c16:uniqueId val="{00000005-7972-43AB-83E8-C2C99B4277B0}"/>
            </c:ext>
          </c:extLst>
        </c:ser>
        <c:ser>
          <c:idx val="12"/>
          <c:order val="6"/>
          <c:tx>
            <c:strRef>
              <c:f>Projections!$A$93</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Projections!$G$93:$AF$93</c15:sqref>
                  </c15:fullRef>
                </c:ext>
              </c:extLst>
              <c:f>Projections!$G$93:$T$93</c:f>
              <c:numCache>
                <c:formatCode>#,##0</c:formatCode>
                <c:ptCount val="14"/>
                <c:pt idx="0">
                  <c:v>6.4973522853957641</c:v>
                </c:pt>
                <c:pt idx="1">
                  <c:v>12.994704570791528</c:v>
                </c:pt>
                <c:pt idx="2">
                  <c:v>25.989409141583057</c:v>
                </c:pt>
                <c:pt idx="3">
                  <c:v>51.978818283166113</c:v>
                </c:pt>
                <c:pt idx="4">
                  <c:v>103.95763656633223</c:v>
                </c:pt>
                <c:pt idx="5">
                  <c:v>207.91527313266445</c:v>
                </c:pt>
                <c:pt idx="6">
                  <c:v>415.83054626532891</c:v>
                </c:pt>
                <c:pt idx="7">
                  <c:v>831.66109253065781</c:v>
                </c:pt>
                <c:pt idx="8">
                  <c:v>1247.4916387959868</c:v>
                </c:pt>
                <c:pt idx="9">
                  <c:v>1372.2408026755854</c:v>
                </c:pt>
                <c:pt idx="10">
                  <c:v>1455.4069119286512</c:v>
                </c:pt>
                <c:pt idx="11">
                  <c:v>1538.573021181717</c:v>
                </c:pt>
                <c:pt idx="12">
                  <c:v>1621.7391304347827</c:v>
                </c:pt>
                <c:pt idx="13">
                  <c:v>1663.3221850613156</c:v>
                </c:pt>
              </c:numCache>
            </c:numRef>
          </c:val>
          <c:smooth val="0"/>
          <c:extLst>
            <c:ext xmlns:c16="http://schemas.microsoft.com/office/drawing/2014/chart" uri="{C3380CC4-5D6E-409C-BE32-E72D297353CC}">
              <c16:uniqueId val="{00000006-7972-43AB-83E8-C2C99B4277B0}"/>
            </c:ext>
          </c:extLst>
        </c:ser>
        <c:ser>
          <c:idx val="14"/>
          <c:order val="7"/>
          <c:tx>
            <c:strRef>
              <c:f>Projections!$A$95</c:f>
              <c:strCache>
                <c:ptCount val="1"/>
                <c:pt idx="0">
                  <c:v>10-19</c:v>
                </c:pt>
              </c:strCache>
            </c:strRef>
          </c:tx>
          <c:spPr>
            <a:ln w="28575" cap="rnd">
              <a:solidFill>
                <a:schemeClr val="accent6">
                  <a:lumMod val="60000"/>
                  <a:lumOff val="4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Projections!$G$95:$AF$95</c15:sqref>
                  </c15:fullRef>
                </c:ext>
              </c:extLst>
              <c:f>Projections!$G$95:$T$95</c:f>
              <c:numCache>
                <c:formatCode>#,##0</c:formatCode>
                <c:ptCount val="14"/>
                <c:pt idx="0">
                  <c:v>1.0146669453734669</c:v>
                </c:pt>
                <c:pt idx="1">
                  <c:v>2.0293338907469338</c:v>
                </c:pt>
                <c:pt idx="2">
                  <c:v>4.0586677814938676</c:v>
                </c:pt>
                <c:pt idx="3">
                  <c:v>8.1173355629877353</c:v>
                </c:pt>
                <c:pt idx="4">
                  <c:v>16.234671125975471</c:v>
                </c:pt>
                <c:pt idx="5">
                  <c:v>32.469342251950941</c:v>
                </c:pt>
                <c:pt idx="6">
                  <c:v>64.938684503901882</c:v>
                </c:pt>
                <c:pt idx="7">
                  <c:v>129.87736900780376</c:v>
                </c:pt>
                <c:pt idx="8">
                  <c:v>194.81605351170566</c:v>
                </c:pt>
                <c:pt idx="9">
                  <c:v>214.29765886287623</c:v>
                </c:pt>
                <c:pt idx="10">
                  <c:v>227.28539576365662</c:v>
                </c:pt>
                <c:pt idx="11">
                  <c:v>240.27313266443699</c:v>
                </c:pt>
                <c:pt idx="12">
                  <c:v>253.26086956521738</c:v>
                </c:pt>
                <c:pt idx="13">
                  <c:v>259.75473801560753</c:v>
                </c:pt>
              </c:numCache>
            </c:numRef>
          </c:val>
          <c:smooth val="0"/>
          <c:extLst>
            <c:ext xmlns:c16="http://schemas.microsoft.com/office/drawing/2014/chart" uri="{C3380CC4-5D6E-409C-BE32-E72D297353CC}">
              <c16:uniqueId val="{00000007-7972-43AB-83E8-C2C99B4277B0}"/>
            </c:ext>
          </c:extLst>
        </c:ser>
        <c:ser>
          <c:idx val="16"/>
          <c:order val="8"/>
          <c:tx>
            <c:strRef>
              <c:f>Projections!$A$97</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Projections!$G$97:$AF$97</c15:sqref>
                  </c15:fullRef>
                </c:ext>
              </c:extLst>
              <c:f>Projections!$G$97:$T$97</c:f>
              <c:numCache>
                <c:formatCode>#,##0</c:formatCode>
                <c:ptCount val="14"/>
                <c:pt idx="0">
                  <c:v>0.44418896321070234</c:v>
                </c:pt>
                <c:pt idx="1">
                  <c:v>0.88837792642140467</c:v>
                </c:pt>
                <c:pt idx="2">
                  <c:v>1.7767558528428093</c:v>
                </c:pt>
                <c:pt idx="3">
                  <c:v>3.5535117056856187</c:v>
                </c:pt>
                <c:pt idx="4">
                  <c:v>7.1070234113712374</c:v>
                </c:pt>
                <c:pt idx="5">
                  <c:v>14.214046822742475</c:v>
                </c:pt>
                <c:pt idx="6">
                  <c:v>28.42809364548495</c:v>
                </c:pt>
                <c:pt idx="7">
                  <c:v>56.856187290969899</c:v>
                </c:pt>
                <c:pt idx="8">
                  <c:v>85.284280936454849</c:v>
                </c:pt>
                <c:pt idx="9">
                  <c:v>93.812709030100322</c:v>
                </c:pt>
                <c:pt idx="10">
                  <c:v>99.498327759197323</c:v>
                </c:pt>
                <c:pt idx="11">
                  <c:v>105.18394648829431</c:v>
                </c:pt>
                <c:pt idx="12">
                  <c:v>110.8695652173913</c:v>
                </c:pt>
                <c:pt idx="13">
                  <c:v>113.7123745819398</c:v>
                </c:pt>
              </c:numCache>
            </c:numRef>
          </c:val>
          <c:smooth val="0"/>
          <c:extLst>
            <c:ext xmlns:c16="http://schemas.microsoft.com/office/drawing/2014/chart" uri="{C3380CC4-5D6E-409C-BE32-E72D297353CC}">
              <c16:uniqueId val="{00000008-7972-43AB-83E8-C2C99B4277B0}"/>
            </c:ext>
          </c:extLst>
        </c:ser>
        <c:dLbls>
          <c:showLegendKey val="0"/>
          <c:showVal val="0"/>
          <c:showCatName val="0"/>
          <c:showSerName val="0"/>
          <c:showPercent val="0"/>
          <c:showBubbleSize val="0"/>
        </c:dLbls>
        <c:smooth val="0"/>
        <c:axId val="594920464"/>
        <c:axId val="585298016"/>
      </c:lineChart>
      <c:dateAx>
        <c:axId val="59492046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298016"/>
        <c:crosses val="autoZero"/>
        <c:auto val="1"/>
        <c:lblOffset val="100"/>
        <c:baseTimeUnit val="days"/>
      </c:dateAx>
      <c:valAx>
        <c:axId val="585298016"/>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92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Age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Projections!$A$81</c:f>
              <c:strCache>
                <c:ptCount val="1"/>
                <c:pt idx="0">
                  <c:v>80+</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Projections!$G$82:$AF$82</c15:sqref>
                  </c15:fullRef>
                </c:ext>
              </c:extLst>
              <c:f>Projections!$G$82:$T$82</c:f>
              <c:numCache>
                <c:formatCode>#,##0</c:formatCode>
                <c:ptCount val="14"/>
                <c:pt idx="0">
                  <c:v>0.23951365663322186</c:v>
                </c:pt>
                <c:pt idx="1">
                  <c:v>0.47902731326644371</c:v>
                </c:pt>
                <c:pt idx="2">
                  <c:v>0.95805462653288742</c:v>
                </c:pt>
                <c:pt idx="3">
                  <c:v>1.9161092530657748</c:v>
                </c:pt>
                <c:pt idx="4">
                  <c:v>3.8322185061315497</c:v>
                </c:pt>
                <c:pt idx="5">
                  <c:v>7.6644370122630994</c:v>
                </c:pt>
                <c:pt idx="6">
                  <c:v>15.328874024526199</c:v>
                </c:pt>
                <c:pt idx="7">
                  <c:v>30.657748049052397</c:v>
                </c:pt>
                <c:pt idx="8">
                  <c:v>45.986622073578594</c:v>
                </c:pt>
                <c:pt idx="9">
                  <c:v>50.585284280936463</c:v>
                </c:pt>
                <c:pt idx="10">
                  <c:v>53.651059085841702</c:v>
                </c:pt>
                <c:pt idx="11">
                  <c:v>56.71683389074694</c:v>
                </c:pt>
                <c:pt idx="12">
                  <c:v>59.782608695652172</c:v>
                </c:pt>
                <c:pt idx="13">
                  <c:v>61.315496098104795</c:v>
                </c:pt>
              </c:numCache>
            </c:numRef>
          </c:val>
          <c:smooth val="0"/>
          <c:extLst>
            <c:ext xmlns:c16="http://schemas.microsoft.com/office/drawing/2014/chart" uri="{C3380CC4-5D6E-409C-BE32-E72D297353CC}">
              <c16:uniqueId val="{00000000-FE50-482D-905D-7C3B099138E4}"/>
            </c:ext>
          </c:extLst>
        </c:ser>
        <c:ser>
          <c:idx val="3"/>
          <c:order val="1"/>
          <c:tx>
            <c:strRef>
              <c:f>Projections!$A$83</c:f>
              <c:strCache>
                <c:ptCount val="1"/>
                <c:pt idx="0">
                  <c:v>70-79</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Projections!$G$84:$AF$84</c15:sqref>
                  </c15:fullRef>
                </c:ext>
              </c:extLst>
              <c:f>Projections!$G$84:$T$84</c:f>
              <c:numCache>
                <c:formatCode>#,##0</c:formatCode>
                <c:ptCount val="14"/>
                <c:pt idx="0">
                  <c:v>0.14806298773690077</c:v>
                </c:pt>
                <c:pt idx="1">
                  <c:v>0.29612597547380154</c:v>
                </c:pt>
                <c:pt idx="2">
                  <c:v>0.59225195094760308</c:v>
                </c:pt>
                <c:pt idx="3">
                  <c:v>1.1845039018952062</c:v>
                </c:pt>
                <c:pt idx="4">
                  <c:v>2.3690078037904123</c:v>
                </c:pt>
                <c:pt idx="5">
                  <c:v>4.7380156075808246</c:v>
                </c:pt>
                <c:pt idx="6">
                  <c:v>9.4760312151616493</c:v>
                </c:pt>
                <c:pt idx="7">
                  <c:v>18.952062430323299</c:v>
                </c:pt>
                <c:pt idx="8">
                  <c:v>28.428093645484953</c:v>
                </c:pt>
                <c:pt idx="9">
                  <c:v>31.270903010033443</c:v>
                </c:pt>
                <c:pt idx="10">
                  <c:v>33.16610925306577</c:v>
                </c:pt>
                <c:pt idx="11">
                  <c:v>35.061315496098103</c:v>
                </c:pt>
                <c:pt idx="12">
                  <c:v>36.956521739130437</c:v>
                </c:pt>
                <c:pt idx="13">
                  <c:v>37.904124860646597</c:v>
                </c:pt>
              </c:numCache>
            </c:numRef>
          </c:val>
          <c:smooth val="0"/>
          <c:extLst>
            <c:ext xmlns:c16="http://schemas.microsoft.com/office/drawing/2014/chart" uri="{C3380CC4-5D6E-409C-BE32-E72D297353CC}">
              <c16:uniqueId val="{00000001-FE50-482D-905D-7C3B099138E4}"/>
            </c:ext>
          </c:extLst>
        </c:ser>
        <c:ser>
          <c:idx val="5"/>
          <c:order val="2"/>
          <c:tx>
            <c:strRef>
              <c:f>Projections!$A$85</c:f>
              <c:strCache>
                <c:ptCount val="1"/>
                <c:pt idx="0">
                  <c:v>60-69</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Projections!$G$86:$AF$86</c15:sqref>
                  </c15:fullRef>
                </c:ext>
              </c:extLst>
              <c:f>Projections!$G$86:$T$86</c:f>
              <c:numCache>
                <c:formatCode>#,##0</c:formatCode>
                <c:ptCount val="14"/>
                <c:pt idx="0">
                  <c:v>4.3547937569676703E-2</c:v>
                </c:pt>
                <c:pt idx="1">
                  <c:v>8.7095875139353407E-2</c:v>
                </c:pt>
                <c:pt idx="2">
                  <c:v>0.17419175027870681</c:v>
                </c:pt>
                <c:pt idx="3">
                  <c:v>0.34838350055741363</c:v>
                </c:pt>
                <c:pt idx="4">
                  <c:v>0.69676700111482726</c:v>
                </c:pt>
                <c:pt idx="5">
                  <c:v>1.3935340022296545</c:v>
                </c:pt>
                <c:pt idx="6">
                  <c:v>2.787068004459309</c:v>
                </c:pt>
                <c:pt idx="7">
                  <c:v>5.574136008918618</c:v>
                </c:pt>
                <c:pt idx="8">
                  <c:v>8.3612040133779271</c:v>
                </c:pt>
                <c:pt idx="9">
                  <c:v>9.1973244147157196</c:v>
                </c:pt>
                <c:pt idx="10">
                  <c:v>9.7547380156075825</c:v>
                </c:pt>
                <c:pt idx="11">
                  <c:v>10.312151616499444</c:v>
                </c:pt>
                <c:pt idx="12">
                  <c:v>10.869565217391305</c:v>
                </c:pt>
                <c:pt idx="13">
                  <c:v>11.148272017837236</c:v>
                </c:pt>
              </c:numCache>
            </c:numRef>
          </c:val>
          <c:smooth val="0"/>
          <c:extLst>
            <c:ext xmlns:c16="http://schemas.microsoft.com/office/drawing/2014/chart" uri="{C3380CC4-5D6E-409C-BE32-E72D297353CC}">
              <c16:uniqueId val="{00000002-FE50-482D-905D-7C3B099138E4}"/>
            </c:ext>
          </c:extLst>
        </c:ser>
        <c:ser>
          <c:idx val="7"/>
          <c:order val="3"/>
          <c:tx>
            <c:strRef>
              <c:f>Projections!$A$87</c:f>
              <c:strCache>
                <c:ptCount val="1"/>
                <c:pt idx="0">
                  <c:v>50-59</c:v>
                </c:pt>
              </c:strCache>
            </c:strRef>
          </c:tx>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Projections!$G$88:$AF$88</c15:sqref>
                  </c15:fullRef>
                </c:ext>
              </c:extLst>
              <c:f>Projections!$G$88:$T$88</c:f>
              <c:numCache>
                <c:formatCode>#,##0</c:formatCode>
                <c:ptCount val="14"/>
                <c:pt idx="0">
                  <c:v>8.70958751393534E-3</c:v>
                </c:pt>
                <c:pt idx="1">
                  <c:v>1.741917502787068E-2</c:v>
                </c:pt>
                <c:pt idx="2">
                  <c:v>3.483835005574136E-2</c:v>
                </c:pt>
                <c:pt idx="3">
                  <c:v>6.967670011148272E-2</c:v>
                </c:pt>
                <c:pt idx="4">
                  <c:v>0.13935340022296544</c:v>
                </c:pt>
                <c:pt idx="5">
                  <c:v>0.27870680044593088</c:v>
                </c:pt>
                <c:pt idx="6">
                  <c:v>0.55741360089186176</c:v>
                </c:pt>
                <c:pt idx="7">
                  <c:v>1.1148272017837235</c:v>
                </c:pt>
                <c:pt idx="8">
                  <c:v>1.6722408026755851</c:v>
                </c:pt>
                <c:pt idx="9">
                  <c:v>1.8394648829431435</c:v>
                </c:pt>
                <c:pt idx="10">
                  <c:v>1.950947603121516</c:v>
                </c:pt>
                <c:pt idx="11">
                  <c:v>2.0624303232998886</c:v>
                </c:pt>
                <c:pt idx="12">
                  <c:v>2.1739130434782608</c:v>
                </c:pt>
                <c:pt idx="13">
                  <c:v>2.229654403567447</c:v>
                </c:pt>
              </c:numCache>
            </c:numRef>
          </c:val>
          <c:smooth val="0"/>
          <c:extLst>
            <c:ext xmlns:c16="http://schemas.microsoft.com/office/drawing/2014/chart" uri="{C3380CC4-5D6E-409C-BE32-E72D297353CC}">
              <c16:uniqueId val="{00000003-FE50-482D-905D-7C3B099138E4}"/>
            </c:ext>
          </c:extLst>
        </c:ser>
        <c:ser>
          <c:idx val="9"/>
          <c:order val="4"/>
          <c:tx>
            <c:strRef>
              <c:f>Projections!$A$89</c:f>
              <c:strCache>
                <c:ptCount val="1"/>
                <c:pt idx="0">
                  <c:v>40-49</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Projections!$G$90:$AF$90</c15:sqref>
                  </c15:fullRef>
                </c:ext>
              </c:extLst>
              <c:f>Projections!$G$90:$T$90</c:f>
              <c:numCache>
                <c:formatCode>#,##0</c:formatCode>
                <c:ptCount val="14"/>
                <c:pt idx="0">
                  <c:v>4.3547937569676691E-3</c:v>
                </c:pt>
                <c:pt idx="1">
                  <c:v>8.7095875139353383E-3</c:v>
                </c:pt>
                <c:pt idx="2">
                  <c:v>1.7419175027870677E-2</c:v>
                </c:pt>
                <c:pt idx="3">
                  <c:v>3.4838350055741353E-2</c:v>
                </c:pt>
                <c:pt idx="4">
                  <c:v>6.9676700111482706E-2</c:v>
                </c:pt>
                <c:pt idx="5">
                  <c:v>0.13935340022296541</c:v>
                </c:pt>
                <c:pt idx="6">
                  <c:v>0.27870680044593082</c:v>
                </c:pt>
                <c:pt idx="7">
                  <c:v>0.55741360089186165</c:v>
                </c:pt>
                <c:pt idx="8">
                  <c:v>0.83612040133779253</c:v>
                </c:pt>
                <c:pt idx="9">
                  <c:v>0.91973244147157185</c:v>
                </c:pt>
                <c:pt idx="10">
                  <c:v>0.97547380156075791</c:v>
                </c:pt>
                <c:pt idx="11">
                  <c:v>1.0312151616499441</c:v>
                </c:pt>
                <c:pt idx="12">
                  <c:v>1.0869565217391304</c:v>
                </c:pt>
                <c:pt idx="13">
                  <c:v>1.1148272017837233</c:v>
                </c:pt>
              </c:numCache>
            </c:numRef>
          </c:val>
          <c:smooth val="0"/>
          <c:extLst>
            <c:ext xmlns:c16="http://schemas.microsoft.com/office/drawing/2014/chart" uri="{C3380CC4-5D6E-409C-BE32-E72D297353CC}">
              <c16:uniqueId val="{00000004-FE50-482D-905D-7C3B099138E4}"/>
            </c:ext>
          </c:extLst>
        </c:ser>
        <c:ser>
          <c:idx val="11"/>
          <c:order val="5"/>
          <c:tx>
            <c:strRef>
              <c:f>Projections!$A$91</c:f>
              <c:strCache>
                <c:ptCount val="1"/>
                <c:pt idx="0">
                  <c:v>30-39</c:v>
                </c:pt>
              </c:strCache>
            </c:strRef>
          </c:tx>
          <c:spPr>
            <a:ln w="28575" cap="rnd">
              <a:solidFill>
                <a:schemeClr val="accent5">
                  <a:lumMod val="75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Projections!$G$92:$AF$92</c15:sqref>
                  </c15:fullRef>
                </c:ext>
              </c:extLst>
              <c:f>Projections!$G$92:$T$92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5-FE50-482D-905D-7C3B099138E4}"/>
            </c:ext>
          </c:extLst>
        </c:ser>
        <c:ser>
          <c:idx val="13"/>
          <c:order val="6"/>
          <c:tx>
            <c:strRef>
              <c:f>Projections!$A$93</c:f>
              <c:strCache>
                <c:ptCount val="1"/>
                <c:pt idx="0">
                  <c:v>20-29</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Projections!$G$94:$AF$94</c15:sqref>
                  </c15:fullRef>
                </c:ext>
              </c:extLst>
              <c:f>Projections!$G$94:$T$94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6-FE50-482D-905D-7C3B099138E4}"/>
            </c:ext>
          </c:extLst>
        </c:ser>
        <c:ser>
          <c:idx val="15"/>
          <c:order val="7"/>
          <c:tx>
            <c:strRef>
              <c:f>Projections!$A$95</c:f>
              <c:strCache>
                <c:ptCount val="1"/>
                <c:pt idx="0">
                  <c:v>10-19</c:v>
                </c:pt>
              </c:strCache>
            </c:strRef>
          </c:tx>
          <c:spPr>
            <a:ln w="28575" cap="rnd">
              <a:solidFill>
                <a:srgbClr val="92D05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Projections!$G$96:$AF$96</c15:sqref>
                  </c15:fullRef>
                </c:ext>
              </c:extLst>
              <c:f>Projections!$G$96:$T$96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7-FE50-482D-905D-7C3B099138E4}"/>
            </c:ext>
          </c:extLst>
        </c:ser>
        <c:ser>
          <c:idx val="17"/>
          <c:order val="8"/>
          <c:tx>
            <c:strRef>
              <c:f>Projections!$A$97</c:f>
              <c:strCache>
                <c:ptCount val="1"/>
                <c:pt idx="0">
                  <c:v>0-9</c:v>
                </c:pt>
              </c:strCache>
            </c:strRef>
          </c:tx>
          <c:spPr>
            <a:ln w="28575" cap="rnd">
              <a:solidFill>
                <a:schemeClr val="accent6">
                  <a:lumMod val="5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Projections!$G$98:$AF$98</c15:sqref>
                  </c15:fullRef>
                </c:ext>
              </c:extLst>
              <c:f>Projections!$G$98:$T$98</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8-FE50-482D-905D-7C3B099138E4}"/>
            </c:ext>
          </c:extLst>
        </c:ser>
        <c:dLbls>
          <c:showLegendKey val="0"/>
          <c:showVal val="0"/>
          <c:showCatName val="0"/>
          <c:showSerName val="0"/>
          <c:showPercent val="0"/>
          <c:showBubbleSize val="0"/>
        </c:dLbls>
        <c:smooth val="0"/>
        <c:axId val="677647896"/>
        <c:axId val="677648224"/>
      </c:lineChart>
      <c:dateAx>
        <c:axId val="67764789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8224"/>
        <c:crosses val="autoZero"/>
        <c:auto val="1"/>
        <c:lblOffset val="100"/>
        <c:baseTimeUnit val="days"/>
      </c:dateAx>
      <c:valAx>
        <c:axId val="67764822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 Cumulative Infections</a:t>
            </a:r>
            <a:r>
              <a:rPr lang="en-AU" baseline="0"/>
              <a:t>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Projections!$A$110</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Projections!$G$110:$AF$110</c15:sqref>
                  </c15:fullRef>
                </c:ext>
              </c:extLst>
              <c:f>Projections!$G$110:$T$110</c:f>
              <c:numCache>
                <c:formatCode>#,##0</c:formatCode>
                <c:ptCount val="14"/>
                <c:pt idx="0">
                  <c:v>3.3125</c:v>
                </c:pt>
                <c:pt idx="1">
                  <c:v>6.625</c:v>
                </c:pt>
                <c:pt idx="2">
                  <c:v>13.25</c:v>
                </c:pt>
                <c:pt idx="3">
                  <c:v>26.5</c:v>
                </c:pt>
                <c:pt idx="4">
                  <c:v>53</c:v>
                </c:pt>
                <c:pt idx="5">
                  <c:v>106</c:v>
                </c:pt>
                <c:pt idx="6">
                  <c:v>212</c:v>
                </c:pt>
                <c:pt idx="7">
                  <c:v>424</c:v>
                </c:pt>
                <c:pt idx="8">
                  <c:v>636</c:v>
                </c:pt>
                <c:pt idx="9">
                  <c:v>699.6</c:v>
                </c:pt>
                <c:pt idx="10">
                  <c:v>742</c:v>
                </c:pt>
                <c:pt idx="11">
                  <c:v>784.4</c:v>
                </c:pt>
                <c:pt idx="12">
                  <c:v>826.8</c:v>
                </c:pt>
                <c:pt idx="13">
                  <c:v>848</c:v>
                </c:pt>
              </c:numCache>
            </c:numRef>
          </c:val>
          <c:smooth val="0"/>
          <c:extLst>
            <c:ext xmlns:c16="http://schemas.microsoft.com/office/drawing/2014/chart" uri="{C3380CC4-5D6E-409C-BE32-E72D297353CC}">
              <c16:uniqueId val="{00000000-C5BA-4495-93D4-AC4CA8674604}"/>
            </c:ext>
          </c:extLst>
        </c:ser>
        <c:ser>
          <c:idx val="4"/>
          <c:order val="1"/>
          <c:tx>
            <c:strRef>
              <c:f>Projections!$A$108</c:f>
              <c:strCache>
                <c:ptCount val="1"/>
                <c:pt idx="0">
                  <c:v>Chronic Respiratory Disease</c:v>
                </c:pt>
              </c:strCache>
            </c:strRef>
          </c:tx>
          <c:spPr>
            <a:ln w="28575" cap="rnd">
              <a:solidFill>
                <a:schemeClr val="accent6">
                  <a:lumMod val="75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Projections!$G$108:$AF$108</c15:sqref>
                  </c15:fullRef>
                </c:ext>
              </c:extLst>
              <c:f>Projections!$G$108:$T$108</c:f>
              <c:numCache>
                <c:formatCode>#,##0</c:formatCode>
                <c:ptCount val="14"/>
                <c:pt idx="0">
                  <c:v>9.6875</c:v>
                </c:pt>
                <c:pt idx="1">
                  <c:v>19.375</c:v>
                </c:pt>
                <c:pt idx="2">
                  <c:v>38.75</c:v>
                </c:pt>
                <c:pt idx="3">
                  <c:v>77.5</c:v>
                </c:pt>
                <c:pt idx="4">
                  <c:v>155</c:v>
                </c:pt>
                <c:pt idx="5">
                  <c:v>310</c:v>
                </c:pt>
                <c:pt idx="6">
                  <c:v>620</c:v>
                </c:pt>
                <c:pt idx="7">
                  <c:v>1240</c:v>
                </c:pt>
                <c:pt idx="8">
                  <c:v>1860</c:v>
                </c:pt>
                <c:pt idx="9">
                  <c:v>2046</c:v>
                </c:pt>
                <c:pt idx="10">
                  <c:v>2170</c:v>
                </c:pt>
                <c:pt idx="11">
                  <c:v>2294</c:v>
                </c:pt>
                <c:pt idx="12">
                  <c:v>2418</c:v>
                </c:pt>
                <c:pt idx="13">
                  <c:v>2480</c:v>
                </c:pt>
              </c:numCache>
            </c:numRef>
          </c:val>
          <c:smooth val="0"/>
          <c:extLst>
            <c:ext xmlns:c16="http://schemas.microsoft.com/office/drawing/2014/chart" uri="{C3380CC4-5D6E-409C-BE32-E72D297353CC}">
              <c16:uniqueId val="{00000001-C5BA-4495-93D4-AC4CA8674604}"/>
            </c:ext>
          </c:extLst>
        </c:ser>
        <c:ser>
          <c:idx val="10"/>
          <c:order val="2"/>
          <c:tx>
            <c:strRef>
              <c:f>Projections!$A$114</c:f>
              <c:strCache>
                <c:ptCount val="1"/>
                <c:pt idx="0">
                  <c:v>Smoking</c:v>
                </c:pt>
              </c:strCache>
            </c:strRef>
          </c:tx>
          <c:spPr>
            <a:ln w="28575" cap="rnd">
              <a:solidFill>
                <a:schemeClr val="accent4">
                  <a:lumMod val="8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Projections!$G$114:$AF$114</c15:sqref>
                  </c15:fullRef>
                </c:ext>
              </c:extLst>
              <c:f>Projections!$G$114:$T$114</c:f>
              <c:numCache>
                <c:formatCode>#,##0</c:formatCode>
                <c:ptCount val="14"/>
                <c:pt idx="0">
                  <c:v>4.75</c:v>
                </c:pt>
                <c:pt idx="1">
                  <c:v>9.5</c:v>
                </c:pt>
                <c:pt idx="2">
                  <c:v>19</c:v>
                </c:pt>
                <c:pt idx="3">
                  <c:v>38</c:v>
                </c:pt>
                <c:pt idx="4">
                  <c:v>76</c:v>
                </c:pt>
                <c:pt idx="5">
                  <c:v>152</c:v>
                </c:pt>
                <c:pt idx="6">
                  <c:v>304</c:v>
                </c:pt>
                <c:pt idx="7">
                  <c:v>608</c:v>
                </c:pt>
                <c:pt idx="8">
                  <c:v>912</c:v>
                </c:pt>
                <c:pt idx="9">
                  <c:v>1003.1999999999999</c:v>
                </c:pt>
                <c:pt idx="10">
                  <c:v>1064</c:v>
                </c:pt>
                <c:pt idx="11">
                  <c:v>1124.8</c:v>
                </c:pt>
                <c:pt idx="12">
                  <c:v>1185.5999999999999</c:v>
                </c:pt>
                <c:pt idx="13">
                  <c:v>1216</c:v>
                </c:pt>
              </c:numCache>
            </c:numRef>
          </c:val>
          <c:smooth val="0"/>
          <c:extLst>
            <c:ext xmlns:c16="http://schemas.microsoft.com/office/drawing/2014/chart" uri="{C3380CC4-5D6E-409C-BE32-E72D297353CC}">
              <c16:uniqueId val="{00000002-C5BA-4495-93D4-AC4CA8674604}"/>
            </c:ext>
          </c:extLst>
        </c:ser>
        <c:ser>
          <c:idx val="0"/>
          <c:order val="3"/>
          <c:tx>
            <c:strRef>
              <c:f>Projections!$A$104</c:f>
              <c:strCache>
                <c:ptCount val="1"/>
                <c:pt idx="0">
                  <c:v>Cardiovascular Disease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Projections!$G$104:$AF$104</c15:sqref>
                  </c15:fullRef>
                </c:ext>
              </c:extLst>
              <c:f>Projections!$G$104:$T$104</c:f>
              <c:numCache>
                <c:formatCode>#,##0</c:formatCode>
                <c:ptCount val="14"/>
                <c:pt idx="0">
                  <c:v>1.5625</c:v>
                </c:pt>
                <c:pt idx="1">
                  <c:v>3.125</c:v>
                </c:pt>
                <c:pt idx="2">
                  <c:v>6.25</c:v>
                </c:pt>
                <c:pt idx="3">
                  <c:v>12.5</c:v>
                </c:pt>
                <c:pt idx="4">
                  <c:v>25</c:v>
                </c:pt>
                <c:pt idx="5">
                  <c:v>50</c:v>
                </c:pt>
                <c:pt idx="6">
                  <c:v>100</c:v>
                </c:pt>
                <c:pt idx="7">
                  <c:v>200</c:v>
                </c:pt>
                <c:pt idx="8">
                  <c:v>300</c:v>
                </c:pt>
                <c:pt idx="9">
                  <c:v>330</c:v>
                </c:pt>
                <c:pt idx="10">
                  <c:v>350</c:v>
                </c:pt>
                <c:pt idx="11">
                  <c:v>370</c:v>
                </c:pt>
                <c:pt idx="12">
                  <c:v>390</c:v>
                </c:pt>
                <c:pt idx="13">
                  <c:v>400</c:v>
                </c:pt>
              </c:numCache>
            </c:numRef>
          </c:val>
          <c:smooth val="0"/>
          <c:extLst>
            <c:ext xmlns:c16="http://schemas.microsoft.com/office/drawing/2014/chart" uri="{C3380CC4-5D6E-409C-BE32-E72D297353CC}">
              <c16:uniqueId val="{00000003-C5BA-4495-93D4-AC4CA8674604}"/>
            </c:ext>
          </c:extLst>
        </c:ser>
        <c:ser>
          <c:idx val="2"/>
          <c:order val="4"/>
          <c:tx>
            <c:strRef>
              <c:f>Projections!$A$106</c:f>
              <c:strCache>
                <c:ptCount val="1"/>
                <c:pt idx="0">
                  <c:v>Diabetes</c:v>
                </c:pt>
              </c:strCache>
            </c:strRef>
          </c:tx>
          <c:spPr>
            <a:ln w="28575" cap="rnd">
              <a:solidFill>
                <a:schemeClr val="accent2">
                  <a:lumMod val="75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Projections!$G$106:$AF$106</c15:sqref>
                  </c15:fullRef>
                </c:ext>
              </c:extLst>
              <c:f>Projections!$G$106:$T$106</c:f>
              <c:numCache>
                <c:formatCode>#,##0</c:formatCode>
                <c:ptCount val="14"/>
                <c:pt idx="0">
                  <c:v>1.53125</c:v>
                </c:pt>
                <c:pt idx="1">
                  <c:v>3.0625</c:v>
                </c:pt>
                <c:pt idx="2">
                  <c:v>6.125</c:v>
                </c:pt>
                <c:pt idx="3">
                  <c:v>12.25</c:v>
                </c:pt>
                <c:pt idx="4">
                  <c:v>24.5</c:v>
                </c:pt>
                <c:pt idx="5">
                  <c:v>49</c:v>
                </c:pt>
                <c:pt idx="6">
                  <c:v>98</c:v>
                </c:pt>
                <c:pt idx="7">
                  <c:v>196</c:v>
                </c:pt>
                <c:pt idx="8">
                  <c:v>294</c:v>
                </c:pt>
                <c:pt idx="9">
                  <c:v>323.40000000000003</c:v>
                </c:pt>
                <c:pt idx="10">
                  <c:v>343</c:v>
                </c:pt>
                <c:pt idx="11">
                  <c:v>362.6</c:v>
                </c:pt>
                <c:pt idx="12">
                  <c:v>382.2</c:v>
                </c:pt>
                <c:pt idx="13">
                  <c:v>392</c:v>
                </c:pt>
              </c:numCache>
            </c:numRef>
          </c:val>
          <c:smooth val="0"/>
          <c:extLst>
            <c:ext xmlns:c16="http://schemas.microsoft.com/office/drawing/2014/chart" uri="{C3380CC4-5D6E-409C-BE32-E72D297353CC}">
              <c16:uniqueId val="{00000004-C5BA-4495-93D4-AC4CA8674604}"/>
            </c:ext>
          </c:extLst>
        </c:ser>
        <c:ser>
          <c:idx val="8"/>
          <c:order val="5"/>
          <c:tx>
            <c:strRef>
              <c:f>Projections!$A$112</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Projections!$G$112:$AF$112</c15:sqref>
                  </c15:fullRef>
                </c:ext>
              </c:extLst>
              <c:f>Projections!$G$112:$T$112</c:f>
              <c:numCache>
                <c:formatCode>#,##0</c:formatCode>
                <c:ptCount val="14"/>
                <c:pt idx="0">
                  <c:v>0.5625</c:v>
                </c:pt>
                <c:pt idx="1">
                  <c:v>1.125</c:v>
                </c:pt>
                <c:pt idx="2">
                  <c:v>2.25</c:v>
                </c:pt>
                <c:pt idx="3">
                  <c:v>4.5</c:v>
                </c:pt>
                <c:pt idx="4">
                  <c:v>9</c:v>
                </c:pt>
                <c:pt idx="5">
                  <c:v>18</c:v>
                </c:pt>
                <c:pt idx="6">
                  <c:v>36</c:v>
                </c:pt>
                <c:pt idx="7">
                  <c:v>72</c:v>
                </c:pt>
                <c:pt idx="8">
                  <c:v>107.99999999999999</c:v>
                </c:pt>
                <c:pt idx="9">
                  <c:v>118.8</c:v>
                </c:pt>
                <c:pt idx="10">
                  <c:v>125.99999999999999</c:v>
                </c:pt>
                <c:pt idx="11">
                  <c:v>133.19999999999999</c:v>
                </c:pt>
                <c:pt idx="12">
                  <c:v>140.39999999999998</c:v>
                </c:pt>
                <c:pt idx="13">
                  <c:v>144</c:v>
                </c:pt>
              </c:numCache>
            </c:numRef>
          </c:val>
          <c:smooth val="0"/>
          <c:extLst>
            <c:ext xmlns:c16="http://schemas.microsoft.com/office/drawing/2014/chart" uri="{C3380CC4-5D6E-409C-BE32-E72D297353CC}">
              <c16:uniqueId val="{00000005-C5BA-4495-93D4-AC4CA8674604}"/>
            </c:ext>
          </c:extLst>
        </c:ser>
        <c:dLbls>
          <c:showLegendKey val="0"/>
          <c:showVal val="0"/>
          <c:showCatName val="0"/>
          <c:showSerName val="0"/>
          <c:showPercent val="0"/>
          <c:showBubbleSize val="0"/>
        </c:dLbls>
        <c:smooth val="0"/>
        <c:axId val="672865256"/>
        <c:axId val="672864272"/>
      </c:lineChart>
      <c:dateAx>
        <c:axId val="6728652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4272"/>
        <c:crosses val="autoZero"/>
        <c:auto val="1"/>
        <c:lblOffset val="100"/>
        <c:baseTimeUnit val="days"/>
      </c:dateAx>
      <c:valAx>
        <c:axId val="672864272"/>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65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COVID-19</a:t>
            </a:r>
            <a:r>
              <a:rPr lang="en-AU" baseline="0"/>
              <a:t> Cumulative Deaths by Comorbidity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0"/>
          <c:tx>
            <c:strRef>
              <c:f>Projections!$A$110</c:f>
              <c:strCache>
                <c:ptCount val="1"/>
                <c:pt idx="0">
                  <c:v>Hypertension</c:v>
                </c:pt>
              </c:strCache>
            </c:strRef>
          </c:tx>
          <c:spPr>
            <a:ln w="28575" cap="rnd">
              <a:solidFill>
                <a:srgbClr val="FF000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Projections!$G$111:$AF$111</c15:sqref>
                  </c15:fullRef>
                </c:ext>
              </c:extLst>
              <c:f>Projections!$G$111:$T$111</c:f>
              <c:numCache>
                <c:formatCode>#,##0</c:formatCode>
                <c:ptCount val="14"/>
                <c:pt idx="0">
                  <c:v>0.19874999999999998</c:v>
                </c:pt>
                <c:pt idx="1">
                  <c:v>0.39749999999999996</c:v>
                </c:pt>
                <c:pt idx="2">
                  <c:v>0.79499999999999993</c:v>
                </c:pt>
                <c:pt idx="3">
                  <c:v>1.5899999999999999</c:v>
                </c:pt>
                <c:pt idx="4">
                  <c:v>3.1799999999999997</c:v>
                </c:pt>
                <c:pt idx="5">
                  <c:v>6.3599999999999994</c:v>
                </c:pt>
                <c:pt idx="6">
                  <c:v>12.719999999999999</c:v>
                </c:pt>
                <c:pt idx="7">
                  <c:v>25.439999999999998</c:v>
                </c:pt>
                <c:pt idx="8">
                  <c:v>38.159999999999997</c:v>
                </c:pt>
                <c:pt idx="9">
                  <c:v>41.975999999999999</c:v>
                </c:pt>
                <c:pt idx="10">
                  <c:v>44.519999999999996</c:v>
                </c:pt>
                <c:pt idx="11">
                  <c:v>47.064</c:v>
                </c:pt>
                <c:pt idx="12">
                  <c:v>49.607999999999997</c:v>
                </c:pt>
                <c:pt idx="13">
                  <c:v>50.879999999999995</c:v>
                </c:pt>
              </c:numCache>
            </c:numRef>
          </c:val>
          <c:smooth val="0"/>
          <c:extLst>
            <c:ext xmlns:c16="http://schemas.microsoft.com/office/drawing/2014/chart" uri="{C3380CC4-5D6E-409C-BE32-E72D297353CC}">
              <c16:uniqueId val="{00000000-5E66-4AF0-A3CA-7CF12153AA8E}"/>
            </c:ext>
          </c:extLst>
        </c:ser>
        <c:ser>
          <c:idx val="5"/>
          <c:order val="1"/>
          <c:tx>
            <c:strRef>
              <c:f>Projections!$A$108</c:f>
              <c:strCache>
                <c:ptCount val="1"/>
                <c:pt idx="0">
                  <c:v>Chronic Respiratory Disease</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Projections!$G$109:$AF$109</c15:sqref>
                  </c15:fullRef>
                </c:ext>
              </c:extLst>
              <c:f>Projections!$G$109:$T$109</c:f>
              <c:numCache>
                <c:formatCode>#,##0</c:formatCode>
                <c:ptCount val="14"/>
                <c:pt idx="0">
                  <c:v>0.61031250000000004</c:v>
                </c:pt>
                <c:pt idx="1">
                  <c:v>1.2206250000000001</c:v>
                </c:pt>
                <c:pt idx="2">
                  <c:v>2.4412500000000001</c:v>
                </c:pt>
                <c:pt idx="3">
                  <c:v>4.8825000000000003</c:v>
                </c:pt>
                <c:pt idx="4">
                  <c:v>9.7650000000000006</c:v>
                </c:pt>
                <c:pt idx="5">
                  <c:v>19.53</c:v>
                </c:pt>
                <c:pt idx="6">
                  <c:v>39.06</c:v>
                </c:pt>
                <c:pt idx="7">
                  <c:v>78.12</c:v>
                </c:pt>
                <c:pt idx="8">
                  <c:v>117.18</c:v>
                </c:pt>
                <c:pt idx="9">
                  <c:v>128.898</c:v>
                </c:pt>
                <c:pt idx="10">
                  <c:v>136.71</c:v>
                </c:pt>
                <c:pt idx="11">
                  <c:v>144.52199999999999</c:v>
                </c:pt>
                <c:pt idx="12">
                  <c:v>152.334</c:v>
                </c:pt>
                <c:pt idx="13">
                  <c:v>156.24</c:v>
                </c:pt>
              </c:numCache>
            </c:numRef>
          </c:val>
          <c:smooth val="0"/>
          <c:extLst>
            <c:ext xmlns:c16="http://schemas.microsoft.com/office/drawing/2014/chart" uri="{C3380CC4-5D6E-409C-BE32-E72D297353CC}">
              <c16:uniqueId val="{00000001-5E66-4AF0-A3CA-7CF12153AA8E}"/>
            </c:ext>
          </c:extLst>
        </c:ser>
        <c:ser>
          <c:idx val="1"/>
          <c:order val="2"/>
          <c:tx>
            <c:strRef>
              <c:f>Projections!$A$104</c:f>
              <c:strCache>
                <c:ptCount val="1"/>
                <c:pt idx="0">
                  <c:v>Cardiovascular Disease</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Projections!$G$105:$AF$105</c15:sqref>
                  </c15:fullRef>
                </c:ext>
              </c:extLst>
              <c:f>Projections!$G$105:$T$105</c:f>
              <c:numCache>
                <c:formatCode>#,##0</c:formatCode>
                <c:ptCount val="14"/>
                <c:pt idx="0">
                  <c:v>0.1640625</c:v>
                </c:pt>
                <c:pt idx="1">
                  <c:v>0.328125</c:v>
                </c:pt>
                <c:pt idx="2">
                  <c:v>0.65625</c:v>
                </c:pt>
                <c:pt idx="3">
                  <c:v>1.3125</c:v>
                </c:pt>
                <c:pt idx="4">
                  <c:v>2.625</c:v>
                </c:pt>
                <c:pt idx="5">
                  <c:v>5.25</c:v>
                </c:pt>
                <c:pt idx="6">
                  <c:v>10.5</c:v>
                </c:pt>
                <c:pt idx="7">
                  <c:v>21</c:v>
                </c:pt>
                <c:pt idx="8">
                  <c:v>31.5</c:v>
                </c:pt>
                <c:pt idx="9">
                  <c:v>34.65</c:v>
                </c:pt>
                <c:pt idx="10">
                  <c:v>36.75</c:v>
                </c:pt>
                <c:pt idx="11">
                  <c:v>38.85</c:v>
                </c:pt>
                <c:pt idx="12">
                  <c:v>40.949999999999996</c:v>
                </c:pt>
                <c:pt idx="13">
                  <c:v>42</c:v>
                </c:pt>
              </c:numCache>
            </c:numRef>
          </c:val>
          <c:smooth val="0"/>
          <c:extLst>
            <c:ext xmlns:c16="http://schemas.microsoft.com/office/drawing/2014/chart" uri="{C3380CC4-5D6E-409C-BE32-E72D297353CC}">
              <c16:uniqueId val="{00000002-5E66-4AF0-A3CA-7CF12153AA8E}"/>
            </c:ext>
          </c:extLst>
        </c:ser>
        <c:ser>
          <c:idx val="3"/>
          <c:order val="3"/>
          <c:tx>
            <c:strRef>
              <c:f>Projections!$A$106</c:f>
              <c:strCache>
                <c:ptCount val="1"/>
                <c:pt idx="0">
                  <c:v>Diabetes</c:v>
                </c:pt>
              </c:strCache>
            </c:strRef>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Projections!$G$107:$AF$107</c15:sqref>
                  </c15:fullRef>
                </c:ext>
              </c:extLst>
              <c:f>Projections!$G$107:$T$107</c:f>
              <c:numCache>
                <c:formatCode>#,##0</c:formatCode>
                <c:ptCount val="14"/>
                <c:pt idx="0">
                  <c:v>0.11178125</c:v>
                </c:pt>
                <c:pt idx="1">
                  <c:v>0.2235625</c:v>
                </c:pt>
                <c:pt idx="2">
                  <c:v>0.44712499999999999</c:v>
                </c:pt>
                <c:pt idx="3">
                  <c:v>0.89424999999999999</c:v>
                </c:pt>
                <c:pt idx="4">
                  <c:v>1.7885</c:v>
                </c:pt>
                <c:pt idx="5">
                  <c:v>3.577</c:v>
                </c:pt>
                <c:pt idx="6">
                  <c:v>7.1539999999999999</c:v>
                </c:pt>
                <c:pt idx="7">
                  <c:v>14.308</c:v>
                </c:pt>
                <c:pt idx="8">
                  <c:v>21.462</c:v>
                </c:pt>
                <c:pt idx="9">
                  <c:v>23.6082</c:v>
                </c:pt>
                <c:pt idx="10">
                  <c:v>25.038999999999998</c:v>
                </c:pt>
                <c:pt idx="11">
                  <c:v>26.469799999999999</c:v>
                </c:pt>
                <c:pt idx="12">
                  <c:v>27.900599999999997</c:v>
                </c:pt>
                <c:pt idx="13">
                  <c:v>28.616</c:v>
                </c:pt>
              </c:numCache>
            </c:numRef>
          </c:val>
          <c:smooth val="0"/>
          <c:extLst>
            <c:ext xmlns:c16="http://schemas.microsoft.com/office/drawing/2014/chart" uri="{C3380CC4-5D6E-409C-BE32-E72D297353CC}">
              <c16:uniqueId val="{00000003-5E66-4AF0-A3CA-7CF12153AA8E}"/>
            </c:ext>
          </c:extLst>
        </c:ser>
        <c:ser>
          <c:idx val="9"/>
          <c:order val="4"/>
          <c:tx>
            <c:strRef>
              <c:f>Projections!$A$112</c:f>
              <c:strCache>
                <c:ptCount val="1"/>
                <c:pt idx="0">
                  <c:v>Cancer</c:v>
                </c:pt>
              </c:strCache>
            </c:strRef>
          </c:tx>
          <c:spPr>
            <a:ln w="28575" cap="rnd">
              <a:solidFill>
                <a:srgbClr val="7030A0"/>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Projections!$G$113:$AF$113</c15:sqref>
                  </c15:fullRef>
                </c:ext>
              </c:extLst>
              <c:f>Projections!$G$113:$T$113</c:f>
              <c:numCache>
                <c:formatCode>#,##0</c:formatCode>
                <c:ptCount val="14"/>
                <c:pt idx="0">
                  <c:v>3.15E-2</c:v>
                </c:pt>
                <c:pt idx="1">
                  <c:v>6.3E-2</c:v>
                </c:pt>
                <c:pt idx="2">
                  <c:v>0.126</c:v>
                </c:pt>
                <c:pt idx="3">
                  <c:v>0.252</c:v>
                </c:pt>
                <c:pt idx="4">
                  <c:v>0.504</c:v>
                </c:pt>
                <c:pt idx="5">
                  <c:v>1.008</c:v>
                </c:pt>
                <c:pt idx="6">
                  <c:v>2.016</c:v>
                </c:pt>
                <c:pt idx="7">
                  <c:v>4.032</c:v>
                </c:pt>
                <c:pt idx="8">
                  <c:v>6.0479999999999992</c:v>
                </c:pt>
                <c:pt idx="9">
                  <c:v>6.6528</c:v>
                </c:pt>
                <c:pt idx="10">
                  <c:v>7.0559999999999992</c:v>
                </c:pt>
                <c:pt idx="11">
                  <c:v>7.4591999999999992</c:v>
                </c:pt>
                <c:pt idx="12">
                  <c:v>7.8623999999999992</c:v>
                </c:pt>
                <c:pt idx="13">
                  <c:v>8.0640000000000001</c:v>
                </c:pt>
              </c:numCache>
            </c:numRef>
          </c:val>
          <c:smooth val="0"/>
          <c:extLst>
            <c:ext xmlns:c16="http://schemas.microsoft.com/office/drawing/2014/chart" uri="{C3380CC4-5D6E-409C-BE32-E72D297353CC}">
              <c16:uniqueId val="{00000004-5E66-4AF0-A3CA-7CF12153AA8E}"/>
            </c:ext>
          </c:extLst>
        </c:ser>
        <c:dLbls>
          <c:showLegendKey val="0"/>
          <c:showVal val="0"/>
          <c:showCatName val="0"/>
          <c:showSerName val="0"/>
          <c:showPercent val="0"/>
          <c:showBubbleSize val="0"/>
        </c:dLbls>
        <c:smooth val="0"/>
        <c:axId val="591031856"/>
        <c:axId val="591030544"/>
      </c:lineChart>
      <c:dateAx>
        <c:axId val="5910318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0544"/>
        <c:crosses val="autoZero"/>
        <c:auto val="1"/>
        <c:lblOffset val="100"/>
        <c:baseTimeUnit val="days"/>
      </c:dateAx>
      <c:valAx>
        <c:axId val="59103054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 Actual Infection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Projections!$A$49</c:f>
              <c:strCache>
                <c:ptCount val="1"/>
                <c:pt idx="0">
                  <c:v>Projected Detected Population Infected</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Projections!$G$49:$AF$49</c15:sqref>
                  </c15:fullRef>
                </c:ext>
              </c:extLst>
              <c:f>Projections!$G$49:$T$49</c:f>
              <c:numCache>
                <c:formatCode>#,##0_ ;[Red]\-#,##0\ </c:formatCode>
                <c:ptCount val="14"/>
                <c:pt idx="0">
                  <c:v>31.25</c:v>
                </c:pt>
                <c:pt idx="1">
                  <c:v>62.5</c:v>
                </c:pt>
                <c:pt idx="2">
                  <c:v>125</c:v>
                </c:pt>
                <c:pt idx="3">
                  <c:v>250</c:v>
                </c:pt>
                <c:pt idx="4">
                  <c:v>500</c:v>
                </c:pt>
                <c:pt idx="5">
                  <c:v>1000</c:v>
                </c:pt>
                <c:pt idx="6">
                  <c:v>2000</c:v>
                </c:pt>
                <c:pt idx="7">
                  <c:v>4000</c:v>
                </c:pt>
                <c:pt idx="8">
                  <c:v>6000</c:v>
                </c:pt>
                <c:pt idx="9">
                  <c:v>6600</c:v>
                </c:pt>
                <c:pt idx="10">
                  <c:v>7000</c:v>
                </c:pt>
                <c:pt idx="11">
                  <c:v>7400</c:v>
                </c:pt>
                <c:pt idx="12">
                  <c:v>7800</c:v>
                </c:pt>
                <c:pt idx="13">
                  <c:v>8000</c:v>
                </c:pt>
              </c:numCache>
            </c:numRef>
          </c:val>
          <c:smooth val="0"/>
          <c:extLst>
            <c:ext xmlns:c16="http://schemas.microsoft.com/office/drawing/2014/chart" uri="{C3380CC4-5D6E-409C-BE32-E72D297353CC}">
              <c16:uniqueId val="{00000000-9DE3-43B6-B60B-9B4AA4851702}"/>
            </c:ext>
          </c:extLst>
        </c:ser>
        <c:ser>
          <c:idx val="1"/>
          <c:order val="1"/>
          <c:tx>
            <c:strRef>
              <c:f>Projections!$A$73</c:f>
              <c:strCache>
                <c:ptCount val="1"/>
                <c:pt idx="0">
                  <c:v>Actual Confirmed Infections</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Projections!$G$73:$AF$73</c15:sqref>
                  </c15:fullRef>
                </c:ext>
              </c:extLst>
              <c:f>Projections!$G$73:$T$73</c:f>
              <c:numCache>
                <c:formatCode>General</c:formatCode>
                <c:ptCount val="14"/>
                <c:pt idx="0">
                  <c:v>33</c:v>
                </c:pt>
                <c:pt idx="1">
                  <c:v>63</c:v>
                </c:pt>
                <c:pt idx="2" formatCode="#,##0">
                  <c:v>116</c:v>
                </c:pt>
                <c:pt idx="3" formatCode="#,##0">
                  <c:v>248</c:v>
                </c:pt>
                <c:pt idx="4" formatCode="#,##0">
                  <c:v>596</c:v>
                </c:pt>
                <c:pt idx="5" formatCode="#,##0">
                  <c:v>1072</c:v>
                </c:pt>
                <c:pt idx="6" formatCode="#,##0">
                  <c:v>2317</c:v>
                </c:pt>
                <c:pt idx="7" formatCode="#,##0">
                  <c:v>4163</c:v>
                </c:pt>
                <c:pt idx="8" formatCode="#,##0">
                  <c:v>6052</c:v>
                </c:pt>
                <c:pt idx="9" formatCode="#,##0">
                  <c:v>6612</c:v>
                </c:pt>
                <c:pt idx="10" formatCode="#,##0">
                  <c:v>7019</c:v>
                </c:pt>
                <c:pt idx="11" formatCode="#,##0">
                  <c:v>7409</c:v>
                </c:pt>
                <c:pt idx="12" formatCode="#,##0">
                  <c:v>7800</c:v>
                </c:pt>
                <c:pt idx="13" formatCode="#,##0">
                  <c:v>8000</c:v>
                </c:pt>
              </c:numCache>
            </c:numRef>
          </c:val>
          <c:smooth val="0"/>
          <c:extLst>
            <c:ext xmlns:c16="http://schemas.microsoft.com/office/drawing/2014/chart" uri="{C3380CC4-5D6E-409C-BE32-E72D297353CC}">
              <c16:uniqueId val="{00000001-9DE3-43B6-B60B-9B4AA4851702}"/>
            </c:ext>
          </c:extLst>
        </c:ser>
        <c:dLbls>
          <c:showLegendKey val="0"/>
          <c:showVal val="0"/>
          <c:showCatName val="0"/>
          <c:showSerName val="0"/>
          <c:showPercent val="0"/>
          <c:showBubbleSize val="0"/>
        </c:dLbls>
        <c:smooth val="0"/>
        <c:axId val="602767304"/>
        <c:axId val="602767632"/>
      </c:lineChart>
      <c:dateAx>
        <c:axId val="6027673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632"/>
        <c:crosses val="autoZero"/>
        <c:auto val="1"/>
        <c:lblOffset val="100"/>
        <c:baseTimeUnit val="days"/>
      </c:dateAx>
      <c:valAx>
        <c:axId val="602767632"/>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76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Projected vs</a:t>
            </a:r>
            <a:r>
              <a:rPr lang="en-AU" baseline="0"/>
              <a:t> Actual Mortality Rates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Projections!$A$63</c:f>
              <c:strCache>
                <c:ptCount val="1"/>
                <c:pt idx="0">
                  <c:v>Projected Cumulative Mortality Count (future projection)</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Projections!$G$63:$AF$63</c15:sqref>
                  </c15:fullRef>
                </c:ext>
              </c:extLst>
              <c:f>Projections!$G$63:$T$63</c:f>
              <c:numCache>
                <c:formatCode>#,##0_ ;[Red]\-#,##0\ </c:formatCode>
                <c:ptCount val="14"/>
                <c:pt idx="0">
                  <c:v>0.43124999999999997</c:v>
                </c:pt>
                <c:pt idx="1">
                  <c:v>0.86249999999999993</c:v>
                </c:pt>
                <c:pt idx="2">
                  <c:v>1.7249999999999999</c:v>
                </c:pt>
                <c:pt idx="3">
                  <c:v>3.4499999999999997</c:v>
                </c:pt>
                <c:pt idx="4">
                  <c:v>6.8999999999999995</c:v>
                </c:pt>
                <c:pt idx="5">
                  <c:v>13.799999999999999</c:v>
                </c:pt>
                <c:pt idx="6">
                  <c:v>27.599999999999998</c:v>
                </c:pt>
                <c:pt idx="7">
                  <c:v>55.199999999999996</c:v>
                </c:pt>
                <c:pt idx="8">
                  <c:v>82.8</c:v>
                </c:pt>
                <c:pt idx="9">
                  <c:v>91.08</c:v>
                </c:pt>
                <c:pt idx="10">
                  <c:v>96.6</c:v>
                </c:pt>
                <c:pt idx="11">
                  <c:v>102.12</c:v>
                </c:pt>
                <c:pt idx="12">
                  <c:v>107.64</c:v>
                </c:pt>
                <c:pt idx="13">
                  <c:v>110.39999999999999</c:v>
                </c:pt>
              </c:numCache>
            </c:numRef>
          </c:val>
          <c:smooth val="0"/>
          <c:extLst>
            <c:ext xmlns:c16="http://schemas.microsoft.com/office/drawing/2014/chart" uri="{C3380CC4-5D6E-409C-BE32-E72D297353CC}">
              <c16:uniqueId val="{00000000-FE1B-4946-A476-7952C5C71231}"/>
            </c:ext>
          </c:extLst>
        </c:ser>
        <c:ser>
          <c:idx val="1"/>
          <c:order val="1"/>
          <c:tx>
            <c:strRef>
              <c:f>Projections!$A$77</c:f>
              <c:strCache>
                <c:ptCount val="1"/>
                <c:pt idx="0">
                  <c:v>Actual Mortality Count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Projections!$G$48:$AF$48</c15:sqref>
                  </c15:fullRef>
                </c:ext>
              </c:extLst>
              <c:f>Projections!$G$48:$T$48</c:f>
              <c:numCache>
                <c:formatCode>m/d/yyyy</c:formatCode>
                <c:ptCount val="14"/>
                <c:pt idx="0">
                  <c:v>43892</c:v>
                </c:pt>
                <c:pt idx="1">
                  <c:v>43896</c:v>
                </c:pt>
                <c:pt idx="2">
                  <c:v>43900</c:v>
                </c:pt>
                <c:pt idx="3">
                  <c:v>43904</c:v>
                </c:pt>
                <c:pt idx="4">
                  <c:v>43908</c:v>
                </c:pt>
                <c:pt idx="5">
                  <c:v>43911</c:v>
                </c:pt>
                <c:pt idx="6">
                  <c:v>43914</c:v>
                </c:pt>
                <c:pt idx="7">
                  <c:v>43919</c:v>
                </c:pt>
                <c:pt idx="8">
                  <c:v>43929.35</c:v>
                </c:pt>
                <c:pt idx="9">
                  <c:v>43940.85</c:v>
                </c:pt>
                <c:pt idx="10">
                  <c:v>43966.15</c:v>
                </c:pt>
                <c:pt idx="11">
                  <c:v>44001.8</c:v>
                </c:pt>
                <c:pt idx="12">
                  <c:v>44022.5</c:v>
                </c:pt>
                <c:pt idx="13">
                  <c:v>44034</c:v>
                </c:pt>
              </c:numCache>
            </c:numRef>
          </c:cat>
          <c:val>
            <c:numRef>
              <c:extLst>
                <c:ext xmlns:c15="http://schemas.microsoft.com/office/drawing/2012/chart" uri="{02D57815-91ED-43cb-92C2-25804820EDAC}">
                  <c15:fullRef>
                    <c15:sqref>Projections!$G$77:$AF$77</c15:sqref>
                  </c15:fullRef>
                </c:ext>
              </c:extLst>
              <c:f>Projections!$G$77:$T$77</c:f>
              <c:numCache>
                <c:formatCode>General</c:formatCode>
                <c:ptCount val="14"/>
                <c:pt idx="0">
                  <c:v>1</c:v>
                </c:pt>
                <c:pt idx="1">
                  <c:v>2</c:v>
                </c:pt>
                <c:pt idx="2" formatCode="#,##0">
                  <c:v>3</c:v>
                </c:pt>
                <c:pt idx="3" formatCode="#,##0">
                  <c:v>5</c:v>
                </c:pt>
                <c:pt idx="4" formatCode="#,##0">
                  <c:v>6</c:v>
                </c:pt>
                <c:pt idx="5" formatCode="#,##0">
                  <c:v>7</c:v>
                </c:pt>
                <c:pt idx="6" formatCode="#,##0">
                  <c:v>8</c:v>
                </c:pt>
                <c:pt idx="7" formatCode="#,##0">
                  <c:v>16</c:v>
                </c:pt>
                <c:pt idx="8" formatCode="#,##0">
                  <c:v>50</c:v>
                </c:pt>
                <c:pt idx="9" formatCode="#,##0">
                  <c:v>71</c:v>
                </c:pt>
                <c:pt idx="10" formatCode="#,##0">
                  <c:v>98</c:v>
                </c:pt>
                <c:pt idx="11" formatCode="#,##0">
                  <c:v>102</c:v>
                </c:pt>
                <c:pt idx="12" formatCode="#,##0">
                  <c:v>102</c:v>
                </c:pt>
              </c:numCache>
            </c:numRef>
          </c:val>
          <c:smooth val="0"/>
          <c:extLst>
            <c:ext xmlns:c16="http://schemas.microsoft.com/office/drawing/2014/chart" uri="{C3380CC4-5D6E-409C-BE32-E72D297353CC}">
              <c16:uniqueId val="{00000001-FE1B-4946-A476-7952C5C71231}"/>
            </c:ext>
          </c:extLst>
        </c:ser>
        <c:dLbls>
          <c:showLegendKey val="0"/>
          <c:showVal val="0"/>
          <c:showCatName val="0"/>
          <c:showSerName val="0"/>
          <c:showPercent val="0"/>
          <c:showBubbleSize val="0"/>
        </c:dLbls>
        <c:smooth val="0"/>
        <c:axId val="606292128"/>
        <c:axId val="230337920"/>
      </c:lineChart>
      <c:dateAx>
        <c:axId val="606292128"/>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337920"/>
        <c:crosses val="autoZero"/>
        <c:auto val="1"/>
        <c:lblOffset val="100"/>
        <c:baseTimeUnit val="days"/>
      </c:dateAx>
      <c:valAx>
        <c:axId val="230337920"/>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9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7.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 Id="rId1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9</xdr:col>
      <xdr:colOff>704849</xdr:colOff>
      <xdr:row>34</xdr:row>
      <xdr:rowOff>4761</xdr:rowOff>
    </xdr:from>
    <xdr:to>
      <xdr:col>18</xdr:col>
      <xdr:colOff>0</xdr:colOff>
      <xdr:row>53</xdr:row>
      <xdr:rowOff>9524</xdr:rowOff>
    </xdr:to>
    <xdr:graphicFrame macro="">
      <xdr:nvGraphicFramePr>
        <xdr:cNvPr id="2" name="Chart 1">
          <a:extLst>
            <a:ext uri="{FF2B5EF4-FFF2-40B4-BE49-F238E27FC236}">
              <a16:creationId xmlns:a16="http://schemas.microsoft.com/office/drawing/2014/main" id="{C6F959D7-F7CE-43D0-AC2D-45DE1731F3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54</xdr:row>
      <xdr:rowOff>4762</xdr:rowOff>
    </xdr:from>
    <xdr:to>
      <xdr:col>18</xdr:col>
      <xdr:colOff>9525</xdr:colOff>
      <xdr:row>72</xdr:row>
      <xdr:rowOff>0</xdr:rowOff>
    </xdr:to>
    <xdr:graphicFrame macro="">
      <xdr:nvGraphicFramePr>
        <xdr:cNvPr id="3" name="Chart 2">
          <a:extLst>
            <a:ext uri="{FF2B5EF4-FFF2-40B4-BE49-F238E27FC236}">
              <a16:creationId xmlns:a16="http://schemas.microsoft.com/office/drawing/2014/main" id="{087A04A7-24EC-41B0-B618-0848E2F76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714374</xdr:colOff>
      <xdr:row>34</xdr:row>
      <xdr:rowOff>14286</xdr:rowOff>
    </xdr:from>
    <xdr:to>
      <xdr:col>27</xdr:col>
      <xdr:colOff>9525</xdr:colOff>
      <xdr:row>53</xdr:row>
      <xdr:rowOff>19049</xdr:rowOff>
    </xdr:to>
    <xdr:graphicFrame macro="">
      <xdr:nvGraphicFramePr>
        <xdr:cNvPr id="4" name="Chart 3">
          <a:extLst>
            <a:ext uri="{FF2B5EF4-FFF2-40B4-BE49-F238E27FC236}">
              <a16:creationId xmlns:a16="http://schemas.microsoft.com/office/drawing/2014/main" id="{22502D5B-2C44-4788-B42E-C7E82A671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9525</xdr:colOff>
      <xdr:row>54</xdr:row>
      <xdr:rowOff>14287</xdr:rowOff>
    </xdr:from>
    <xdr:to>
      <xdr:col>27</xdr:col>
      <xdr:colOff>19050</xdr:colOff>
      <xdr:row>72</xdr:row>
      <xdr:rowOff>9525</xdr:rowOff>
    </xdr:to>
    <xdr:graphicFrame macro="">
      <xdr:nvGraphicFramePr>
        <xdr:cNvPr id="5" name="Chart 4">
          <a:extLst>
            <a:ext uri="{FF2B5EF4-FFF2-40B4-BE49-F238E27FC236}">
              <a16:creationId xmlns:a16="http://schemas.microsoft.com/office/drawing/2014/main" id="{FC633A5F-667D-4DFF-BF53-204C8865C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33</xdr:col>
      <xdr:colOff>581026</xdr:colOff>
      <xdr:row>47</xdr:row>
      <xdr:rowOff>66675</xdr:rowOff>
    </xdr:from>
    <xdr:to>
      <xdr:col>45</xdr:col>
      <xdr:colOff>409575</xdr:colOff>
      <xdr:row>79</xdr:row>
      <xdr:rowOff>66675</xdr:rowOff>
    </xdr:to>
    <xdr:graphicFrame macro="">
      <xdr:nvGraphicFramePr>
        <xdr:cNvPr id="2" name="Chart 1">
          <a:extLst>
            <a:ext uri="{FF2B5EF4-FFF2-40B4-BE49-F238E27FC236}">
              <a16:creationId xmlns:a16="http://schemas.microsoft.com/office/drawing/2014/main" id="{56A37889-8129-4719-9726-20DF3A27C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33</xdr:col>
      <xdr:colOff>545955</xdr:colOff>
      <xdr:row>119</xdr:row>
      <xdr:rowOff>82014</xdr:rowOff>
    </xdr:from>
    <xdr:to>
      <xdr:col>45</xdr:col>
      <xdr:colOff>438150</xdr:colOff>
      <xdr:row>142</xdr:row>
      <xdr:rowOff>91539</xdr:rowOff>
    </xdr:to>
    <xdr:graphicFrame macro="">
      <xdr:nvGraphicFramePr>
        <xdr:cNvPr id="3" name="Chart 2">
          <a:extLst>
            <a:ext uri="{FF2B5EF4-FFF2-40B4-BE49-F238E27FC236}">
              <a16:creationId xmlns:a16="http://schemas.microsoft.com/office/drawing/2014/main" id="{E9882CBA-85FC-4AC1-86E6-D5AE5B28B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574531</xdr:colOff>
      <xdr:row>143</xdr:row>
      <xdr:rowOff>86776</xdr:rowOff>
    </xdr:from>
    <xdr:to>
      <xdr:col>45</xdr:col>
      <xdr:colOff>447675</xdr:colOff>
      <xdr:row>160</xdr:row>
      <xdr:rowOff>62964</xdr:rowOff>
    </xdr:to>
    <xdr:graphicFrame macro="">
      <xdr:nvGraphicFramePr>
        <xdr:cNvPr id="4" name="Chart 3">
          <a:extLst>
            <a:ext uri="{FF2B5EF4-FFF2-40B4-BE49-F238E27FC236}">
              <a16:creationId xmlns:a16="http://schemas.microsoft.com/office/drawing/2014/main" id="{AAFF43D9-93A5-4FE4-A736-87AB338AE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550717</xdr:colOff>
      <xdr:row>161</xdr:row>
      <xdr:rowOff>67725</xdr:rowOff>
    </xdr:from>
    <xdr:to>
      <xdr:col>45</xdr:col>
      <xdr:colOff>457199</xdr:colOff>
      <xdr:row>177</xdr:row>
      <xdr:rowOff>62964</xdr:rowOff>
    </xdr:to>
    <xdr:graphicFrame macro="">
      <xdr:nvGraphicFramePr>
        <xdr:cNvPr id="5" name="Chart 4">
          <a:extLst>
            <a:ext uri="{FF2B5EF4-FFF2-40B4-BE49-F238E27FC236}">
              <a16:creationId xmlns:a16="http://schemas.microsoft.com/office/drawing/2014/main" id="{04BBE463-41E9-4C60-A327-2B795F854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550719</xdr:colOff>
      <xdr:row>178</xdr:row>
      <xdr:rowOff>86775</xdr:rowOff>
    </xdr:from>
    <xdr:to>
      <xdr:col>45</xdr:col>
      <xdr:colOff>438150</xdr:colOff>
      <xdr:row>197</xdr:row>
      <xdr:rowOff>82014</xdr:rowOff>
    </xdr:to>
    <xdr:graphicFrame macro="">
      <xdr:nvGraphicFramePr>
        <xdr:cNvPr id="6" name="Chart 5">
          <a:extLst>
            <a:ext uri="{FF2B5EF4-FFF2-40B4-BE49-F238E27FC236}">
              <a16:creationId xmlns:a16="http://schemas.microsoft.com/office/drawing/2014/main" id="{F201EC50-DCDD-4BED-8E70-3DCC4978E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33</xdr:col>
      <xdr:colOff>547687</xdr:colOff>
      <xdr:row>81</xdr:row>
      <xdr:rowOff>80962</xdr:rowOff>
    </xdr:from>
    <xdr:to>
      <xdr:col>45</xdr:col>
      <xdr:colOff>438150</xdr:colOff>
      <xdr:row>101</xdr:row>
      <xdr:rowOff>80282</xdr:rowOff>
    </xdr:to>
    <xdr:graphicFrame macro="">
      <xdr:nvGraphicFramePr>
        <xdr:cNvPr id="7" name="Chart 6">
          <a:extLst>
            <a:ext uri="{FF2B5EF4-FFF2-40B4-BE49-F238E27FC236}">
              <a16:creationId xmlns:a16="http://schemas.microsoft.com/office/drawing/2014/main" id="{AC17F2D1-2A5D-41D3-B2C5-896AB1DC3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33</xdr:col>
      <xdr:colOff>549728</xdr:colOff>
      <xdr:row>102</xdr:row>
      <xdr:rowOff>78921</xdr:rowOff>
    </xdr:from>
    <xdr:to>
      <xdr:col>45</xdr:col>
      <xdr:colOff>400050</xdr:colOff>
      <xdr:row>118</xdr:row>
      <xdr:rowOff>62592</xdr:rowOff>
    </xdr:to>
    <xdr:graphicFrame macro="">
      <xdr:nvGraphicFramePr>
        <xdr:cNvPr id="8" name="Chart 7">
          <a:extLst>
            <a:ext uri="{FF2B5EF4-FFF2-40B4-BE49-F238E27FC236}">
              <a16:creationId xmlns:a16="http://schemas.microsoft.com/office/drawing/2014/main" id="{98542E67-52FA-4BB3-885A-E6F2A13FE8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46</xdr:col>
      <xdr:colOff>419101</xdr:colOff>
      <xdr:row>47</xdr:row>
      <xdr:rowOff>66675</xdr:rowOff>
    </xdr:from>
    <xdr:to>
      <xdr:col>58</xdr:col>
      <xdr:colOff>581025</xdr:colOff>
      <xdr:row>79</xdr:row>
      <xdr:rowOff>66675</xdr:rowOff>
    </xdr:to>
    <xdr:graphicFrame macro="">
      <xdr:nvGraphicFramePr>
        <xdr:cNvPr id="9" name="Chart 8">
          <a:extLst>
            <a:ext uri="{FF2B5EF4-FFF2-40B4-BE49-F238E27FC236}">
              <a16:creationId xmlns:a16="http://schemas.microsoft.com/office/drawing/2014/main" id="{C4D926C2-CD66-448A-8885-7A090CC23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46</xdr:col>
      <xdr:colOff>417367</xdr:colOff>
      <xdr:row>119</xdr:row>
      <xdr:rowOff>62964</xdr:rowOff>
    </xdr:from>
    <xdr:to>
      <xdr:col>59</xdr:col>
      <xdr:colOff>19050</xdr:colOff>
      <xdr:row>142</xdr:row>
      <xdr:rowOff>72489</xdr:rowOff>
    </xdr:to>
    <xdr:graphicFrame macro="">
      <xdr:nvGraphicFramePr>
        <xdr:cNvPr id="10" name="Chart 9">
          <a:extLst>
            <a:ext uri="{FF2B5EF4-FFF2-40B4-BE49-F238E27FC236}">
              <a16:creationId xmlns:a16="http://schemas.microsoft.com/office/drawing/2014/main" id="{DF02C6EC-2F2F-4DB7-9A0B-066A4E938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46</xdr:col>
      <xdr:colOff>407843</xdr:colOff>
      <xdr:row>143</xdr:row>
      <xdr:rowOff>77251</xdr:rowOff>
    </xdr:from>
    <xdr:to>
      <xdr:col>59</xdr:col>
      <xdr:colOff>9525</xdr:colOff>
      <xdr:row>160</xdr:row>
      <xdr:rowOff>53439</xdr:rowOff>
    </xdr:to>
    <xdr:graphicFrame macro="">
      <xdr:nvGraphicFramePr>
        <xdr:cNvPr id="11" name="Chart 10">
          <a:extLst>
            <a:ext uri="{FF2B5EF4-FFF2-40B4-BE49-F238E27FC236}">
              <a16:creationId xmlns:a16="http://schemas.microsoft.com/office/drawing/2014/main" id="{837754F8-F851-45E2-BF5A-6533FAF8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46</xdr:col>
      <xdr:colOff>422129</xdr:colOff>
      <xdr:row>161</xdr:row>
      <xdr:rowOff>67725</xdr:rowOff>
    </xdr:from>
    <xdr:to>
      <xdr:col>59</xdr:col>
      <xdr:colOff>28574</xdr:colOff>
      <xdr:row>177</xdr:row>
      <xdr:rowOff>62964</xdr:rowOff>
    </xdr:to>
    <xdr:graphicFrame macro="">
      <xdr:nvGraphicFramePr>
        <xdr:cNvPr id="12" name="Chart 11">
          <a:extLst>
            <a:ext uri="{FF2B5EF4-FFF2-40B4-BE49-F238E27FC236}">
              <a16:creationId xmlns:a16="http://schemas.microsoft.com/office/drawing/2014/main" id="{BD9D8111-EA74-4831-B48B-5C6900370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46</xdr:col>
      <xdr:colOff>441181</xdr:colOff>
      <xdr:row>178</xdr:row>
      <xdr:rowOff>86775</xdr:rowOff>
    </xdr:from>
    <xdr:to>
      <xdr:col>59</xdr:col>
      <xdr:colOff>38100</xdr:colOff>
      <xdr:row>197</xdr:row>
      <xdr:rowOff>82014</xdr:rowOff>
    </xdr:to>
    <xdr:graphicFrame macro="">
      <xdr:nvGraphicFramePr>
        <xdr:cNvPr id="13" name="Chart 12">
          <a:extLst>
            <a:ext uri="{FF2B5EF4-FFF2-40B4-BE49-F238E27FC236}">
              <a16:creationId xmlns:a16="http://schemas.microsoft.com/office/drawing/2014/main" id="{E70C0F9B-1AE4-40E2-B356-F81C719FC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46</xdr:col>
      <xdr:colOff>409574</xdr:colOff>
      <xdr:row>81</xdr:row>
      <xdr:rowOff>90487</xdr:rowOff>
    </xdr:from>
    <xdr:to>
      <xdr:col>59</xdr:col>
      <xdr:colOff>9525</xdr:colOff>
      <xdr:row>101</xdr:row>
      <xdr:rowOff>89807</xdr:rowOff>
    </xdr:to>
    <xdr:graphicFrame macro="">
      <xdr:nvGraphicFramePr>
        <xdr:cNvPr id="14" name="Chart 13">
          <a:extLst>
            <a:ext uri="{FF2B5EF4-FFF2-40B4-BE49-F238E27FC236}">
              <a16:creationId xmlns:a16="http://schemas.microsoft.com/office/drawing/2014/main" id="{8113E859-CCF3-4C92-A1AE-B9524F948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46</xdr:col>
      <xdr:colOff>416378</xdr:colOff>
      <xdr:row>102</xdr:row>
      <xdr:rowOff>78921</xdr:rowOff>
    </xdr:from>
    <xdr:to>
      <xdr:col>58</xdr:col>
      <xdr:colOff>581025</xdr:colOff>
      <xdr:row>118</xdr:row>
      <xdr:rowOff>62592</xdr:rowOff>
    </xdr:to>
    <xdr:graphicFrame macro="">
      <xdr:nvGraphicFramePr>
        <xdr:cNvPr id="15" name="Chart 14">
          <a:extLst>
            <a:ext uri="{FF2B5EF4-FFF2-40B4-BE49-F238E27FC236}">
              <a16:creationId xmlns:a16="http://schemas.microsoft.com/office/drawing/2014/main" id="{C954E862-5BE8-464D-B7A7-19F1B81FD7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ourworldindata.org/coronaviru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ourworldindata.org/coronavirus" TargetMode="External"/><Relationship Id="rId7" Type="http://schemas.openxmlformats.org/officeDocument/2006/relationships/hyperlink" Target="https://cmmid.github.io/topics/covid19/global_cfr_estimates.html" TargetMode="External"/><Relationship Id="rId2" Type="http://schemas.openxmlformats.org/officeDocument/2006/relationships/hyperlink" Target="https://ourworldindata.org/coronavirus" TargetMode="External"/><Relationship Id="rId1" Type="http://schemas.openxmlformats.org/officeDocument/2006/relationships/hyperlink" Target="https://www.covid19data.com.au/people-affected" TargetMode="External"/><Relationship Id="rId6" Type="http://schemas.openxmlformats.org/officeDocument/2006/relationships/hyperlink" Target="https://cmmid.github.io/topics/covid19/severity/global_cfr_estimates.html" TargetMode="External"/><Relationship Id="rId5" Type="http://schemas.openxmlformats.org/officeDocument/2006/relationships/hyperlink" Target="https://www.abs.gov.au/AUSSTATS/abs@.nsf/DetailsPage/3101.0Sep%202019?OpenDocument" TargetMode="External"/><Relationship Id="rId4" Type="http://schemas.openxmlformats.org/officeDocument/2006/relationships/hyperlink" Target="https://www.abs.gov.au/ausstats/abs@.nsf/0/1647509ef7e25faaca2568a900154b63?opendocument"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s://ourworldindata.org/coron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A322A-CB1B-41D3-83C7-22F99C9A6B8B}">
  <dimension ref="A2:AQ56"/>
  <sheetViews>
    <sheetView workbookViewId="0">
      <selection activeCell="E44" sqref="E44"/>
    </sheetView>
  </sheetViews>
  <sheetFormatPr defaultRowHeight="15" x14ac:dyDescent="0.25"/>
  <cols>
    <col min="1" max="1" width="30.85546875" bestFit="1" customWidth="1"/>
    <col min="2" max="2" width="18.42578125" customWidth="1"/>
    <col min="3" max="34" width="10.7109375" bestFit="1" customWidth="1"/>
    <col min="35" max="35" width="11.140625" bestFit="1" customWidth="1"/>
    <col min="36" max="36" width="10.7109375" bestFit="1" customWidth="1"/>
    <col min="37" max="37" width="10.85546875" customWidth="1"/>
    <col min="38" max="38" width="11.140625" bestFit="1" customWidth="1"/>
    <col min="39" max="40" width="10.7109375" bestFit="1" customWidth="1"/>
    <col min="41" max="41" width="11.140625" bestFit="1" customWidth="1"/>
    <col min="42" max="42" width="10.7109375" bestFit="1" customWidth="1"/>
  </cols>
  <sheetData>
    <row r="2" spans="2:2" x14ac:dyDescent="0.25">
      <c r="B2" t="s">
        <v>162</v>
      </c>
    </row>
    <row r="3" spans="2:2" x14ac:dyDescent="0.25">
      <c r="B3" t="s">
        <v>146</v>
      </c>
    </row>
    <row r="4" spans="2:2" x14ac:dyDescent="0.25">
      <c r="B4" t="s">
        <v>159</v>
      </c>
    </row>
    <row r="5" spans="2:2" x14ac:dyDescent="0.25">
      <c r="B5" t="s">
        <v>163</v>
      </c>
    </row>
    <row r="6" spans="2:2" x14ac:dyDescent="0.25">
      <c r="B6" t="s">
        <v>164</v>
      </c>
    </row>
    <row r="7" spans="2:2" x14ac:dyDescent="0.25">
      <c r="B7" t="s">
        <v>149</v>
      </c>
    </row>
    <row r="11" spans="2:2" x14ac:dyDescent="0.25">
      <c r="B11" t="s">
        <v>171</v>
      </c>
    </row>
    <row r="12" spans="2:2" x14ac:dyDescent="0.25">
      <c r="B12" t="s">
        <v>184</v>
      </c>
    </row>
    <row r="13" spans="2:2" x14ac:dyDescent="0.25">
      <c r="B13" t="s">
        <v>186</v>
      </c>
    </row>
    <row r="14" spans="2:2" x14ac:dyDescent="0.25">
      <c r="B14" t="s">
        <v>185</v>
      </c>
    </row>
    <row r="15" spans="2:2" x14ac:dyDescent="0.25">
      <c r="B15" t="s">
        <v>192</v>
      </c>
    </row>
    <row r="17" spans="1:43" x14ac:dyDescent="0.25">
      <c r="A17" t="s">
        <v>190</v>
      </c>
      <c r="B17" s="115">
        <f>(AP25/E31) /Projections!B37</f>
        <v>71.428571428571431</v>
      </c>
      <c r="C17" s="116"/>
      <c r="D17" s="117"/>
      <c r="E17" s="111">
        <f>B17*2</f>
        <v>142.85714285714286</v>
      </c>
      <c r="F17" s="116"/>
      <c r="G17" s="111"/>
      <c r="H17" s="111">
        <f>E17*2</f>
        <v>285.71428571428572</v>
      </c>
      <c r="I17" s="116"/>
      <c r="J17" s="117"/>
      <c r="K17" s="108">
        <f>H17*2</f>
        <v>571.42857142857144</v>
      </c>
      <c r="L17" s="106"/>
      <c r="M17" s="107"/>
      <c r="N17" s="108">
        <f>K17*2</f>
        <v>1142.8571428571429</v>
      </c>
      <c r="O17" s="106"/>
      <c r="P17" s="107"/>
      <c r="Q17" s="108">
        <f>N17*2</f>
        <v>2285.7142857142858</v>
      </c>
      <c r="R17" s="106"/>
      <c r="S17" s="107"/>
      <c r="T17" s="108">
        <f>Q17*2</f>
        <v>4571.4285714285716</v>
      </c>
      <c r="U17" s="106"/>
      <c r="V17" s="107"/>
      <c r="W17" s="108">
        <f>T17*2</f>
        <v>9142.8571428571431</v>
      </c>
      <c r="X17" s="106"/>
      <c r="Y17" s="107"/>
      <c r="Z17" s="108">
        <f>W17*2</f>
        <v>18285.714285714286</v>
      </c>
      <c r="AA17" s="106"/>
      <c r="AB17" s="107"/>
      <c r="AC17" s="108">
        <f>Z17*2</f>
        <v>36571.428571428572</v>
      </c>
      <c r="AD17" s="106"/>
      <c r="AE17" s="107"/>
      <c r="AF17" s="108">
        <f>AC17*2</f>
        <v>73142.857142857145</v>
      </c>
      <c r="AG17" s="106"/>
      <c r="AH17" s="107"/>
      <c r="AI17" s="108">
        <f>AF17*2</f>
        <v>146285.71428571429</v>
      </c>
      <c r="AJ17" s="106"/>
      <c r="AK17" s="107"/>
      <c r="AL17" s="108">
        <f>AI17*2</f>
        <v>292571.42857142858</v>
      </c>
      <c r="AM17" s="106"/>
      <c r="AN17" s="107"/>
      <c r="AO17" s="108">
        <f>AL17*2</f>
        <v>585142.85714285716</v>
      </c>
      <c r="AP17" s="111"/>
      <c r="AQ17" t="s">
        <v>190</v>
      </c>
    </row>
    <row r="18" spans="1:43" s="81" customFormat="1" x14ac:dyDescent="0.25">
      <c r="A18" s="81" t="s">
        <v>275</v>
      </c>
      <c r="B18" s="100">
        <f>B17*$E$34</f>
        <v>-1.0351966873706051</v>
      </c>
      <c r="C18" s="118"/>
      <c r="D18" s="118"/>
      <c r="E18" s="118">
        <f>E17*$E$34</f>
        <v>-2.0703933747412102</v>
      </c>
      <c r="F18" s="118"/>
      <c r="G18" s="45"/>
      <c r="H18" s="118">
        <f>H17*$E$34</f>
        <v>-4.1407867494824204</v>
      </c>
      <c r="I18" s="118"/>
      <c r="J18" s="118"/>
      <c r="K18" s="118">
        <f>K17*$E$34</f>
        <v>-8.2815734989648409</v>
      </c>
      <c r="L18" s="118"/>
      <c r="M18" s="118"/>
      <c r="N18" s="118">
        <f>N17*$E$34</f>
        <v>-16.563146997929682</v>
      </c>
      <c r="O18" s="118"/>
      <c r="P18" s="118"/>
      <c r="Q18" s="118">
        <f>Q17*$E$34</f>
        <v>-33.126293995859363</v>
      </c>
      <c r="R18" s="118"/>
      <c r="S18" s="118"/>
      <c r="T18" s="118">
        <f>T17*$E$34</f>
        <v>-66.252587991718727</v>
      </c>
      <c r="U18" s="118"/>
      <c r="V18" s="118"/>
      <c r="W18" s="118">
        <f>W17*$E$34</f>
        <v>-132.50517598343745</v>
      </c>
      <c r="X18" s="118"/>
      <c r="Y18" s="118"/>
      <c r="Z18" s="118">
        <f>Z17*$E$34</f>
        <v>-265.01035196687491</v>
      </c>
      <c r="AA18" s="118"/>
      <c r="AB18" s="118"/>
      <c r="AC18" s="118">
        <f>AC17*$E$34</f>
        <v>-530.02070393374981</v>
      </c>
      <c r="AD18" s="118"/>
      <c r="AE18" s="118"/>
      <c r="AF18" s="118">
        <f>AF17*$E$34</f>
        <v>-1060.0414078674996</v>
      </c>
      <c r="AG18" s="118"/>
      <c r="AH18" s="118"/>
      <c r="AI18" s="118">
        <f>AI17*$E$34</f>
        <v>-2120.0828157349993</v>
      </c>
      <c r="AJ18" s="118"/>
      <c r="AK18" s="118"/>
      <c r="AL18" s="118">
        <f>AL17*$E$34</f>
        <v>-4240.1656314699985</v>
      </c>
      <c r="AM18" s="118"/>
      <c r="AN18" s="118"/>
      <c r="AO18" s="118">
        <f>AO17*$E$34</f>
        <v>-8480.331262939997</v>
      </c>
      <c r="AP18" s="45"/>
      <c r="AQ18" s="81" t="s">
        <v>275</v>
      </c>
    </row>
    <row r="19" spans="1:43" s="81" customFormat="1" x14ac:dyDescent="0.25">
      <c r="A19" s="59" t="s">
        <v>277</v>
      </c>
      <c r="B19" s="98">
        <f>B18</f>
        <v>-1.0351966873706051</v>
      </c>
      <c r="C19" s="99"/>
      <c r="D19" s="99"/>
      <c r="E19" s="99">
        <f>E18</f>
        <v>-2.0703933747412102</v>
      </c>
      <c r="F19" s="99"/>
      <c r="G19" s="46"/>
      <c r="H19" s="99">
        <f>H18</f>
        <v>-4.1407867494824204</v>
      </c>
      <c r="I19" s="99"/>
      <c r="J19" s="99"/>
      <c r="K19" s="99">
        <f>K18</f>
        <v>-8.2815734989648409</v>
      </c>
      <c r="L19" s="99"/>
      <c r="M19" s="99"/>
      <c r="N19" s="99">
        <f>N18</f>
        <v>-16.563146997929682</v>
      </c>
      <c r="O19" s="99"/>
      <c r="P19" s="99"/>
      <c r="Q19" s="99">
        <f>Q18</f>
        <v>-33.126293995859363</v>
      </c>
      <c r="R19" s="99"/>
      <c r="S19" s="99"/>
      <c r="T19" s="99">
        <f>T18</f>
        <v>-66.252587991718727</v>
      </c>
      <c r="U19" s="99"/>
      <c r="V19" s="99"/>
      <c r="W19" s="135">
        <f>W18-B18</f>
        <v>-131.46997929606684</v>
      </c>
      <c r="X19" s="135"/>
      <c r="Y19" s="135"/>
      <c r="Z19" s="135">
        <f>Z18-E18</f>
        <v>-262.93995859213368</v>
      </c>
      <c r="AA19" s="135"/>
      <c r="AB19" s="135"/>
      <c r="AC19" s="135">
        <f>AC18-H18</f>
        <v>-525.87991718426736</v>
      </c>
      <c r="AD19" s="135"/>
      <c r="AE19" s="135"/>
      <c r="AF19" s="135">
        <f>AF18-K18</f>
        <v>-1051.7598343685347</v>
      </c>
      <c r="AG19" s="135"/>
      <c r="AH19" s="135"/>
      <c r="AI19" s="135">
        <f>AI18-N18</f>
        <v>-2103.5196687370694</v>
      </c>
      <c r="AJ19" s="135"/>
      <c r="AK19" s="135"/>
      <c r="AL19" s="135">
        <f>AL18-Q18</f>
        <v>-4207.0393374741388</v>
      </c>
      <c r="AM19" s="135"/>
      <c r="AN19" s="135"/>
      <c r="AO19" s="135">
        <f>AO18-T18</f>
        <v>-8414.0786749482777</v>
      </c>
      <c r="AP19" s="136"/>
      <c r="AQ19" s="59" t="s">
        <v>277</v>
      </c>
    </row>
    <row r="20" spans="1:43" s="81" customFormat="1" x14ac:dyDescent="0.25">
      <c r="A20" t="s">
        <v>191</v>
      </c>
      <c r="B20" s="100"/>
      <c r="C20" s="118"/>
      <c r="D20" s="118"/>
      <c r="E20" s="118"/>
      <c r="F20" s="118"/>
      <c r="G20" s="45"/>
      <c r="H20" s="119"/>
      <c r="I20" s="120"/>
      <c r="J20" s="121"/>
      <c r="K20" s="145">
        <f>B17*(1-E34)</f>
        <v>72.463768115942031</v>
      </c>
      <c r="L20" s="142"/>
      <c r="M20" s="143"/>
      <c r="N20" s="144">
        <f>E17*(1-E34)</f>
        <v>144.92753623188406</v>
      </c>
      <c r="O20" s="142"/>
      <c r="P20" s="143"/>
      <c r="Q20" s="144">
        <f>H17*(1-E34)</f>
        <v>289.85507246376812</v>
      </c>
      <c r="R20" s="142"/>
      <c r="S20" s="143"/>
      <c r="T20" s="144">
        <f>K17*(1-E34)</f>
        <v>579.71014492753625</v>
      </c>
      <c r="U20" s="142"/>
      <c r="V20" s="143"/>
      <c r="W20" s="144">
        <f>N17*(1-E34)</f>
        <v>1159.4202898550725</v>
      </c>
      <c r="X20" s="142"/>
      <c r="Y20" s="143"/>
      <c r="Z20" s="144">
        <f>Q17*(1-E34)</f>
        <v>2318.840579710145</v>
      </c>
      <c r="AA20" s="142"/>
      <c r="AB20" s="143"/>
      <c r="AC20" s="144">
        <f>T17*(1-E34)</f>
        <v>4637.68115942029</v>
      </c>
      <c r="AD20" s="142"/>
      <c r="AE20" s="143"/>
      <c r="AF20" s="144">
        <f>W17*(1-E34)</f>
        <v>9275.36231884058</v>
      </c>
      <c r="AG20" s="142"/>
      <c r="AH20" s="143"/>
      <c r="AI20" s="144">
        <f>Z17*(1-E34)</f>
        <v>18550.72463768116</v>
      </c>
      <c r="AJ20" s="142"/>
      <c r="AK20" s="143"/>
      <c r="AL20" s="144">
        <f>AC17*(1-E34)</f>
        <v>37101.44927536232</v>
      </c>
      <c r="AM20" s="142"/>
      <c r="AN20" s="143"/>
      <c r="AO20" s="144">
        <f>AF17*(1-E34)</f>
        <v>74202.89855072464</v>
      </c>
      <c r="AP20" s="91"/>
      <c r="AQ20" t="s">
        <v>191</v>
      </c>
    </row>
    <row r="21" spans="1:43" s="81" customFormat="1" x14ac:dyDescent="0.25">
      <c r="A21" s="81" t="s">
        <v>172</v>
      </c>
      <c r="B21" s="92"/>
      <c r="C21" s="93"/>
      <c r="D21" s="93"/>
      <c r="E21" s="93"/>
      <c r="F21" s="93"/>
      <c r="G21" s="94"/>
      <c r="H21" s="137">
        <f>B17-B18</f>
        <v>72.463768115942031</v>
      </c>
      <c r="I21" s="137"/>
      <c r="J21" s="137"/>
      <c r="K21" s="137">
        <f>E17-E18</f>
        <v>144.92753623188406</v>
      </c>
      <c r="L21" s="137"/>
      <c r="M21" s="137"/>
      <c r="N21" s="137">
        <f>(H17-H18)*$E$35</f>
        <v>266.66666666666669</v>
      </c>
      <c r="O21" s="137"/>
      <c r="P21" s="137"/>
      <c r="Q21" s="137">
        <f>(K17-K18)*$E$35</f>
        <v>533.33333333333337</v>
      </c>
      <c r="R21" s="137"/>
      <c r="S21" s="137"/>
      <c r="T21" s="137">
        <f>(N17-N18)*$E$35</f>
        <v>1066.6666666666667</v>
      </c>
      <c r="U21" s="137"/>
      <c r="V21" s="137"/>
      <c r="W21" s="137">
        <f>((Q17-Q18)*$E$35)-(H21*$E$35)</f>
        <v>2066.666666666667</v>
      </c>
      <c r="X21" s="137"/>
      <c r="Y21" s="137"/>
      <c r="Z21" s="137">
        <f>((T17-T18)*$E$35)-(K21*$E$35)</f>
        <v>4133.3333333333339</v>
      </c>
      <c r="AA21" s="137"/>
      <c r="AB21" s="137"/>
      <c r="AC21" s="137">
        <f>((W17-W18)*$E$35)-N21</f>
        <v>8266.6666666666679</v>
      </c>
      <c r="AD21" s="137"/>
      <c r="AE21" s="137"/>
      <c r="AF21" s="137">
        <f>((Z17-Z18)*$E$35)-Q21</f>
        <v>16533.333333333336</v>
      </c>
      <c r="AG21" s="137"/>
      <c r="AH21" s="137"/>
      <c r="AI21" s="137">
        <f>((AC17-AC18)*$E$35)-T21</f>
        <v>33066.666666666672</v>
      </c>
      <c r="AJ21" s="137"/>
      <c r="AK21" s="137"/>
      <c r="AL21" s="137">
        <f>((AF17-AF18)*$E$35)-W21</f>
        <v>66200</v>
      </c>
      <c r="AM21" s="137"/>
      <c r="AN21" s="137"/>
      <c r="AO21" s="137">
        <f>((AI17-AI18)*$E$35)-Z21</f>
        <v>132400</v>
      </c>
      <c r="AP21" s="138"/>
      <c r="AQ21" s="81" t="s">
        <v>172</v>
      </c>
    </row>
    <row r="22" spans="1:43" s="81" customFormat="1" x14ac:dyDescent="0.25">
      <c r="A22" s="81" t="s">
        <v>173</v>
      </c>
      <c r="B22" s="92"/>
      <c r="C22" s="93"/>
      <c r="D22" s="93"/>
      <c r="E22" s="93"/>
      <c r="F22" s="93"/>
      <c r="G22" s="94"/>
      <c r="H22" s="120"/>
      <c r="I22" s="120"/>
      <c r="J22" s="120"/>
      <c r="K22" s="120"/>
      <c r="L22" s="120"/>
      <c r="M22" s="121"/>
      <c r="N22" s="139">
        <f>(H17-H18)*($E$36+$E$37)</f>
        <v>23.188405797101449</v>
      </c>
      <c r="O22" s="139"/>
      <c r="P22" s="139"/>
      <c r="Q22" s="139">
        <f>(K17-K18)*($E$36+$E$37)</f>
        <v>46.376811594202898</v>
      </c>
      <c r="R22" s="139"/>
      <c r="S22" s="139"/>
      <c r="T22" s="139">
        <f>(N17-N18)*$E$36</f>
        <v>57.971014492753625</v>
      </c>
      <c r="U22" s="139"/>
      <c r="V22" s="139"/>
      <c r="W22" s="139">
        <f>(Q17-Q18)*$E$36</f>
        <v>115.94202898550725</v>
      </c>
      <c r="X22" s="139"/>
      <c r="Y22" s="139"/>
      <c r="Z22" s="139">
        <f>(T17-T18)*$E$36</f>
        <v>231.8840579710145</v>
      </c>
      <c r="AA22" s="139"/>
      <c r="AB22" s="139"/>
      <c r="AC22" s="139">
        <f>(W17-W18)*$E$36</f>
        <v>463.768115942029</v>
      </c>
      <c r="AD22" s="139"/>
      <c r="AE22" s="139"/>
      <c r="AF22" s="139">
        <f>(Z17-Z18)*$E$36</f>
        <v>927.536231884058</v>
      </c>
      <c r="AG22" s="139"/>
      <c r="AH22" s="139"/>
      <c r="AI22" s="139">
        <f>(AC17-AC18)*$E$36</f>
        <v>1855.072463768116</v>
      </c>
      <c r="AJ22" s="139"/>
      <c r="AK22" s="139"/>
      <c r="AL22" s="139">
        <f>(AF17-AF18)*$E$36</f>
        <v>3710.144927536232</v>
      </c>
      <c r="AM22" s="139"/>
      <c r="AN22" s="139"/>
      <c r="AO22" s="139">
        <f>(AI17-AI18)*$E$36</f>
        <v>7420.289855072464</v>
      </c>
      <c r="AP22" s="140"/>
      <c r="AQ22" s="81" t="s">
        <v>173</v>
      </c>
    </row>
    <row r="23" spans="1:43" s="81" customFormat="1" x14ac:dyDescent="0.25">
      <c r="A23" s="59" t="s">
        <v>174</v>
      </c>
      <c r="B23" s="92"/>
      <c r="C23" s="93"/>
      <c r="D23" s="93"/>
      <c r="E23" s="93"/>
      <c r="F23" s="93"/>
      <c r="G23" s="94"/>
      <c r="H23" s="99"/>
      <c r="I23" s="99"/>
      <c r="J23" s="99"/>
      <c r="K23" s="99"/>
      <c r="L23" s="99"/>
      <c r="M23" s="99"/>
      <c r="N23" s="120"/>
      <c r="O23" s="120"/>
      <c r="P23" s="120"/>
      <c r="Q23" s="120"/>
      <c r="R23" s="120"/>
      <c r="S23" s="121"/>
      <c r="T23" s="52">
        <f>(N17-N18)*$E$37</f>
        <v>34.782608695652172</v>
      </c>
      <c r="U23" s="52"/>
      <c r="V23" s="52"/>
      <c r="W23" s="52">
        <f>(Q17-Q18)*$E$37</f>
        <v>69.565217391304344</v>
      </c>
      <c r="X23" s="52"/>
      <c r="Y23" s="52"/>
      <c r="Z23" s="52">
        <f>(T17-T18)*$E$37</f>
        <v>139.13043478260869</v>
      </c>
      <c r="AA23" s="52"/>
      <c r="AB23" s="52"/>
      <c r="AC23" s="52">
        <f>(W17-W18)*$E$37</f>
        <v>278.26086956521738</v>
      </c>
      <c r="AD23" s="52"/>
      <c r="AE23" s="52"/>
      <c r="AF23" s="52">
        <f>(Z17-Z18)*$E$37</f>
        <v>556.52173913043475</v>
      </c>
      <c r="AG23" s="52"/>
      <c r="AH23" s="52"/>
      <c r="AI23" s="52">
        <f>(AC17-AC18)*$E$37</f>
        <v>1113.0434782608695</v>
      </c>
      <c r="AJ23" s="52"/>
      <c r="AK23" s="52"/>
      <c r="AL23" s="52">
        <f>(AF17-AF18)*$E$37</f>
        <v>2226.086956521739</v>
      </c>
      <c r="AM23" s="52"/>
      <c r="AN23" s="52"/>
      <c r="AO23" s="52">
        <f>(AI17-AI18)*$E$37</f>
        <v>4452.173913043478</v>
      </c>
      <c r="AP23" s="141"/>
      <c r="AQ23" s="59" t="s">
        <v>174</v>
      </c>
    </row>
    <row r="24" spans="1:43" s="81" customFormat="1" x14ac:dyDescent="0.25">
      <c r="A24" s="59" t="s">
        <v>179</v>
      </c>
      <c r="B24" s="98"/>
      <c r="C24" s="99"/>
      <c r="D24" s="99"/>
      <c r="E24" s="99"/>
      <c r="F24" s="99"/>
      <c r="G24" s="46"/>
      <c r="H24" s="99"/>
      <c r="I24" s="99"/>
      <c r="J24" s="99"/>
      <c r="K24" s="99"/>
      <c r="L24" s="99"/>
      <c r="M24" s="99"/>
      <c r="N24" s="99"/>
      <c r="O24" s="99"/>
      <c r="P24" s="99"/>
      <c r="Q24" s="99"/>
      <c r="R24" s="99"/>
      <c r="S24" s="99"/>
      <c r="T24" s="120"/>
      <c r="U24" s="121"/>
      <c r="V24" s="122">
        <f>H21*$E$35</f>
        <v>66.666666666666671</v>
      </c>
      <c r="W24" s="122"/>
      <c r="X24" s="122"/>
      <c r="Y24" s="122">
        <f>K21*$E$35</f>
        <v>133.33333333333334</v>
      </c>
      <c r="Z24" s="122"/>
      <c r="AA24" s="122"/>
      <c r="AB24" s="122">
        <f>N21</f>
        <v>266.66666666666669</v>
      </c>
      <c r="AC24" s="122"/>
      <c r="AD24" s="122"/>
      <c r="AE24" s="122">
        <f>Q21</f>
        <v>533.33333333333337</v>
      </c>
      <c r="AF24" s="122"/>
      <c r="AG24" s="122"/>
      <c r="AH24" s="122">
        <f>T21</f>
        <v>1066.6666666666667</v>
      </c>
      <c r="AI24" s="122"/>
      <c r="AJ24" s="122"/>
      <c r="AK24" s="122">
        <f>W21</f>
        <v>2066.666666666667</v>
      </c>
      <c r="AL24" s="122"/>
      <c r="AM24" s="122"/>
      <c r="AN24" s="122">
        <f>Z21</f>
        <v>4133.3333333333339</v>
      </c>
      <c r="AO24" s="122"/>
      <c r="AP24" s="123"/>
      <c r="AQ24" s="59" t="s">
        <v>179</v>
      </c>
    </row>
    <row r="25" spans="1:43" x14ac:dyDescent="0.25">
      <c r="A25" s="59" t="s">
        <v>168</v>
      </c>
      <c r="B25" s="112"/>
      <c r="C25" s="113"/>
      <c r="D25" s="113"/>
      <c r="E25" s="113"/>
      <c r="F25" s="113"/>
      <c r="G25" s="114"/>
      <c r="H25" s="105"/>
      <c r="I25" s="105"/>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05"/>
      <c r="AP25" s="146">
        <f>E32</f>
        <v>1</v>
      </c>
      <c r="AQ25" s="59" t="s">
        <v>168</v>
      </c>
    </row>
    <row r="26" spans="1:43" x14ac:dyDescent="0.25">
      <c r="A26" s="147" t="s">
        <v>196</v>
      </c>
      <c r="B26" s="102">
        <f t="shared" ref="B26:G26" ca="1" si="0">C26-1</f>
        <v>43964.917079166669</v>
      </c>
      <c r="C26" s="103">
        <f t="shared" ca="1" si="0"/>
        <v>43965.917079166669</v>
      </c>
      <c r="D26" s="103">
        <f t="shared" ca="1" si="0"/>
        <v>43966.917079166669</v>
      </c>
      <c r="E26" s="103">
        <f t="shared" ca="1" si="0"/>
        <v>43967.917079166669</v>
      </c>
      <c r="F26" s="103">
        <f t="shared" ca="1" si="0"/>
        <v>43968.917079166669</v>
      </c>
      <c r="G26" s="104">
        <f t="shared" ca="1" si="0"/>
        <v>43969.917079166669</v>
      </c>
      <c r="H26" s="103">
        <f t="shared" ref="H26:U26" ca="1" si="1">I26-1</f>
        <v>43970.917079166669</v>
      </c>
      <c r="I26" s="103">
        <f t="shared" ca="1" si="1"/>
        <v>43971.917079166669</v>
      </c>
      <c r="J26" s="103">
        <f t="shared" ca="1" si="1"/>
        <v>43972.917079166669</v>
      </c>
      <c r="K26" s="103">
        <f t="shared" ca="1" si="1"/>
        <v>43973.917079166669</v>
      </c>
      <c r="L26" s="103">
        <f t="shared" ca="1" si="1"/>
        <v>43974.917079166669</v>
      </c>
      <c r="M26" s="103">
        <f t="shared" ca="1" si="1"/>
        <v>43975.917079166669</v>
      </c>
      <c r="N26" s="104">
        <f t="shared" ca="1" si="1"/>
        <v>43976.917079166669</v>
      </c>
      <c r="O26" s="102">
        <f t="shared" ca="1" si="1"/>
        <v>43977.917079166669</v>
      </c>
      <c r="P26" s="103">
        <f t="shared" ca="1" si="1"/>
        <v>43978.917079166669</v>
      </c>
      <c r="Q26" s="103">
        <f t="shared" ca="1" si="1"/>
        <v>43979.917079166669</v>
      </c>
      <c r="R26" s="103">
        <f t="shared" ca="1" si="1"/>
        <v>43980.917079166669</v>
      </c>
      <c r="S26" s="103">
        <f t="shared" ca="1" si="1"/>
        <v>43981.917079166669</v>
      </c>
      <c r="T26" s="103">
        <f t="shared" ca="1" si="1"/>
        <v>43982.917079166669</v>
      </c>
      <c r="U26" s="104">
        <f t="shared" ca="1" si="1"/>
        <v>43983.917079166669</v>
      </c>
      <c r="V26" s="102">
        <f t="shared" ref="V26:AN26" ca="1" si="2">W26-1</f>
        <v>43984.917079166669</v>
      </c>
      <c r="W26" s="103">
        <f t="shared" ca="1" si="2"/>
        <v>43985.917079166669</v>
      </c>
      <c r="X26" s="103">
        <f t="shared" ca="1" si="2"/>
        <v>43986.917079166669</v>
      </c>
      <c r="Y26" s="103">
        <f t="shared" ca="1" si="2"/>
        <v>43987.917079166669</v>
      </c>
      <c r="Z26" s="103">
        <f t="shared" ca="1" si="2"/>
        <v>43988.917079166669</v>
      </c>
      <c r="AA26" s="103">
        <f t="shared" ca="1" si="2"/>
        <v>43989.917079166669</v>
      </c>
      <c r="AB26" s="104">
        <f t="shared" ca="1" si="2"/>
        <v>43990.917079166669</v>
      </c>
      <c r="AC26" s="102">
        <f t="shared" ca="1" si="2"/>
        <v>43991.917079166669</v>
      </c>
      <c r="AD26" s="103">
        <f t="shared" ca="1" si="2"/>
        <v>43992.917079166669</v>
      </c>
      <c r="AE26" s="103">
        <f t="shared" ca="1" si="2"/>
        <v>43993.917079166669</v>
      </c>
      <c r="AF26" s="103">
        <f t="shared" ca="1" si="2"/>
        <v>43994.917079166669</v>
      </c>
      <c r="AG26" s="103">
        <f t="shared" ca="1" si="2"/>
        <v>43995.917079166669</v>
      </c>
      <c r="AH26" s="103">
        <f t="shared" ca="1" si="2"/>
        <v>43996.917079166669</v>
      </c>
      <c r="AI26" s="104">
        <f t="shared" ca="1" si="2"/>
        <v>43997.917079166669</v>
      </c>
      <c r="AJ26" s="102">
        <f t="shared" ca="1" si="2"/>
        <v>43998.917079166669</v>
      </c>
      <c r="AK26" s="103">
        <f t="shared" ca="1" si="2"/>
        <v>43999.917079166669</v>
      </c>
      <c r="AL26" s="103">
        <f t="shared" ca="1" si="2"/>
        <v>44000.917079166669</v>
      </c>
      <c r="AM26" s="103">
        <f t="shared" ca="1" si="2"/>
        <v>44001.917079166669</v>
      </c>
      <c r="AN26" s="103">
        <f t="shared" ca="1" si="2"/>
        <v>44002.917079166669</v>
      </c>
      <c r="AO26" s="103">
        <f ca="1">AP26-1</f>
        <v>44003.917079166669</v>
      </c>
      <c r="AP26" s="124">
        <f ca="1">NOW()</f>
        <v>44004.917079166669</v>
      </c>
    </row>
    <row r="27" spans="1:43" x14ac:dyDescent="0.25">
      <c r="A27" s="148" t="s">
        <v>197</v>
      </c>
      <c r="B27" s="131">
        <v>1</v>
      </c>
      <c r="C27" s="132">
        <v>2</v>
      </c>
      <c r="D27" s="131">
        <v>3</v>
      </c>
      <c r="E27" s="132">
        <v>4</v>
      </c>
      <c r="F27" s="131">
        <v>5</v>
      </c>
      <c r="G27" s="133">
        <v>6</v>
      </c>
      <c r="H27" s="132">
        <v>7</v>
      </c>
      <c r="I27" s="132">
        <v>8</v>
      </c>
      <c r="J27" s="132">
        <v>9</v>
      </c>
      <c r="K27" s="132">
        <v>10</v>
      </c>
      <c r="L27" s="132">
        <v>11</v>
      </c>
      <c r="M27" s="132">
        <v>12</v>
      </c>
      <c r="N27" s="133">
        <v>13</v>
      </c>
      <c r="O27" s="131">
        <v>14</v>
      </c>
      <c r="P27" s="132">
        <v>15</v>
      </c>
      <c r="Q27" s="132">
        <v>16</v>
      </c>
      <c r="R27" s="132">
        <v>17</v>
      </c>
      <c r="S27" s="132">
        <v>18</v>
      </c>
      <c r="T27" s="132">
        <v>19</v>
      </c>
      <c r="U27" s="133">
        <v>20</v>
      </c>
      <c r="V27" s="131">
        <v>21</v>
      </c>
      <c r="W27" s="132">
        <v>22</v>
      </c>
      <c r="X27" s="132">
        <v>23</v>
      </c>
      <c r="Y27" s="132">
        <v>24</v>
      </c>
      <c r="Z27" s="132">
        <v>25</v>
      </c>
      <c r="AA27" s="132">
        <v>26</v>
      </c>
      <c r="AB27" s="133">
        <v>27</v>
      </c>
      <c r="AC27" s="131">
        <v>28</v>
      </c>
      <c r="AD27" s="132">
        <v>29</v>
      </c>
      <c r="AE27" s="132">
        <v>30</v>
      </c>
      <c r="AF27" s="132">
        <v>31</v>
      </c>
      <c r="AG27" s="132">
        <v>32</v>
      </c>
      <c r="AH27" s="132">
        <v>33</v>
      </c>
      <c r="AI27" s="133">
        <v>34</v>
      </c>
      <c r="AJ27" s="131">
        <v>35</v>
      </c>
      <c r="AK27" s="132">
        <v>36</v>
      </c>
      <c r="AL27" s="132">
        <v>37</v>
      </c>
      <c r="AM27" s="132">
        <v>38</v>
      </c>
      <c r="AN27" s="132">
        <v>39</v>
      </c>
      <c r="AO27" s="132">
        <v>40</v>
      </c>
      <c r="AP27" s="133">
        <v>41</v>
      </c>
    </row>
    <row r="28" spans="1:43" x14ac:dyDescent="0.25">
      <c r="A28" s="149" t="s">
        <v>198</v>
      </c>
      <c r="B28" s="305" t="s">
        <v>166</v>
      </c>
      <c r="C28" s="306"/>
      <c r="D28" s="306"/>
      <c r="E28" s="306"/>
      <c r="F28" s="306"/>
      <c r="G28" s="307"/>
      <c r="H28" s="311" t="s">
        <v>154</v>
      </c>
      <c r="I28" s="311"/>
      <c r="J28" s="311"/>
      <c r="K28" s="311"/>
      <c r="L28" s="311"/>
      <c r="M28" s="311"/>
      <c r="N28" s="312"/>
      <c r="O28" s="310" t="s">
        <v>155</v>
      </c>
      <c r="P28" s="311"/>
      <c r="Q28" s="311"/>
      <c r="R28" s="311"/>
      <c r="S28" s="311"/>
      <c r="T28" s="311"/>
      <c r="U28" s="312"/>
      <c r="V28" s="310" t="s">
        <v>156</v>
      </c>
      <c r="W28" s="311"/>
      <c r="X28" s="311"/>
      <c r="Y28" s="311"/>
      <c r="Z28" s="311"/>
      <c r="AA28" s="311"/>
      <c r="AB28" s="312"/>
      <c r="AC28" s="310" t="s">
        <v>157</v>
      </c>
      <c r="AD28" s="311"/>
      <c r="AE28" s="311"/>
      <c r="AF28" s="311"/>
      <c r="AG28" s="311"/>
      <c r="AH28" s="311"/>
      <c r="AI28" s="312"/>
      <c r="AJ28" s="310" t="s">
        <v>158</v>
      </c>
      <c r="AK28" s="311"/>
      <c r="AL28" s="311"/>
      <c r="AM28" s="311"/>
      <c r="AN28" s="311"/>
      <c r="AO28" s="311"/>
      <c r="AP28" s="312"/>
    </row>
    <row r="29" spans="1:43" x14ac:dyDescent="0.25">
      <c r="B29" s="63" t="s">
        <v>178</v>
      </c>
      <c r="C29" s="109"/>
      <c r="D29" s="109"/>
      <c r="E29" s="109"/>
      <c r="F29" s="109"/>
      <c r="G29" s="110"/>
      <c r="H29" s="308" t="s">
        <v>165</v>
      </c>
      <c r="I29" s="308"/>
      <c r="J29" s="308"/>
      <c r="K29" s="308"/>
      <c r="L29" s="308"/>
      <c r="M29" s="308"/>
      <c r="N29" s="308"/>
      <c r="O29" s="308"/>
      <c r="P29" s="308"/>
      <c r="Q29" s="308"/>
      <c r="R29" s="308"/>
      <c r="S29" s="308"/>
      <c r="T29" s="308"/>
      <c r="U29" s="308"/>
      <c r="V29" s="308"/>
      <c r="W29" s="308"/>
      <c r="X29" s="308"/>
      <c r="Y29" s="308"/>
      <c r="Z29" s="308"/>
      <c r="AA29" s="308"/>
      <c r="AB29" s="308"/>
      <c r="AC29" s="308"/>
      <c r="AD29" s="308"/>
      <c r="AE29" s="308"/>
      <c r="AF29" s="308"/>
      <c r="AG29" s="308"/>
      <c r="AH29" s="308"/>
      <c r="AI29" s="308"/>
      <c r="AJ29" s="308"/>
      <c r="AK29" s="308"/>
      <c r="AL29" s="308"/>
      <c r="AM29" s="308"/>
      <c r="AN29" s="308"/>
      <c r="AO29" s="308"/>
      <c r="AP29" s="309"/>
    </row>
    <row r="31" spans="1:43" x14ac:dyDescent="0.25">
      <c r="B31" s="69" t="s">
        <v>167</v>
      </c>
      <c r="C31" s="152" t="s">
        <v>289</v>
      </c>
      <c r="D31" s="21"/>
      <c r="E31" s="97">
        <f>VLOOKUP(C31,B43:C54,2,FALSE)</f>
        <v>1.38E-2</v>
      </c>
      <c r="F31" s="21"/>
      <c r="G31" s="21"/>
      <c r="H31" s="21"/>
      <c r="I31" s="17"/>
    </row>
    <row r="32" spans="1:43" x14ac:dyDescent="0.25">
      <c r="B32" s="53" t="s">
        <v>195</v>
      </c>
      <c r="C32" s="28"/>
      <c r="D32" s="28"/>
      <c r="E32" s="153">
        <v>1</v>
      </c>
      <c r="F32" s="28"/>
      <c r="G32" s="28"/>
      <c r="H32" s="28"/>
      <c r="I32" s="29"/>
    </row>
    <row r="33" spans="2:9" x14ac:dyDescent="0.25">
      <c r="B33" s="53" t="s">
        <v>169</v>
      </c>
      <c r="C33" s="28"/>
      <c r="D33" s="28"/>
      <c r="E33" s="28">
        <v>3</v>
      </c>
      <c r="F33" s="28" t="s">
        <v>170</v>
      </c>
      <c r="G33" s="28"/>
      <c r="H33" s="28"/>
      <c r="I33" s="29"/>
    </row>
    <row r="34" spans="2:9" x14ac:dyDescent="0.25">
      <c r="B34" s="53" t="s">
        <v>288</v>
      </c>
      <c r="C34" s="28"/>
      <c r="D34" s="28"/>
      <c r="E34" s="154">
        <f>1-Projections!B37</f>
        <v>-1.449275362318847E-2</v>
      </c>
      <c r="F34" s="28" t="s">
        <v>193</v>
      </c>
      <c r="G34" s="28"/>
      <c r="H34" s="28"/>
      <c r="I34" s="29"/>
    </row>
    <row r="35" spans="2:9" x14ac:dyDescent="0.25">
      <c r="B35" s="53" t="s">
        <v>175</v>
      </c>
      <c r="C35" s="28"/>
      <c r="D35" s="28"/>
      <c r="E35" s="154">
        <v>0.92</v>
      </c>
      <c r="F35" s="28" t="s">
        <v>194</v>
      </c>
      <c r="G35" s="28"/>
      <c r="H35" s="28"/>
      <c r="I35" s="29"/>
    </row>
    <row r="36" spans="2:9" x14ac:dyDescent="0.25">
      <c r="B36" s="53" t="s">
        <v>176</v>
      </c>
      <c r="C36" s="28"/>
      <c r="D36" s="28"/>
      <c r="E36" s="154">
        <v>0.05</v>
      </c>
      <c r="F36" s="28" t="s">
        <v>194</v>
      </c>
      <c r="G36" s="28"/>
      <c r="H36" s="28"/>
      <c r="I36" s="29"/>
    </row>
    <row r="37" spans="2:9" x14ac:dyDescent="0.25">
      <c r="B37" s="53" t="s">
        <v>177</v>
      </c>
      <c r="C37" s="28"/>
      <c r="D37" s="28"/>
      <c r="E37" s="154">
        <v>0.03</v>
      </c>
      <c r="F37" s="28" t="s">
        <v>194</v>
      </c>
      <c r="G37" s="28"/>
      <c r="H37" s="28"/>
      <c r="I37" s="29"/>
    </row>
    <row r="38" spans="2:9" x14ac:dyDescent="0.25">
      <c r="B38" s="53" t="s">
        <v>180</v>
      </c>
      <c r="C38" s="28"/>
      <c r="D38" s="28"/>
      <c r="E38" s="150">
        <v>2</v>
      </c>
      <c r="F38" s="28" t="s">
        <v>181</v>
      </c>
      <c r="G38" s="28"/>
      <c r="H38" s="28"/>
      <c r="I38" s="29"/>
    </row>
    <row r="39" spans="2:9" x14ac:dyDescent="0.25">
      <c r="B39" s="49" t="s">
        <v>182</v>
      </c>
      <c r="C39" s="151"/>
      <c r="D39" s="51"/>
      <c r="E39" s="130">
        <v>4</v>
      </c>
      <c r="F39" s="51" t="s">
        <v>181</v>
      </c>
      <c r="G39" s="51" t="s">
        <v>183</v>
      </c>
      <c r="H39" s="51"/>
      <c r="I39" s="75"/>
    </row>
    <row r="42" spans="2:9" x14ac:dyDescent="0.25">
      <c r="B42" t="s">
        <v>189</v>
      </c>
    </row>
    <row r="43" spans="2:9" x14ac:dyDescent="0.25">
      <c r="B43" s="16" t="s">
        <v>188</v>
      </c>
      <c r="C43" s="129">
        <v>3.5000000000000003E-2</v>
      </c>
    </row>
    <row r="44" spans="2:9" x14ac:dyDescent="0.25">
      <c r="B44" s="53" t="s">
        <v>187</v>
      </c>
      <c r="C44" s="39">
        <v>2.3E-2</v>
      </c>
    </row>
    <row r="45" spans="2:9" x14ac:dyDescent="0.25">
      <c r="B45" s="53" t="s">
        <v>289</v>
      </c>
      <c r="C45" s="39">
        <f>Projections!B44</f>
        <v>1.38E-2</v>
      </c>
    </row>
    <row r="46" spans="2:9" x14ac:dyDescent="0.25">
      <c r="B46" s="53" t="s">
        <v>13</v>
      </c>
      <c r="C46" s="39">
        <v>0.14799999999999999</v>
      </c>
    </row>
    <row r="47" spans="2:9" x14ac:dyDescent="0.25">
      <c r="B47" s="53" t="s">
        <v>14</v>
      </c>
      <c r="C47" s="39">
        <v>0.08</v>
      </c>
    </row>
    <row r="48" spans="2:9" x14ac:dyDescent="0.25">
      <c r="B48" s="53" t="s">
        <v>15</v>
      </c>
      <c r="C48" s="39">
        <v>3.5999999999999997E-2</v>
      </c>
    </row>
    <row r="49" spans="2:22" x14ac:dyDescent="0.25">
      <c r="B49" s="53" t="s">
        <v>16</v>
      </c>
      <c r="C49" s="39">
        <v>1.2999999999999999E-2</v>
      </c>
      <c r="V49" s="134"/>
    </row>
    <row r="50" spans="2:22" x14ac:dyDescent="0.25">
      <c r="B50" s="53" t="s">
        <v>17</v>
      </c>
      <c r="C50" s="39">
        <v>4.0000000000000001E-3</v>
      </c>
    </row>
    <row r="51" spans="2:22" x14ac:dyDescent="0.25">
      <c r="B51" s="53" t="s">
        <v>18</v>
      </c>
      <c r="C51" s="39">
        <v>2E-3</v>
      </c>
    </row>
    <row r="52" spans="2:22" x14ac:dyDescent="0.25">
      <c r="B52" s="53" t="s">
        <v>19</v>
      </c>
      <c r="C52" s="39">
        <v>2E-3</v>
      </c>
    </row>
    <row r="53" spans="2:22" x14ac:dyDescent="0.25">
      <c r="B53" s="54" t="s">
        <v>20</v>
      </c>
      <c r="C53" s="39">
        <v>2E-3</v>
      </c>
    </row>
    <row r="54" spans="2:22" x14ac:dyDescent="0.25">
      <c r="B54" s="55" t="s">
        <v>21</v>
      </c>
      <c r="C54" s="40">
        <v>0</v>
      </c>
    </row>
    <row r="56" spans="2:22" x14ac:dyDescent="0.25">
      <c r="B56" t="s">
        <v>199</v>
      </c>
    </row>
  </sheetData>
  <mergeCells count="7">
    <mergeCell ref="B28:G28"/>
    <mergeCell ref="H29:AP29"/>
    <mergeCell ref="AJ28:AP28"/>
    <mergeCell ref="AC28:AI28"/>
    <mergeCell ref="V28:AB28"/>
    <mergeCell ref="O28:U28"/>
    <mergeCell ref="H28:N28"/>
  </mergeCells>
  <dataValidations count="1">
    <dataValidation type="list" allowBlank="1" showInputMessage="1" showErrorMessage="1" sqref="C31" xr:uid="{10A5A802-5390-4506-994F-31F22AB2690E}">
      <formula1>$B$43:$B$54</formula1>
    </dataValidation>
  </dataValidations>
  <hyperlinks>
    <hyperlink ref="B31" r:id="rId1" location="the-current-case-fatality-rate-of-covid-19" xr:uid="{3E24F533-F49C-4C01-A293-AAE084A1C4BB}"/>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B0FAD-39ED-4D53-8BC6-75164ED434B0}">
  <dimension ref="A1:AJ117"/>
  <sheetViews>
    <sheetView tabSelected="1" topLeftCell="A19" zoomScale="85" zoomScaleNormal="85" workbookViewId="0">
      <selection activeCell="T41" sqref="T41"/>
    </sheetView>
  </sheetViews>
  <sheetFormatPr defaultRowHeight="15" x14ac:dyDescent="0.25"/>
  <cols>
    <col min="1" max="1" width="44.28515625" customWidth="1"/>
    <col min="2" max="2" width="16.7109375" bestFit="1" customWidth="1"/>
    <col min="3" max="3" width="10.7109375" bestFit="1" customWidth="1"/>
    <col min="4" max="4" width="13.5703125" bestFit="1" customWidth="1"/>
    <col min="5" max="5" width="10.7109375" bestFit="1" customWidth="1"/>
    <col min="6" max="6" width="11.28515625" customWidth="1"/>
    <col min="7" max="7" width="10.7109375" customWidth="1"/>
    <col min="8" max="8" width="10.85546875" bestFit="1" customWidth="1"/>
    <col min="9" max="9" width="10.7109375" bestFit="1" customWidth="1"/>
    <col min="10" max="11" width="10.85546875" bestFit="1" customWidth="1"/>
    <col min="12" max="12" width="10.5703125" customWidth="1"/>
    <col min="13" max="13" width="11.28515625" bestFit="1" customWidth="1"/>
    <col min="14" max="19" width="11" customWidth="1"/>
    <col min="20" max="20" width="10.7109375" customWidth="1"/>
    <col min="21" max="22" width="10.85546875" bestFit="1" customWidth="1"/>
    <col min="23" max="23" width="10.85546875" customWidth="1"/>
    <col min="24" max="24" width="10.7109375" bestFit="1" customWidth="1"/>
    <col min="25" max="25" width="10.85546875" bestFit="1" customWidth="1"/>
    <col min="26" max="26" width="11.28515625" customWidth="1"/>
    <col min="27" max="28" width="10.7109375" bestFit="1" customWidth="1"/>
    <col min="29" max="29" width="10.7109375" customWidth="1"/>
    <col min="30" max="30" width="11.28515625" customWidth="1"/>
    <col min="31" max="31" width="10.85546875" bestFit="1" customWidth="1"/>
    <col min="32" max="32" width="11.28515625" bestFit="1" customWidth="1"/>
    <col min="33" max="33" width="10.5703125" style="81" bestFit="1" customWidth="1"/>
    <col min="34" max="34" width="11.140625" bestFit="1" customWidth="1"/>
    <col min="35" max="35" width="12.140625" bestFit="1" customWidth="1"/>
  </cols>
  <sheetData>
    <row r="1" spans="4:19" x14ac:dyDescent="0.25">
      <c r="D1" t="s">
        <v>219</v>
      </c>
    </row>
    <row r="2" spans="4:19" x14ac:dyDescent="0.25">
      <c r="D2" s="173">
        <v>43862</v>
      </c>
      <c r="E2" s="174" t="s">
        <v>266</v>
      </c>
      <c r="F2" s="173">
        <f>D2+14</f>
        <v>43876</v>
      </c>
    </row>
    <row r="3" spans="4:19" x14ac:dyDescent="0.25">
      <c r="F3" s="173">
        <v>43891</v>
      </c>
      <c r="G3" s="174" t="s">
        <v>267</v>
      </c>
      <c r="H3" s="174"/>
      <c r="I3" s="174"/>
      <c r="J3" s="173">
        <f>F3+14</f>
        <v>43905</v>
      </c>
    </row>
    <row r="4" spans="4:19" x14ac:dyDescent="0.25">
      <c r="G4" s="173">
        <v>43895</v>
      </c>
      <c r="H4" s="174" t="s">
        <v>268</v>
      </c>
      <c r="I4" s="174"/>
      <c r="J4" s="174"/>
      <c r="K4" s="173">
        <f>G4+14</f>
        <v>43909</v>
      </c>
    </row>
    <row r="5" spans="4:19" x14ac:dyDescent="0.25">
      <c r="I5" s="173">
        <v>43901</v>
      </c>
      <c r="J5" s="174" t="s">
        <v>271</v>
      </c>
      <c r="K5" s="174"/>
      <c r="L5" s="174"/>
      <c r="M5" s="173">
        <f>I5+14</f>
        <v>43915</v>
      </c>
    </row>
    <row r="6" spans="4:19" x14ac:dyDescent="0.25">
      <c r="J6" s="173">
        <v>43906</v>
      </c>
      <c r="K6" s="174" t="s">
        <v>269</v>
      </c>
      <c r="L6" s="174"/>
      <c r="M6" s="174"/>
      <c r="N6" s="173">
        <f>J6+14</f>
        <v>43920</v>
      </c>
      <c r="O6" s="181"/>
    </row>
    <row r="7" spans="4:19" x14ac:dyDescent="0.25">
      <c r="K7" s="173">
        <v>43908</v>
      </c>
      <c r="L7" s="207" t="s">
        <v>270</v>
      </c>
      <c r="M7" s="207"/>
      <c r="N7" s="173">
        <f>K7+14</f>
        <v>43922</v>
      </c>
      <c r="O7" s="181"/>
    </row>
    <row r="8" spans="4:19" x14ac:dyDescent="0.25">
      <c r="K8" s="173">
        <v>43909</v>
      </c>
      <c r="L8" s="174" t="s">
        <v>291</v>
      </c>
      <c r="M8" s="174"/>
      <c r="N8" s="173">
        <v>43923</v>
      </c>
    </row>
    <row r="9" spans="4:19" x14ac:dyDescent="0.25">
      <c r="L9" s="173">
        <v>43911</v>
      </c>
      <c r="M9" s="174" t="s">
        <v>294</v>
      </c>
      <c r="N9" s="173">
        <f>L9+14</f>
        <v>43925</v>
      </c>
      <c r="O9" s="181"/>
      <c r="P9" s="181"/>
      <c r="Q9" s="181"/>
    </row>
    <row r="10" spans="4:19" x14ac:dyDescent="0.25">
      <c r="L10" s="173">
        <v>43913</v>
      </c>
      <c r="M10" s="174" t="s">
        <v>216</v>
      </c>
      <c r="N10" s="173">
        <f>L10+14</f>
        <v>43927</v>
      </c>
      <c r="O10" s="181"/>
      <c r="P10" s="181"/>
      <c r="Q10" s="181"/>
    </row>
    <row r="11" spans="4:19" x14ac:dyDescent="0.25">
      <c r="M11" s="175">
        <v>43914</v>
      </c>
      <c r="N11" s="207" t="s">
        <v>292</v>
      </c>
      <c r="O11" s="175">
        <v>43928</v>
      </c>
    </row>
    <row r="12" spans="4:19" x14ac:dyDescent="0.25">
      <c r="L12" s="28"/>
      <c r="M12" s="175">
        <v>43915</v>
      </c>
      <c r="N12" s="207" t="s">
        <v>293</v>
      </c>
      <c r="O12" s="175">
        <v>43929</v>
      </c>
    </row>
    <row r="13" spans="4:19" x14ac:dyDescent="0.25">
      <c r="M13" s="175">
        <v>43915</v>
      </c>
      <c r="N13" s="207" t="s">
        <v>217</v>
      </c>
      <c r="O13" s="175">
        <f>M13+14</f>
        <v>43929</v>
      </c>
      <c r="P13" s="81"/>
      <c r="Q13" s="81"/>
      <c r="R13" s="81"/>
    </row>
    <row r="14" spans="4:19" x14ac:dyDescent="0.25">
      <c r="N14" s="173">
        <v>43920</v>
      </c>
      <c r="O14" s="174" t="s">
        <v>218</v>
      </c>
      <c r="P14" s="173">
        <f>N14+14</f>
        <v>43934</v>
      </c>
      <c r="Q14" s="181"/>
      <c r="R14" s="181"/>
    </row>
    <row r="15" spans="4:19" x14ac:dyDescent="0.25">
      <c r="P15" s="278">
        <v>43948</v>
      </c>
      <c r="Q15" t="s">
        <v>298</v>
      </c>
    </row>
    <row r="16" spans="4:19" x14ac:dyDescent="0.25">
      <c r="M16" s="59"/>
      <c r="N16" s="59"/>
      <c r="O16" s="59"/>
      <c r="P16" s="296">
        <v>43949</v>
      </c>
      <c r="Q16" s="297" t="s">
        <v>299</v>
      </c>
      <c r="R16" s="59"/>
      <c r="S16" s="181"/>
    </row>
    <row r="17" spans="15:19" x14ac:dyDescent="0.25">
      <c r="P17" s="278">
        <v>43959</v>
      </c>
      <c r="Q17" t="s">
        <v>306</v>
      </c>
      <c r="S17" s="181"/>
    </row>
    <row r="18" spans="15:19" x14ac:dyDescent="0.25">
      <c r="O18" s="278"/>
      <c r="P18" s="294">
        <v>43961</v>
      </c>
      <c r="Q18" s="295" t="s">
        <v>307</v>
      </c>
      <c r="S18" s="181"/>
    </row>
    <row r="19" spans="15:19" x14ac:dyDescent="0.25">
      <c r="P19" s="278">
        <v>43964</v>
      </c>
      <c r="Q19" t="s">
        <v>308</v>
      </c>
    </row>
    <row r="20" spans="15:19" x14ac:dyDescent="0.25">
      <c r="Q20" s="278">
        <v>43968</v>
      </c>
      <c r="R20" t="s">
        <v>309</v>
      </c>
    </row>
    <row r="21" spans="15:19" x14ac:dyDescent="0.25">
      <c r="Q21" s="278">
        <v>43969</v>
      </c>
      <c r="R21" t="s">
        <v>310</v>
      </c>
    </row>
    <row r="22" spans="15:19" x14ac:dyDescent="0.25">
      <c r="Q22" s="278">
        <v>43969</v>
      </c>
      <c r="R22" t="s">
        <v>311</v>
      </c>
    </row>
    <row r="23" spans="15:19" x14ac:dyDescent="0.25">
      <c r="Q23" s="278">
        <v>43970</v>
      </c>
      <c r="R23" t="s">
        <v>312</v>
      </c>
      <c r="S23" s="181"/>
    </row>
    <row r="24" spans="15:19" x14ac:dyDescent="0.25">
      <c r="Q24" s="278">
        <v>43972</v>
      </c>
      <c r="R24" t="s">
        <v>315</v>
      </c>
      <c r="S24" s="181"/>
    </row>
    <row r="25" spans="15:19" x14ac:dyDescent="0.25">
      <c r="Q25" s="278">
        <v>43979</v>
      </c>
      <c r="R25" t="s">
        <v>317</v>
      </c>
      <c r="S25" s="81"/>
    </row>
    <row r="26" spans="15:19" x14ac:dyDescent="0.25">
      <c r="Q26" s="278">
        <v>43980</v>
      </c>
      <c r="R26" t="s">
        <v>316</v>
      </c>
      <c r="S26" s="181"/>
    </row>
    <row r="27" spans="15:19" x14ac:dyDescent="0.25">
      <c r="Q27" s="278">
        <v>43981</v>
      </c>
      <c r="R27" t="s">
        <v>320</v>
      </c>
    </row>
    <row r="28" spans="15:19" x14ac:dyDescent="0.25">
      <c r="Q28" s="294">
        <v>43983</v>
      </c>
      <c r="R28" s="295" t="s">
        <v>318</v>
      </c>
    </row>
    <row r="29" spans="15:19" x14ac:dyDescent="0.25">
      <c r="Q29" s="278">
        <v>43987</v>
      </c>
      <c r="R29" t="s">
        <v>319</v>
      </c>
    </row>
    <row r="30" spans="15:19" x14ac:dyDescent="0.25">
      <c r="Q30" s="278">
        <v>43988</v>
      </c>
      <c r="R30" t="s">
        <v>321</v>
      </c>
    </row>
    <row r="31" spans="15:19" x14ac:dyDescent="0.25">
      <c r="Q31" s="278">
        <v>43990</v>
      </c>
      <c r="R31" t="s">
        <v>325</v>
      </c>
    </row>
    <row r="32" spans="15:19" x14ac:dyDescent="0.25">
      <c r="Q32" s="278">
        <v>43991</v>
      </c>
      <c r="R32" t="s">
        <v>322</v>
      </c>
    </row>
    <row r="33" spans="1:36" x14ac:dyDescent="0.25">
      <c r="Q33" s="278">
        <v>43995</v>
      </c>
      <c r="R33" t="s">
        <v>326</v>
      </c>
    </row>
    <row r="34" spans="1:36" x14ac:dyDescent="0.25">
      <c r="R34" s="278">
        <v>44001</v>
      </c>
      <c r="S34" t="s">
        <v>327</v>
      </c>
    </row>
    <row r="35" spans="1:36" x14ac:dyDescent="0.25">
      <c r="A35" s="16" t="s">
        <v>0</v>
      </c>
      <c r="B35" s="169">
        <v>25634000</v>
      </c>
      <c r="C35" t="s">
        <v>151</v>
      </c>
      <c r="R35" s="278">
        <v>44002</v>
      </c>
      <c r="S35" t="s">
        <v>328</v>
      </c>
    </row>
    <row r="36" spans="1:36" x14ac:dyDescent="0.25">
      <c r="A36" s="69" t="s">
        <v>313</v>
      </c>
      <c r="B36" s="291">
        <v>1.4E-2</v>
      </c>
      <c r="S36" s="298">
        <v>44025</v>
      </c>
      <c r="T36" s="299" t="s">
        <v>323</v>
      </c>
    </row>
    <row r="37" spans="1:36" x14ac:dyDescent="0.25">
      <c r="A37" s="16" t="s">
        <v>213</v>
      </c>
      <c r="B37" s="170">
        <f>B36/B44</f>
        <v>1.0144927536231885</v>
      </c>
      <c r="C37" t="s">
        <v>314</v>
      </c>
      <c r="S37" s="298">
        <v>44032</v>
      </c>
      <c r="T37" s="299" t="s">
        <v>324</v>
      </c>
    </row>
    <row r="38" spans="1:36" x14ac:dyDescent="0.25">
      <c r="A38" s="49" t="s">
        <v>215</v>
      </c>
      <c r="B38" s="128">
        <v>0.2</v>
      </c>
    </row>
    <row r="39" spans="1:36" x14ac:dyDescent="0.25">
      <c r="A39" s="53" t="s">
        <v>144</v>
      </c>
      <c r="B39" s="125">
        <v>2.6</v>
      </c>
      <c r="C39" s="76">
        <f>(B35/1000)*B39</f>
        <v>66648.400000000009</v>
      </c>
      <c r="L39" s="164"/>
    </row>
    <row r="40" spans="1:36" x14ac:dyDescent="0.25">
      <c r="A40" s="53" t="s">
        <v>145</v>
      </c>
      <c r="B40" s="125">
        <v>7.4</v>
      </c>
      <c r="C40" s="73">
        <f>(B35/100000)*B40</f>
        <v>1896.9159999999999</v>
      </c>
      <c r="O40" s="191"/>
      <c r="P40" s="191"/>
      <c r="Q40" s="191"/>
      <c r="R40" s="191"/>
      <c r="X40" s="134"/>
      <c r="Y40" s="278"/>
    </row>
    <row r="41" spans="1:36" x14ac:dyDescent="0.25">
      <c r="A41" s="16" t="s">
        <v>172</v>
      </c>
      <c r="B41" s="126">
        <v>0.92</v>
      </c>
      <c r="C41" s="2" t="s">
        <v>286</v>
      </c>
      <c r="W41" s="278"/>
      <c r="X41" s="134"/>
      <c r="AA41" s="278"/>
    </row>
    <row r="42" spans="1:36" x14ac:dyDescent="0.25">
      <c r="A42" s="53" t="s">
        <v>173</v>
      </c>
      <c r="B42" s="127">
        <v>0.05</v>
      </c>
      <c r="C42" s="2" t="s">
        <v>285</v>
      </c>
      <c r="X42" s="134"/>
      <c r="Y42" s="278"/>
      <c r="Z42" s="278"/>
    </row>
    <row r="43" spans="1:36" x14ac:dyDescent="0.25">
      <c r="A43" s="49" t="s">
        <v>209</v>
      </c>
      <c r="B43" s="128">
        <v>0.03</v>
      </c>
      <c r="C43" s="2" t="s">
        <v>284</v>
      </c>
      <c r="D43" s="233" t="s">
        <v>279</v>
      </c>
      <c r="K43" s="164"/>
      <c r="O43" s="191"/>
      <c r="P43" s="191"/>
      <c r="Q43" s="191"/>
      <c r="S43" s="59"/>
      <c r="T43" s="81"/>
      <c r="U43" s="81"/>
      <c r="AE43" s="191"/>
    </row>
    <row r="44" spans="1:36" x14ac:dyDescent="0.25">
      <c r="A44" s="49" t="s">
        <v>214</v>
      </c>
      <c r="B44" s="77">
        <v>1.38E-2</v>
      </c>
      <c r="C44" s="2"/>
      <c r="D44" s="194" t="s">
        <v>265</v>
      </c>
      <c r="K44" s="164"/>
      <c r="L44" s="59"/>
      <c r="M44" s="59"/>
      <c r="N44" s="59"/>
      <c r="P44" s="59"/>
      <c r="Q44" s="59"/>
      <c r="R44" s="59"/>
      <c r="S44" s="164"/>
      <c r="T44" s="81"/>
      <c r="U44" s="81"/>
      <c r="AD44" s="192"/>
    </row>
    <row r="45" spans="1:36" x14ac:dyDescent="0.25">
      <c r="A45" s="167" t="s">
        <v>202</v>
      </c>
      <c r="B45" s="168">
        <v>43855</v>
      </c>
      <c r="C45" s="2"/>
      <c r="D45" s="251">
        <f>(AD48-G48)/(LOG(AD49/G49)/LOG(2))</f>
        <v>71.777777777777771</v>
      </c>
      <c r="E45" s="191"/>
      <c r="J45" s="28"/>
      <c r="K45" s="59"/>
      <c r="L45" s="59"/>
      <c r="M45" s="59"/>
      <c r="N45" s="59"/>
      <c r="O45" s="59" t="s">
        <v>280</v>
      </c>
      <c r="P45" s="59"/>
      <c r="Q45" s="59"/>
      <c r="R45" s="59"/>
      <c r="S45" s="59"/>
      <c r="T45" s="81"/>
      <c r="U45" s="81"/>
    </row>
    <row r="46" spans="1:36" x14ac:dyDescent="0.25">
      <c r="A46" s="28"/>
      <c r="B46" s="62" t="s">
        <v>150</v>
      </c>
      <c r="C46" s="22"/>
      <c r="D46" s="28"/>
      <c r="E46" s="28"/>
      <c r="F46" s="28"/>
      <c r="G46" s="28"/>
      <c r="H46" s="28"/>
      <c r="I46" s="28"/>
      <c r="J46" s="28"/>
      <c r="K46" s="59"/>
      <c r="L46" s="59"/>
      <c r="M46" t="s">
        <v>296</v>
      </c>
      <c r="N46" s="59"/>
      <c r="P46" s="59"/>
      <c r="Q46" s="59" t="s">
        <v>297</v>
      </c>
      <c r="R46" s="59"/>
      <c r="S46" s="59"/>
      <c r="T46" s="59"/>
      <c r="U46" s="59"/>
      <c r="V46" s="28"/>
      <c r="W46" s="28"/>
      <c r="X46" s="28"/>
      <c r="Y46" s="28"/>
      <c r="Z46" s="28"/>
      <c r="AA46" s="28"/>
      <c r="AB46" s="28"/>
      <c r="AC46" s="28"/>
      <c r="AD46" s="233" t="s">
        <v>281</v>
      </c>
      <c r="AG46" s="166"/>
    </row>
    <row r="47" spans="1:36" x14ac:dyDescent="0.25">
      <c r="A47" s="65" t="s">
        <v>133</v>
      </c>
      <c r="B47" s="206">
        <v>43892</v>
      </c>
      <c r="C47" s="206">
        <v>43908</v>
      </c>
      <c r="D47" s="206">
        <v>43914</v>
      </c>
      <c r="E47" s="206">
        <v>43919</v>
      </c>
      <c r="F47" s="206"/>
      <c r="G47" s="147" t="s">
        <v>161</v>
      </c>
      <c r="H47" s="28"/>
      <c r="I47" s="28"/>
      <c r="J47" s="28"/>
      <c r="K47" s="59"/>
      <c r="L47" s="59"/>
      <c r="M47" s="59"/>
      <c r="N47" s="292"/>
      <c r="O47" s="194" t="s">
        <v>295</v>
      </c>
      <c r="P47" s="197"/>
      <c r="Q47" s="197"/>
      <c r="R47" s="197"/>
      <c r="S47" s="28"/>
      <c r="T47" s="28"/>
      <c r="U47" s="28"/>
      <c r="W47" s="28"/>
      <c r="AA47" s="28"/>
      <c r="AB47" s="28"/>
      <c r="AC47" s="28"/>
      <c r="AG47" s="247" t="s">
        <v>287</v>
      </c>
    </row>
    <row r="48" spans="1:36" x14ac:dyDescent="0.25">
      <c r="A48" s="16" t="s">
        <v>12</v>
      </c>
      <c r="B48" s="171">
        <v>4</v>
      </c>
      <c r="C48" s="172">
        <v>3</v>
      </c>
      <c r="D48" s="96">
        <v>5</v>
      </c>
      <c r="E48" s="21">
        <v>115</v>
      </c>
      <c r="F48" s="21"/>
      <c r="G48" s="300">
        <v>43892</v>
      </c>
      <c r="H48" s="301">
        <f>G48+HLOOKUP(G48+1, $B$47:$F$48,2,TRUE)</f>
        <v>43896</v>
      </c>
      <c r="I48" s="301">
        <f t="shared" ref="I48:AC48" si="0">H48+HLOOKUP(H48+1, $B$47:$F$48,2,TRUE)</f>
        <v>43900</v>
      </c>
      <c r="J48" s="301">
        <f t="shared" si="0"/>
        <v>43904</v>
      </c>
      <c r="K48" s="301">
        <f t="shared" si="0"/>
        <v>43908</v>
      </c>
      <c r="L48" s="302">
        <f t="shared" si="0"/>
        <v>43911</v>
      </c>
      <c r="M48" s="302">
        <f t="shared" si="0"/>
        <v>43914</v>
      </c>
      <c r="N48" s="303">
        <f t="shared" si="0"/>
        <v>43919</v>
      </c>
      <c r="O48" s="304">
        <f>$N$48+(($T$48-$N$48)*(0.09))</f>
        <v>43929.35</v>
      </c>
      <c r="P48" s="304">
        <f>$N$48+(($T$48-$N$48)*0.19)</f>
        <v>43940.85</v>
      </c>
      <c r="Q48" s="304">
        <f>$N$48+(($T$48-$N$48)*0.41)</f>
        <v>43966.15</v>
      </c>
      <c r="R48" s="293">
        <f>$N$48+(($T$48-$N$48)*0.72)</f>
        <v>44001.8</v>
      </c>
      <c r="S48" s="279">
        <f>$N$48+(($T$48-$N$48)*0.9)</f>
        <v>44022.5</v>
      </c>
      <c r="T48" s="280">
        <f>N48+HLOOKUP(N48+1, $B$47:$F$48,2,TRUE)</f>
        <v>44034</v>
      </c>
      <c r="U48" s="280">
        <f t="shared" si="0"/>
        <v>44149</v>
      </c>
      <c r="V48" s="280">
        <f t="shared" si="0"/>
        <v>44264</v>
      </c>
      <c r="W48" s="280">
        <f t="shared" si="0"/>
        <v>44379</v>
      </c>
      <c r="X48" s="280">
        <f t="shared" si="0"/>
        <v>44494</v>
      </c>
      <c r="Y48" s="280">
        <f t="shared" si="0"/>
        <v>44609</v>
      </c>
      <c r="Z48" s="280">
        <f t="shared" si="0"/>
        <v>44724</v>
      </c>
      <c r="AA48" s="280">
        <f t="shared" si="0"/>
        <v>44839</v>
      </c>
      <c r="AB48" s="280">
        <f t="shared" si="0"/>
        <v>44954</v>
      </c>
      <c r="AC48" s="280">
        <f t="shared" si="0"/>
        <v>45069</v>
      </c>
      <c r="AD48" s="281">
        <f>AC48+HLOOKUP(AC48+1, $B$47:$F$48,2,TRUE)</f>
        <v>45184</v>
      </c>
      <c r="AE48" s="282">
        <f>AD48+HLOOKUP(AD48+1, $B$47:$F$48,2,TRUE)</f>
        <v>45299</v>
      </c>
      <c r="AF48" s="283">
        <f>AE48+HLOOKUP(AE48+1, $B$47:$F$48,2,TRUE)</f>
        <v>45414</v>
      </c>
      <c r="AG48" s="248">
        <f>AF48+(7*8)</f>
        <v>45470</v>
      </c>
      <c r="AH48" s="82"/>
      <c r="AI48" s="82"/>
      <c r="AJ48" s="81"/>
    </row>
    <row r="49" spans="1:36" x14ac:dyDescent="0.25">
      <c r="A49" s="53" t="s">
        <v>207</v>
      </c>
      <c r="B49" s="28"/>
      <c r="C49" s="28"/>
      <c r="D49" s="28"/>
      <c r="E49" s="28"/>
      <c r="F49" s="28"/>
      <c r="G49" s="274">
        <v>31.25</v>
      </c>
      <c r="H49" s="275">
        <f>G49*2</f>
        <v>62.5</v>
      </c>
      <c r="I49" s="275">
        <f t="shared" ref="I49:AB49" si="1">H49*2</f>
        <v>125</v>
      </c>
      <c r="J49" s="275">
        <f t="shared" si="1"/>
        <v>250</v>
      </c>
      <c r="K49" s="276">
        <f t="shared" si="1"/>
        <v>500</v>
      </c>
      <c r="L49" s="277">
        <f t="shared" si="1"/>
        <v>1000</v>
      </c>
      <c r="M49" s="275">
        <f t="shared" si="1"/>
        <v>2000</v>
      </c>
      <c r="N49" s="275">
        <f t="shared" si="1"/>
        <v>4000</v>
      </c>
      <c r="O49" s="277">
        <f>$N$49+(($T$49-$N$49)*0.5)</f>
        <v>6000</v>
      </c>
      <c r="P49" s="275">
        <f>$N$49+(($T$49-$N$49)*0.65)</f>
        <v>6600</v>
      </c>
      <c r="Q49" s="275">
        <f>$N$49+(($T$49-$N$49)*0.75)</f>
        <v>7000</v>
      </c>
      <c r="R49" s="275">
        <f>$N$49+(($T$49-$N$49)*0.85)</f>
        <v>7400</v>
      </c>
      <c r="S49" s="275">
        <f>$N$49+(($T$49-$N$49)*0.95)</f>
        <v>7800</v>
      </c>
      <c r="T49" s="277">
        <f>N49*2</f>
        <v>8000</v>
      </c>
      <c r="U49" s="275">
        <f>T49*2</f>
        <v>16000</v>
      </c>
      <c r="V49" s="275">
        <f>U49*2</f>
        <v>32000</v>
      </c>
      <c r="W49" s="275">
        <f>V49*2</f>
        <v>64000</v>
      </c>
      <c r="X49" s="275">
        <f>W49*2</f>
        <v>128000</v>
      </c>
      <c r="Y49" s="275">
        <f t="shared" si="1"/>
        <v>256000</v>
      </c>
      <c r="Z49" s="275">
        <f t="shared" si="1"/>
        <v>512000</v>
      </c>
      <c r="AA49" s="275">
        <f t="shared" si="1"/>
        <v>1024000</v>
      </c>
      <c r="AB49" s="275">
        <f t="shared" si="1"/>
        <v>2048000</v>
      </c>
      <c r="AC49" s="275">
        <f>AB49*2</f>
        <v>4096000</v>
      </c>
      <c r="AD49" s="276">
        <f>AC49*2</f>
        <v>8192000</v>
      </c>
      <c r="AE49" s="265">
        <f>AD49*2</f>
        <v>16384000</v>
      </c>
      <c r="AF49" s="222">
        <f>B35</f>
        <v>25634000</v>
      </c>
      <c r="AG49" s="241">
        <f>B35*AG50</f>
        <v>5126800</v>
      </c>
      <c r="AH49" s="57"/>
      <c r="AI49" s="57"/>
      <c r="AJ49" s="81"/>
    </row>
    <row r="50" spans="1:36" x14ac:dyDescent="0.25">
      <c r="A50" s="53" t="s">
        <v>208</v>
      </c>
      <c r="B50" s="28"/>
      <c r="C50" s="28"/>
      <c r="D50" s="28"/>
      <c r="E50" s="28"/>
      <c r="F50" s="28"/>
      <c r="G50" s="210">
        <f t="shared" ref="G50:AB50" si="2">G49/$B$35</f>
        <v>1.2190840290239525E-6</v>
      </c>
      <c r="H50" s="211">
        <f t="shared" si="2"/>
        <v>2.438168058047905E-6</v>
      </c>
      <c r="I50" s="78">
        <f t="shared" si="2"/>
        <v>4.87633611609581E-6</v>
      </c>
      <c r="J50" s="48">
        <f t="shared" si="2"/>
        <v>9.7526722321916199E-6</v>
      </c>
      <c r="K50" s="209">
        <f t="shared" si="2"/>
        <v>1.950534446438324E-5</v>
      </c>
      <c r="L50" s="101">
        <f t="shared" si="2"/>
        <v>3.901068892876648E-5</v>
      </c>
      <c r="M50" s="48">
        <f t="shared" si="2"/>
        <v>7.8021377857532959E-5</v>
      </c>
      <c r="N50" s="48">
        <f t="shared" si="2"/>
        <v>1.5604275571506592E-4</v>
      </c>
      <c r="O50" s="101">
        <f t="shared" ref="O50:S50" si="3">O49/$B$35</f>
        <v>2.3406413357259889E-4</v>
      </c>
      <c r="P50" s="48">
        <f t="shared" si="3"/>
        <v>2.5747054692985876E-4</v>
      </c>
      <c r="Q50" s="48">
        <f t="shared" ref="Q50:R50" si="4">Q49/$B$35</f>
        <v>2.7307482250136535E-4</v>
      </c>
      <c r="R50" s="48">
        <f t="shared" si="4"/>
        <v>2.8867909807287195E-4</v>
      </c>
      <c r="S50" s="48">
        <f t="shared" si="3"/>
        <v>3.0428337364437854E-4</v>
      </c>
      <c r="T50" s="18">
        <f t="shared" si="2"/>
        <v>3.1208551143013184E-4</v>
      </c>
      <c r="U50" s="26">
        <f>U49/$B$35</f>
        <v>6.2417102286026367E-4</v>
      </c>
      <c r="V50" s="26">
        <f>V49/$B$35</f>
        <v>1.2483420457205273E-3</v>
      </c>
      <c r="W50" s="26">
        <f>W49/$B$35</f>
        <v>2.4966840914410547E-3</v>
      </c>
      <c r="X50" s="27">
        <f>X49/$B$35</f>
        <v>4.9933681828821094E-3</v>
      </c>
      <c r="Y50" s="87">
        <f t="shared" si="2"/>
        <v>9.9867363657642188E-3</v>
      </c>
      <c r="Z50" s="87">
        <f t="shared" si="2"/>
        <v>1.9973472731528438E-2</v>
      </c>
      <c r="AA50" s="87">
        <f t="shared" si="2"/>
        <v>3.9946945463056875E-2</v>
      </c>
      <c r="AB50" s="87">
        <f t="shared" si="2"/>
        <v>7.989389092611375E-2</v>
      </c>
      <c r="AC50" s="87">
        <f>AC49/$B$35</f>
        <v>0.1597877818522275</v>
      </c>
      <c r="AD50" s="269">
        <f>AD49/$B$35</f>
        <v>0.319575563704455</v>
      </c>
      <c r="AE50" s="266">
        <f>AE49/$B$35</f>
        <v>0.63915112740891</v>
      </c>
      <c r="AF50" s="193">
        <f>AF49/$B$35</f>
        <v>1</v>
      </c>
      <c r="AG50" s="242">
        <f>B38</f>
        <v>0.2</v>
      </c>
      <c r="AH50" s="37"/>
      <c r="AI50" s="37"/>
      <c r="AJ50" s="81"/>
    </row>
    <row r="51" spans="1:36" x14ac:dyDescent="0.25">
      <c r="A51" s="53" t="s">
        <v>261</v>
      </c>
      <c r="B51" s="28"/>
      <c r="C51" s="28"/>
      <c r="D51" s="28"/>
      <c r="E51" s="28"/>
      <c r="F51" s="28"/>
      <c r="G51" s="252">
        <f t="shared" ref="G51:U51" si="5">MAX(G49-(G57-G58)-(G59-G60)-(G61-G62),0)</f>
        <v>23.164089590657923</v>
      </c>
      <c r="H51" s="253">
        <f t="shared" si="5"/>
        <v>50.699712342982444</v>
      </c>
      <c r="I51" s="253">
        <f t="shared" si="5"/>
        <v>107.77908340074089</v>
      </c>
      <c r="J51" s="253">
        <f t="shared" si="5"/>
        <v>224.86841192873166</v>
      </c>
      <c r="K51" s="254">
        <f t="shared" si="5"/>
        <v>464.13626956465896</v>
      </c>
      <c r="L51" s="252">
        <f t="shared" si="5"/>
        <v>933.37965322963009</v>
      </c>
      <c r="M51" s="253">
        <f t="shared" si="5"/>
        <v>1895.6439393939395</v>
      </c>
      <c r="N51" s="253">
        <f t="shared" si="5"/>
        <v>3736.0594121267809</v>
      </c>
      <c r="O51" s="252">
        <f t="shared" ref="O51:S51" si="6">MAX(O49-(O57-O58)-(O59-O60)-(O61-O62),0)</f>
        <v>3294.2461742046949</v>
      </c>
      <c r="P51" s="253">
        <f t="shared" si="6"/>
        <v>45.298353008297113</v>
      </c>
      <c r="Q51" s="253">
        <f t="shared" ref="Q51:R51" si="7">MAX(Q49-(Q57-Q58)-(Q59-Q60)-(Q61-Q62),0)</f>
        <v>0</v>
      </c>
      <c r="R51" s="253">
        <f t="shared" si="7"/>
        <v>0</v>
      </c>
      <c r="S51" s="253">
        <f t="shared" si="6"/>
        <v>331.11979030206476</v>
      </c>
      <c r="T51" s="252">
        <f>MAX(T49-(T57-T58)-(T59-T60)-(T61-T62),0)</f>
        <v>0</v>
      </c>
      <c r="U51" s="253">
        <f t="shared" si="5"/>
        <v>0</v>
      </c>
      <c r="V51" s="253">
        <f>MAX(V49-(V57-V58)-(V59-V60)-(V61-V62),0)</f>
        <v>0</v>
      </c>
      <c r="W51" s="253">
        <f t="shared" ref="W51:AF51" si="8">MAX(W49-(W57-W58)-(W59-W60)-(W61-W62),0)</f>
        <v>0</v>
      </c>
      <c r="X51" s="253">
        <f t="shared" si="8"/>
        <v>0</v>
      </c>
      <c r="Y51" s="253">
        <f t="shared" si="8"/>
        <v>0</v>
      </c>
      <c r="Z51" s="253">
        <f t="shared" si="8"/>
        <v>0</v>
      </c>
      <c r="AA51" s="253">
        <f t="shared" si="8"/>
        <v>0</v>
      </c>
      <c r="AB51" s="253">
        <f t="shared" si="8"/>
        <v>0</v>
      </c>
      <c r="AC51" s="253">
        <f t="shared" si="8"/>
        <v>0</v>
      </c>
      <c r="AD51" s="254">
        <f t="shared" si="8"/>
        <v>0</v>
      </c>
      <c r="AE51" s="267">
        <f t="shared" si="8"/>
        <v>0</v>
      </c>
      <c r="AF51" s="215">
        <f t="shared" si="8"/>
        <v>0</v>
      </c>
      <c r="AG51" s="243"/>
      <c r="AH51" s="57"/>
      <c r="AI51" s="57"/>
      <c r="AJ51" s="81"/>
    </row>
    <row r="52" spans="1:36" x14ac:dyDescent="0.25">
      <c r="A52" s="53" t="s">
        <v>282</v>
      </c>
      <c r="B52" s="28"/>
      <c r="C52" s="28"/>
      <c r="D52" s="28"/>
      <c r="E52" s="28"/>
      <c r="F52" s="28"/>
      <c r="G52" s="98">
        <f>G49-G51</f>
        <v>8.0859104093420768</v>
      </c>
      <c r="H52" s="99">
        <f t="shared" ref="H52:AF52" si="9">H49-H51</f>
        <v>11.800287657017556</v>
      </c>
      <c r="I52" s="99">
        <f t="shared" si="9"/>
        <v>17.220916599259112</v>
      </c>
      <c r="J52" s="99">
        <f t="shared" si="9"/>
        <v>25.131588071268339</v>
      </c>
      <c r="K52" s="136">
        <f t="shared" si="9"/>
        <v>35.86373043534104</v>
      </c>
      <c r="L52" s="270">
        <f t="shared" si="9"/>
        <v>66.620346770369906</v>
      </c>
      <c r="M52" s="135">
        <f t="shared" si="9"/>
        <v>104.35606060606051</v>
      </c>
      <c r="N52" s="135">
        <f t="shared" si="9"/>
        <v>263.9405878732191</v>
      </c>
      <c r="O52" s="270">
        <f t="shared" ref="O52:S52" si="10">O49-O51</f>
        <v>2705.7538257953051</v>
      </c>
      <c r="P52" s="135">
        <f t="shared" si="10"/>
        <v>6554.7016469917025</v>
      </c>
      <c r="Q52" s="135">
        <f t="shared" ref="Q52:R52" si="11">Q49-Q51</f>
        <v>7000</v>
      </c>
      <c r="R52" s="135">
        <f t="shared" si="11"/>
        <v>7400</v>
      </c>
      <c r="S52" s="135">
        <f t="shared" si="10"/>
        <v>7468.8802096979352</v>
      </c>
      <c r="T52" s="270">
        <f>T49-T51</f>
        <v>8000</v>
      </c>
      <c r="U52" s="135">
        <f t="shared" si="9"/>
        <v>16000</v>
      </c>
      <c r="V52" s="135">
        <f t="shared" si="9"/>
        <v>32000</v>
      </c>
      <c r="W52" s="135">
        <f t="shared" si="9"/>
        <v>64000</v>
      </c>
      <c r="X52" s="135">
        <f t="shared" si="9"/>
        <v>128000</v>
      </c>
      <c r="Y52" s="135">
        <f t="shared" si="9"/>
        <v>256000</v>
      </c>
      <c r="Z52" s="135">
        <f t="shared" si="9"/>
        <v>512000</v>
      </c>
      <c r="AA52" s="135">
        <f t="shared" si="9"/>
        <v>1024000</v>
      </c>
      <c r="AB52" s="135">
        <f t="shared" si="9"/>
        <v>2048000</v>
      </c>
      <c r="AC52" s="135">
        <f t="shared" si="9"/>
        <v>4096000</v>
      </c>
      <c r="AD52" s="136">
        <f t="shared" si="9"/>
        <v>8192000</v>
      </c>
      <c r="AE52" s="235">
        <f t="shared" si="9"/>
        <v>16384000</v>
      </c>
      <c r="AF52" s="234">
        <f t="shared" si="9"/>
        <v>25634000</v>
      </c>
      <c r="AG52" s="244"/>
      <c r="AH52" s="37"/>
      <c r="AI52" s="37"/>
      <c r="AJ52" s="81"/>
    </row>
    <row r="53" spans="1:36" x14ac:dyDescent="0.25">
      <c r="A53" s="16" t="s">
        <v>274</v>
      </c>
      <c r="B53" s="21"/>
      <c r="C53" s="21"/>
      <c r="D53" s="21"/>
      <c r="E53" s="21"/>
      <c r="F53" s="21"/>
      <c r="G53" s="231">
        <f t="shared" ref="G53:AD53" si="12">G49/$B$37</f>
        <v>30.803571428571427</v>
      </c>
      <c r="H53" s="232">
        <f t="shared" si="12"/>
        <v>61.607142857142854</v>
      </c>
      <c r="I53" s="232">
        <f t="shared" si="12"/>
        <v>123.21428571428571</v>
      </c>
      <c r="J53" s="232">
        <f t="shared" si="12"/>
        <v>246.42857142857142</v>
      </c>
      <c r="K53" s="232">
        <f t="shared" si="12"/>
        <v>492.85714285714283</v>
      </c>
      <c r="L53" s="231">
        <f t="shared" si="12"/>
        <v>985.71428571428567</v>
      </c>
      <c r="M53" s="232">
        <f t="shared" si="12"/>
        <v>1971.4285714285713</v>
      </c>
      <c r="N53" s="232">
        <f t="shared" si="12"/>
        <v>3942.8571428571427</v>
      </c>
      <c r="O53" s="231">
        <f t="shared" ref="O53:S53" si="13">O49/$B$37</f>
        <v>5914.2857142857138</v>
      </c>
      <c r="P53" s="232">
        <f t="shared" si="13"/>
        <v>6505.7142857142853</v>
      </c>
      <c r="Q53" s="232">
        <f t="shared" ref="Q53:R53" si="14">Q49/$B$37</f>
        <v>6900</v>
      </c>
      <c r="R53" s="232">
        <f t="shared" si="14"/>
        <v>7294.2857142857138</v>
      </c>
      <c r="S53" s="232">
        <f t="shared" si="13"/>
        <v>7688.5714285714284</v>
      </c>
      <c r="T53" s="231">
        <f t="shared" si="12"/>
        <v>7885.7142857142853</v>
      </c>
      <c r="U53" s="232">
        <f t="shared" si="12"/>
        <v>15771.428571428571</v>
      </c>
      <c r="V53" s="232">
        <f t="shared" si="12"/>
        <v>31542.857142857141</v>
      </c>
      <c r="W53" s="232">
        <f t="shared" si="12"/>
        <v>63085.714285714283</v>
      </c>
      <c r="X53" s="232">
        <f t="shared" si="12"/>
        <v>126171.42857142857</v>
      </c>
      <c r="Y53" s="232">
        <f t="shared" si="12"/>
        <v>252342.85714285713</v>
      </c>
      <c r="Z53" s="232">
        <f t="shared" si="12"/>
        <v>504685.71428571426</v>
      </c>
      <c r="AA53" s="232">
        <f t="shared" si="12"/>
        <v>1009371.4285714285</v>
      </c>
      <c r="AB53" s="232">
        <f t="shared" si="12"/>
        <v>2018742.857142857</v>
      </c>
      <c r="AC53" s="232">
        <f t="shared" si="12"/>
        <v>4037485.7142857141</v>
      </c>
      <c r="AD53" s="240">
        <f t="shared" si="12"/>
        <v>8074971.4285714282</v>
      </c>
      <c r="AE53" s="267">
        <f>AE49/$B$37</f>
        <v>16149942.857142856</v>
      </c>
      <c r="AF53" s="215">
        <f>AF49</f>
        <v>25634000</v>
      </c>
      <c r="AG53" s="243">
        <f>($B$35*$B$38)/$B$37</f>
        <v>5053560</v>
      </c>
      <c r="AH53" s="37"/>
      <c r="AI53" s="37"/>
      <c r="AJ53" s="81"/>
    </row>
    <row r="54" spans="1:36" x14ac:dyDescent="0.25">
      <c r="A54" s="53" t="s">
        <v>212</v>
      </c>
      <c r="B54" s="28"/>
      <c r="C54" s="28"/>
      <c r="D54" s="28"/>
      <c r="E54" s="28"/>
      <c r="F54" s="28"/>
      <c r="G54" s="210">
        <f>G53/$B$35</f>
        <v>1.2016685428950388E-6</v>
      </c>
      <c r="H54" s="78">
        <f t="shared" ref="H54:AD54" si="15">H53/$B$35</f>
        <v>2.4033370857900777E-6</v>
      </c>
      <c r="I54" s="78">
        <f t="shared" si="15"/>
        <v>4.8066741715801554E-6</v>
      </c>
      <c r="J54" s="48">
        <f t="shared" si="15"/>
        <v>9.6133483431603108E-6</v>
      </c>
      <c r="K54" s="48">
        <f t="shared" si="15"/>
        <v>1.9226696686320622E-5</v>
      </c>
      <c r="L54" s="101">
        <f t="shared" si="15"/>
        <v>3.8453393372641243E-5</v>
      </c>
      <c r="M54" s="48">
        <f t="shared" si="15"/>
        <v>7.6906786745282486E-5</v>
      </c>
      <c r="N54" s="26">
        <f t="shared" si="15"/>
        <v>1.5381357349056497E-4</v>
      </c>
      <c r="O54" s="18">
        <f t="shared" ref="O54:S54" si="16">O53/$B$35</f>
        <v>2.3072036023584746E-4</v>
      </c>
      <c r="P54" s="26">
        <f t="shared" si="16"/>
        <v>2.5379239625943219E-4</v>
      </c>
      <c r="Q54" s="26">
        <f t="shared" ref="Q54:R54" si="17">Q53/$B$35</f>
        <v>2.691737536084887E-4</v>
      </c>
      <c r="R54" s="26">
        <f t="shared" si="17"/>
        <v>2.8455511095754521E-4</v>
      </c>
      <c r="S54" s="26">
        <f t="shared" si="16"/>
        <v>2.9993646830660172E-4</v>
      </c>
      <c r="T54" s="20">
        <f t="shared" si="15"/>
        <v>3.0762714698112995E-4</v>
      </c>
      <c r="U54" s="27">
        <f t="shared" si="15"/>
        <v>6.1525429396225989E-4</v>
      </c>
      <c r="V54" s="27">
        <f t="shared" si="15"/>
        <v>1.2305085879245198E-3</v>
      </c>
      <c r="W54" s="27">
        <f t="shared" si="15"/>
        <v>2.4610171758490396E-3</v>
      </c>
      <c r="X54" s="27">
        <f t="shared" si="15"/>
        <v>4.9220343516980791E-3</v>
      </c>
      <c r="Y54" s="87">
        <f t="shared" si="15"/>
        <v>9.8440687033961582E-3</v>
      </c>
      <c r="Z54" s="87">
        <f t="shared" si="15"/>
        <v>1.9688137406792316E-2</v>
      </c>
      <c r="AA54" s="87">
        <f t="shared" si="15"/>
        <v>3.9376274813584633E-2</v>
      </c>
      <c r="AB54" s="87">
        <f t="shared" si="15"/>
        <v>7.8752549627169266E-2</v>
      </c>
      <c r="AC54" s="87">
        <f t="shared" si="15"/>
        <v>0.15750509925433853</v>
      </c>
      <c r="AD54" s="269">
        <f t="shared" si="15"/>
        <v>0.31501019850867706</v>
      </c>
      <c r="AE54" s="266">
        <f>AE53/$B$35</f>
        <v>0.63002039701735413</v>
      </c>
      <c r="AF54" s="193">
        <v>1</v>
      </c>
      <c r="AG54" s="242">
        <f>AG53/B35</f>
        <v>0.19714285714285715</v>
      </c>
      <c r="AH54" s="37"/>
      <c r="AI54" s="37"/>
      <c r="AJ54" s="81"/>
    </row>
    <row r="55" spans="1:36" x14ac:dyDescent="0.25">
      <c r="A55" s="53" t="s">
        <v>272</v>
      </c>
      <c r="B55" s="28"/>
      <c r="C55" s="28"/>
      <c r="D55" s="28"/>
      <c r="E55" s="28"/>
      <c r="F55" s="28"/>
      <c r="G55" s="212">
        <f t="shared" ref="G55:AD55" si="18">G53-G49</f>
        <v>-0.44642857142857295</v>
      </c>
      <c r="H55" s="213">
        <f t="shared" si="18"/>
        <v>-0.8928571428571459</v>
      </c>
      <c r="I55" s="213">
        <f t="shared" si="18"/>
        <v>-1.7857142857142918</v>
      </c>
      <c r="J55" s="213">
        <f t="shared" si="18"/>
        <v>-3.5714285714285836</v>
      </c>
      <c r="K55" s="213">
        <f t="shared" si="18"/>
        <v>-7.1428571428571672</v>
      </c>
      <c r="L55" s="212">
        <f t="shared" si="18"/>
        <v>-14.285714285714334</v>
      </c>
      <c r="M55" s="213">
        <f t="shared" si="18"/>
        <v>-28.571428571428669</v>
      </c>
      <c r="N55" s="213">
        <f t="shared" si="18"/>
        <v>-57.142857142857338</v>
      </c>
      <c r="O55" s="212">
        <f t="shared" ref="O55:S55" si="19">O53-O49</f>
        <v>-85.714285714286234</v>
      </c>
      <c r="P55" s="213">
        <f t="shared" si="19"/>
        <v>-94.285714285714675</v>
      </c>
      <c r="Q55" s="213">
        <f t="shared" ref="Q55:R55" si="20">Q53-Q49</f>
        <v>-100</v>
      </c>
      <c r="R55" s="213">
        <f t="shared" si="20"/>
        <v>-105.71428571428623</v>
      </c>
      <c r="S55" s="213">
        <f t="shared" si="19"/>
        <v>-111.42857142857156</v>
      </c>
      <c r="T55" s="212">
        <f t="shared" si="18"/>
        <v>-114.28571428571468</v>
      </c>
      <c r="U55" s="213">
        <f t="shared" si="18"/>
        <v>-228.57142857142935</v>
      </c>
      <c r="V55" s="213">
        <f t="shared" si="18"/>
        <v>-457.1428571428587</v>
      </c>
      <c r="W55" s="213">
        <f t="shared" si="18"/>
        <v>-914.2857142857174</v>
      </c>
      <c r="X55" s="213">
        <f>X53-X49</f>
        <v>-1828.5714285714348</v>
      </c>
      <c r="Y55" s="213">
        <f t="shared" si="18"/>
        <v>-3657.1428571428696</v>
      </c>
      <c r="Z55" s="213">
        <f t="shared" si="18"/>
        <v>-7314.2857142857392</v>
      </c>
      <c r="AA55" s="213">
        <f t="shared" si="18"/>
        <v>-14628.571428571478</v>
      </c>
      <c r="AB55" s="213">
        <f t="shared" si="18"/>
        <v>-29257.142857142957</v>
      </c>
      <c r="AC55" s="213">
        <f t="shared" si="18"/>
        <v>-58514.285714285914</v>
      </c>
      <c r="AD55" s="214">
        <f t="shared" si="18"/>
        <v>-117028.57142857183</v>
      </c>
      <c r="AE55" s="267">
        <f>AE53</f>
        <v>16149942.857142856</v>
      </c>
      <c r="AF55" s="215">
        <f>AF53</f>
        <v>25634000</v>
      </c>
      <c r="AG55" s="245">
        <f>AG53-AG49</f>
        <v>-73240</v>
      </c>
      <c r="AH55" s="37"/>
      <c r="AI55" s="37"/>
      <c r="AJ55" s="81"/>
    </row>
    <row r="56" spans="1:36" x14ac:dyDescent="0.25">
      <c r="A56" s="49" t="s">
        <v>273</v>
      </c>
      <c r="B56" s="51"/>
      <c r="C56" s="51"/>
      <c r="D56" s="51"/>
      <c r="E56" s="51"/>
      <c r="F56" s="51"/>
      <c r="G56" s="216">
        <f>MIN((1/$B$37)*(2^(((G48 - 14) - $B$45)/$G$74)),G55)</f>
        <v>-0.44642857142857295</v>
      </c>
      <c r="H56" s="217">
        <f>MIN((1/$B$37)*(2^(((H48 - 14) - $B$45)/$G$74)),H55)</f>
        <v>-0.8928571428571459</v>
      </c>
      <c r="I56" s="217">
        <f t="shared" ref="I56:J56" si="21">MIN((1/$B$37)*(2^(((I48 - 14) - $B$45)/$G$74)),I55)</f>
        <v>-1.7857142857142918</v>
      </c>
      <c r="J56" s="217">
        <f t="shared" si="21"/>
        <v>-3.5714285714285836</v>
      </c>
      <c r="K56" s="219">
        <f t="shared" ref="K56:AF56" si="22">MIN(($G$49/$B$37)*(2^(((K48 - 14) - $G$48)/HLOOKUP((K48-14)-$B$45,$G$72:$AG$74,3,TRUE))),K55)</f>
        <v>-7.1428571428571672</v>
      </c>
      <c r="L56" s="220">
        <f t="shared" si="22"/>
        <v>-14.285714285714334</v>
      </c>
      <c r="M56" s="219">
        <f t="shared" si="22"/>
        <v>-28.571428571428669</v>
      </c>
      <c r="N56" s="219">
        <f t="shared" si="22"/>
        <v>-57.142857142857338</v>
      </c>
      <c r="O56" s="220">
        <f t="shared" si="22"/>
        <v>-85.714285714286234</v>
      </c>
      <c r="P56" s="219">
        <f t="shared" si="22"/>
        <v>-94.285714285714675</v>
      </c>
      <c r="Q56" s="219">
        <f t="shared" si="22"/>
        <v>-100</v>
      </c>
      <c r="R56" s="219">
        <f t="shared" si="22"/>
        <v>-105.71428571428623</v>
      </c>
      <c r="S56" s="219">
        <f t="shared" si="22"/>
        <v>-111.42857142857156</v>
      </c>
      <c r="T56" s="220">
        <f t="shared" si="22"/>
        <v>-114.28571428571468</v>
      </c>
      <c r="U56" s="219">
        <f t="shared" si="22"/>
        <v>-228.57142857142935</v>
      </c>
      <c r="V56" s="219">
        <f t="shared" si="22"/>
        <v>-457.1428571428587</v>
      </c>
      <c r="W56" s="219">
        <f t="shared" si="22"/>
        <v>-914.2857142857174</v>
      </c>
      <c r="X56" s="219">
        <f t="shared" si="22"/>
        <v>-1828.5714285714348</v>
      </c>
      <c r="Y56" s="219">
        <f t="shared" si="22"/>
        <v>-3657.1428571428696</v>
      </c>
      <c r="Z56" s="219">
        <f t="shared" si="22"/>
        <v>-7314.2857142857392</v>
      </c>
      <c r="AA56" s="219">
        <f t="shared" si="22"/>
        <v>-14628.571428571478</v>
      </c>
      <c r="AB56" s="219">
        <f t="shared" si="22"/>
        <v>-29257.142857142957</v>
      </c>
      <c r="AC56" s="219">
        <f t="shared" si="22"/>
        <v>-58514.285714285914</v>
      </c>
      <c r="AD56" s="218">
        <f t="shared" si="22"/>
        <v>-117028.57142857183</v>
      </c>
      <c r="AE56" s="267">
        <f t="shared" si="22"/>
        <v>16149942.857142856</v>
      </c>
      <c r="AF56" s="221">
        <f t="shared" si="22"/>
        <v>25634000</v>
      </c>
      <c r="AG56" s="245"/>
      <c r="AH56" s="37"/>
      <c r="AI56" s="37"/>
      <c r="AJ56" s="81"/>
    </row>
    <row r="57" spans="1:36" x14ac:dyDescent="0.25">
      <c r="A57" s="53" t="s">
        <v>264</v>
      </c>
      <c r="B57" s="28"/>
      <c r="C57" s="28"/>
      <c r="D57" s="28"/>
      <c r="E57" s="28"/>
      <c r="F57" s="28"/>
      <c r="G57" s="236">
        <f t="shared" ref="G57:AF57" si="23">G49*$B$41</f>
        <v>28.75</v>
      </c>
      <c r="H57" s="237">
        <f t="shared" si="23"/>
        <v>57.5</v>
      </c>
      <c r="I57" s="237">
        <f t="shared" si="23"/>
        <v>115</v>
      </c>
      <c r="J57" s="237">
        <f t="shared" si="23"/>
        <v>230</v>
      </c>
      <c r="K57" s="237">
        <f t="shared" si="23"/>
        <v>460</v>
      </c>
      <c r="L57" s="236">
        <f t="shared" si="23"/>
        <v>920</v>
      </c>
      <c r="M57" s="237">
        <f t="shared" si="23"/>
        <v>1840</v>
      </c>
      <c r="N57" s="237">
        <f t="shared" si="23"/>
        <v>3680</v>
      </c>
      <c r="O57" s="236">
        <f t="shared" ref="O57:S57" si="24">O49*$B$41</f>
        <v>5520</v>
      </c>
      <c r="P57" s="237">
        <f t="shared" si="24"/>
        <v>6072</v>
      </c>
      <c r="Q57" s="237">
        <f t="shared" ref="Q57:R57" si="25">Q49*$B$41</f>
        <v>6440</v>
      </c>
      <c r="R57" s="237">
        <f t="shared" si="25"/>
        <v>6808</v>
      </c>
      <c r="S57" s="237">
        <f t="shared" si="24"/>
        <v>7176</v>
      </c>
      <c r="T57" s="236">
        <f t="shared" si="23"/>
        <v>7360</v>
      </c>
      <c r="U57" s="237">
        <f t="shared" si="23"/>
        <v>14720</v>
      </c>
      <c r="V57" s="237">
        <f t="shared" si="23"/>
        <v>29440</v>
      </c>
      <c r="W57" s="237">
        <f t="shared" si="23"/>
        <v>58880</v>
      </c>
      <c r="X57" s="237">
        <f t="shared" si="23"/>
        <v>117760</v>
      </c>
      <c r="Y57" s="237">
        <f t="shared" si="23"/>
        <v>235520</v>
      </c>
      <c r="Z57" s="237">
        <f t="shared" si="23"/>
        <v>471040</v>
      </c>
      <c r="AA57" s="237">
        <f t="shared" si="23"/>
        <v>942080</v>
      </c>
      <c r="AB57" s="237">
        <f t="shared" si="23"/>
        <v>1884160</v>
      </c>
      <c r="AC57" s="237">
        <f t="shared" si="23"/>
        <v>3768320</v>
      </c>
      <c r="AD57" s="271">
        <f t="shared" si="23"/>
        <v>7536640</v>
      </c>
      <c r="AE57" s="265">
        <f t="shared" si="23"/>
        <v>15073280</v>
      </c>
      <c r="AF57" s="215">
        <f t="shared" si="23"/>
        <v>23583280</v>
      </c>
      <c r="AG57" s="245">
        <f>AG49*B41</f>
        <v>4716656</v>
      </c>
      <c r="AH57" s="37"/>
      <c r="AI57" s="37"/>
      <c r="AJ57" s="81"/>
    </row>
    <row r="58" spans="1:36" x14ac:dyDescent="0.25">
      <c r="A58" s="53" t="s">
        <v>283</v>
      </c>
      <c r="B58" s="28"/>
      <c r="C58" s="28"/>
      <c r="D58" s="28"/>
      <c r="E58" s="28"/>
      <c r="F58" s="28"/>
      <c r="G58" s="216">
        <f>G57-(1*$B$41)*(2^(((G48 - 14) - $B$45)/$G$74))</f>
        <v>20.664089590657923</v>
      </c>
      <c r="H58" s="217">
        <f>H57-(1*$B$41)*(2^(((H48 - 14) - $B$45)/$G$74))</f>
        <v>45.699712342982444</v>
      </c>
      <c r="I58" s="217">
        <f>I57-(1*$B$41)*(2^(((I48 - 14) - $B$45)/$G$74))</f>
        <v>97.779083400740888</v>
      </c>
      <c r="J58" s="217">
        <f>J57-(1*$B$41)*(2^(((J48 - 14) - $B$45)/$G$74))</f>
        <v>204.86841192873166</v>
      </c>
      <c r="K58" s="223">
        <f t="shared" ref="K58:AF58" si="26">MAX(K57-(($G$49*$B$41)*(2^(((K48 -14) - $G$48)/HLOOKUP((K48-14)-$B$45,$G$72:$AG$74,3,TRUE)))),0)</f>
        <v>425.26880842051185</v>
      </c>
      <c r="L58" s="224">
        <f t="shared" si="26"/>
        <v>855.48345365395755</v>
      </c>
      <c r="M58" s="223">
        <f t="shared" si="26"/>
        <v>1738.939393939394</v>
      </c>
      <c r="N58" s="223">
        <f t="shared" si="26"/>
        <v>3424.3943780596196</v>
      </c>
      <c r="O58" s="224">
        <f t="shared" si="26"/>
        <v>2899.6910318613886</v>
      </c>
      <c r="P58" s="223">
        <f t="shared" si="26"/>
        <v>0</v>
      </c>
      <c r="Q58" s="223">
        <f t="shared" si="26"/>
        <v>0</v>
      </c>
      <c r="R58" s="223">
        <f t="shared" si="26"/>
        <v>0</v>
      </c>
      <c r="S58" s="223">
        <f t="shared" si="26"/>
        <v>0</v>
      </c>
      <c r="T58" s="224">
        <f t="shared" si="26"/>
        <v>0</v>
      </c>
      <c r="U58" s="223">
        <f t="shared" si="26"/>
        <v>0</v>
      </c>
      <c r="V58" s="223">
        <f t="shared" si="26"/>
        <v>0</v>
      </c>
      <c r="W58" s="223">
        <f t="shared" si="26"/>
        <v>0</v>
      </c>
      <c r="X58" s="223">
        <f t="shared" si="26"/>
        <v>0</v>
      </c>
      <c r="Y58" s="223">
        <f t="shared" si="26"/>
        <v>0</v>
      </c>
      <c r="Z58" s="223">
        <f t="shared" si="26"/>
        <v>0</v>
      </c>
      <c r="AA58" s="223">
        <f t="shared" si="26"/>
        <v>0</v>
      </c>
      <c r="AB58" s="223">
        <f t="shared" si="26"/>
        <v>0</v>
      </c>
      <c r="AC58" s="223">
        <f t="shared" si="26"/>
        <v>0</v>
      </c>
      <c r="AD58" s="238">
        <f t="shared" si="26"/>
        <v>0</v>
      </c>
      <c r="AE58" s="268">
        <f t="shared" si="26"/>
        <v>0</v>
      </c>
      <c r="AF58" s="221">
        <f t="shared" si="26"/>
        <v>0</v>
      </c>
      <c r="AG58" s="243"/>
      <c r="AH58" s="37"/>
      <c r="AI58" s="37"/>
      <c r="AJ58" s="81"/>
    </row>
    <row r="59" spans="1:36" x14ac:dyDescent="0.25">
      <c r="A59" s="74" t="s">
        <v>210</v>
      </c>
      <c r="B59" s="21"/>
      <c r="C59" s="21"/>
      <c r="D59" s="21"/>
      <c r="E59" s="21"/>
      <c r="F59" s="21"/>
      <c r="G59" s="272">
        <f>(1*($B$42+$B$43))*(2^(((G48 - 7) - $B$45)/$G$74))</f>
        <v>1.3624403770173663</v>
      </c>
      <c r="H59" s="273">
        <f>(1*($B$42+$B$43))*(2^(((H48 - 7) - $B$45)/$G$74))</f>
        <v>1.9882966234408881</v>
      </c>
      <c r="I59" s="232">
        <f t="shared" ref="I59:AE59" si="27">($G$49*($B$42+$B$43))*(2^(((I48-7)-$G$48)/HLOOKUP((I48-7)-$B$45,$G$72:$AG$74,3,TRUE)))</f>
        <v>2.7477734693782825</v>
      </c>
      <c r="J59" s="232">
        <f t="shared" si="27"/>
        <v>5.6101344648732603</v>
      </c>
      <c r="K59" s="232">
        <f t="shared" si="27"/>
        <v>10.283171151388096</v>
      </c>
      <c r="L59" s="231">
        <f t="shared" si="27"/>
        <v>18.787878787878775</v>
      </c>
      <c r="M59" s="232">
        <f t="shared" si="27"/>
        <v>31.107290494170176</v>
      </c>
      <c r="N59" s="232">
        <f t="shared" si="27"/>
        <v>97.540056745390302</v>
      </c>
      <c r="O59" s="231">
        <f t="shared" si="27"/>
        <v>574.77618799654329</v>
      </c>
      <c r="P59" s="232">
        <f t="shared" si="27"/>
        <v>859.05698537255921</v>
      </c>
      <c r="Q59" s="232">
        <f t="shared" si="27"/>
        <v>3648.0224340846935</v>
      </c>
      <c r="R59" s="284">
        <f t="shared" si="27"/>
        <v>4217.9293984147635</v>
      </c>
      <c r="S59" s="284">
        <f t="shared" si="27"/>
        <v>1102.9505029517011</v>
      </c>
      <c r="T59" s="285">
        <f t="shared" si="27"/>
        <v>713.45778394840875</v>
      </c>
      <c r="U59" s="232">
        <f t="shared" si="27"/>
        <v>39458.200449707045</v>
      </c>
      <c r="V59" s="232">
        <f t="shared" si="27"/>
        <v>16297.747279793073</v>
      </c>
      <c r="W59" s="232">
        <f t="shared" si="27"/>
        <v>17851.056692125047</v>
      </c>
      <c r="X59" s="232">
        <f t="shared" si="27"/>
        <v>25983.5391547082</v>
      </c>
      <c r="Y59" s="232">
        <f t="shared" si="27"/>
        <v>42702.692559550225</v>
      </c>
      <c r="Z59" s="232">
        <f t="shared" si="27"/>
        <v>74742.253629535087</v>
      </c>
      <c r="AA59" s="232">
        <f t="shared" si="27"/>
        <v>135733.92193164912</v>
      </c>
      <c r="AB59" s="232">
        <f t="shared" si="27"/>
        <v>252341.59549039422</v>
      </c>
      <c r="AC59" s="232">
        <f t="shared" si="27"/>
        <v>476607.68337329559</v>
      </c>
      <c r="AD59" s="240">
        <f t="shared" si="27"/>
        <v>910313.00697220734</v>
      </c>
      <c r="AE59" s="265">
        <f t="shared" si="27"/>
        <v>1752995.8163201262</v>
      </c>
      <c r="AF59" s="222">
        <f>($G$49*($B$42+$B$43))*(2^(((AF48 - 7) - $G$48)/AF74))</f>
        <v>1824532.9113552801</v>
      </c>
      <c r="AG59" s="243">
        <f>AG49*(B42+B43)</f>
        <v>410144</v>
      </c>
      <c r="AH59" s="57"/>
      <c r="AI59" s="57"/>
      <c r="AJ59" s="81"/>
    </row>
    <row r="60" spans="1:36" x14ac:dyDescent="0.25">
      <c r="A60" s="49" t="s">
        <v>262</v>
      </c>
      <c r="B60" s="50"/>
      <c r="C60" s="51"/>
      <c r="D60" s="51"/>
      <c r="E60" s="51"/>
      <c r="F60" s="51"/>
      <c r="G60" s="216">
        <f t="shared" ref="G60:J60" si="28">G59</f>
        <v>1.3624403770173663</v>
      </c>
      <c r="H60" s="217">
        <f t="shared" si="28"/>
        <v>1.9882966234408881</v>
      </c>
      <c r="I60" s="219">
        <f t="shared" si="28"/>
        <v>2.7477734693782825</v>
      </c>
      <c r="J60" s="219">
        <f t="shared" si="28"/>
        <v>5.6101344648732603</v>
      </c>
      <c r="K60" s="219">
        <f>K59-K62</f>
        <v>9.1506322955352211</v>
      </c>
      <c r="L60" s="220">
        <f t="shared" ref="L60:M60" si="29">L59-L62</f>
        <v>16.684078363551301</v>
      </c>
      <c r="M60" s="219">
        <f t="shared" si="29"/>
        <v>27.811835948715633</v>
      </c>
      <c r="N60" s="219">
        <f>N59-N62</f>
        <v>89.205090812551802</v>
      </c>
      <c r="O60" s="220">
        <f t="shared" ref="O60:S60" si="30">O59-O62</f>
        <v>489.33133033984944</v>
      </c>
      <c r="P60" s="219">
        <f t="shared" si="30"/>
        <v>376.35533838085632</v>
      </c>
      <c r="Q60" s="219">
        <f t="shared" ref="Q60:R60" si="31">Q59-Q62</f>
        <v>3007.9225055713932</v>
      </c>
      <c r="R60" s="219">
        <f t="shared" si="31"/>
        <v>3264.2939799538044</v>
      </c>
      <c r="S60" s="219">
        <f t="shared" si="30"/>
        <v>810.07029325376584</v>
      </c>
      <c r="T60" s="220">
        <f t="shared" ref="T60:AF60" si="32">MAX(T59-($G$49*$B$42)*(2^(((T48 - 42) - $G$48)/HLOOKUP((T48-42)-$B$45,$G$72:$AG$74,3,TRUE)))-T62,0)</f>
        <v>0</v>
      </c>
      <c r="U60" s="219">
        <f t="shared" si="32"/>
        <v>26809.768695834013</v>
      </c>
      <c r="V60" s="219">
        <f t="shared" si="32"/>
        <v>9861.2522323300564</v>
      </c>
      <c r="W60" s="219">
        <f t="shared" si="32"/>
        <v>10116.989835975111</v>
      </c>
      <c r="X60" s="219">
        <f t="shared" si="32"/>
        <v>14124.228835357189</v>
      </c>
      <c r="Y60" s="219">
        <f t="shared" si="32"/>
        <v>22552.002900960761</v>
      </c>
      <c r="Z60" s="219">
        <f t="shared" si="32"/>
        <v>38646.847571134436</v>
      </c>
      <c r="AA60" s="219">
        <f t="shared" si="32"/>
        <v>69059.548535159891</v>
      </c>
      <c r="AB60" s="219">
        <f t="shared" si="32"/>
        <v>126763.55066033515</v>
      </c>
      <c r="AC60" s="219">
        <f t="shared" si="32"/>
        <v>236970.71705533084</v>
      </c>
      <c r="AD60" s="218">
        <f t="shared" si="32"/>
        <v>448780.01884909661</v>
      </c>
      <c r="AE60" s="268">
        <f t="shared" si="32"/>
        <v>858075.94553999463</v>
      </c>
      <c r="AF60" s="221">
        <f t="shared" si="32"/>
        <v>80417.106373888673</v>
      </c>
      <c r="AG60" s="245"/>
      <c r="AH60" s="57"/>
      <c r="AI60" s="57"/>
      <c r="AJ60" s="81"/>
    </row>
    <row r="61" spans="1:36" x14ac:dyDescent="0.25">
      <c r="A61" s="60" t="s">
        <v>211</v>
      </c>
      <c r="C61" s="21"/>
      <c r="D61" s="21"/>
      <c r="E61" s="21"/>
      <c r="F61" s="21"/>
      <c r="G61" s="272">
        <f>(1*$B$43)*(2^(((G48 - 14) -$B$45)/$G$74))</f>
        <v>0.26367099160898083</v>
      </c>
      <c r="H61" s="273">
        <f>(1*$B$43)*(2^(((H48 - 14) -$B$45)/$G$74))</f>
        <v>0.38479198881578991</v>
      </c>
      <c r="I61" s="273">
        <f>(1*$B$43)*(2^(((I48 - 14) -$B$45)/$G$74))</f>
        <v>0.5615516282367099</v>
      </c>
      <c r="J61" s="273">
        <f>(1*$B$43)*(2^(((J48 - 14) -$B$45)/$G$74))</f>
        <v>0.81950830667179397</v>
      </c>
      <c r="K61" s="240">
        <f t="shared" ref="K61:AF61" si="33">($G$49*$B$43)*(2^(((K48 - 14) - $G$48)/HLOOKUP((K48-14)-$B$45,$G$72:$AG$74,3,TRUE)))</f>
        <v>1.1325388558528744</v>
      </c>
      <c r="L61" s="232">
        <f t="shared" si="33"/>
        <v>2.1038004243274724</v>
      </c>
      <c r="M61" s="232">
        <f t="shared" si="33"/>
        <v>3.295454545454545</v>
      </c>
      <c r="N61" s="232">
        <f t="shared" si="33"/>
        <v>8.3349659328384966</v>
      </c>
      <c r="O61" s="231">
        <f t="shared" si="33"/>
        <v>85.444857656693841</v>
      </c>
      <c r="P61" s="232">
        <f t="shared" si="33"/>
        <v>482.70164699170289</v>
      </c>
      <c r="Q61" s="232">
        <f t="shared" si="33"/>
        <v>640.09992851330003</v>
      </c>
      <c r="R61" s="284">
        <f t="shared" si="33"/>
        <v>953.63541846095893</v>
      </c>
      <c r="S61" s="284">
        <f t="shared" si="33"/>
        <v>292.88020969793524</v>
      </c>
      <c r="T61" s="285">
        <f t="shared" si="33"/>
        <v>516.35670124040007</v>
      </c>
      <c r="U61" s="232">
        <f t="shared" si="33"/>
        <v>11288.052457630698</v>
      </c>
      <c r="V61" s="232">
        <f t="shared" si="33"/>
        <v>5164.2831284756667</v>
      </c>
      <c r="W61" s="232">
        <f t="shared" si="33"/>
        <v>5881.5941913484785</v>
      </c>
      <c r="X61" s="232">
        <f t="shared" si="33"/>
        <v>8739.2385205338833</v>
      </c>
      <c r="Y61" s="232">
        <f t="shared" si="33"/>
        <v>14546.466256404297</v>
      </c>
      <c r="Z61" s="232">
        <f t="shared" si="33"/>
        <v>25681.621813447426</v>
      </c>
      <c r="AA61" s="232">
        <f t="shared" si="33"/>
        <v>46931.118092676472</v>
      </c>
      <c r="AB61" s="232">
        <f t="shared" si="33"/>
        <v>87663.315624486786</v>
      </c>
      <c r="AC61" s="232">
        <f t="shared" si="33"/>
        <v>166188.60450355953</v>
      </c>
      <c r="AD61" s="240">
        <f t="shared" si="33"/>
        <v>318366.42801534396</v>
      </c>
      <c r="AE61" s="265">
        <f t="shared" si="33"/>
        <v>614586.39622547769</v>
      </c>
      <c r="AF61" s="222">
        <f t="shared" si="33"/>
        <v>1193306.0317347823</v>
      </c>
      <c r="AG61" s="243">
        <f>AG49*B43</f>
        <v>153804</v>
      </c>
      <c r="AH61" s="57"/>
      <c r="AI61" s="57"/>
      <c r="AJ61" s="81"/>
    </row>
    <row r="62" spans="1:36" x14ac:dyDescent="0.25">
      <c r="A62" s="53" t="s">
        <v>263</v>
      </c>
      <c r="B62" s="27"/>
      <c r="C62" s="28"/>
      <c r="D62" s="28"/>
      <c r="E62" s="28"/>
      <c r="F62" s="28"/>
      <c r="G62" s="216">
        <f t="shared" ref="G62:J62" si="34">G61</f>
        <v>0.26367099160898083</v>
      </c>
      <c r="H62" s="217">
        <f t="shared" si="34"/>
        <v>0.38479198881578991</v>
      </c>
      <c r="I62" s="217">
        <f t="shared" si="34"/>
        <v>0.5615516282367099</v>
      </c>
      <c r="J62" s="217">
        <f t="shared" si="34"/>
        <v>0.81950830667179397</v>
      </c>
      <c r="K62" s="218">
        <f>K61</f>
        <v>1.1325388558528744</v>
      </c>
      <c r="L62" s="219">
        <f t="shared" ref="L62:N62" si="35">L61</f>
        <v>2.1038004243274724</v>
      </c>
      <c r="M62" s="219">
        <f t="shared" si="35"/>
        <v>3.295454545454545</v>
      </c>
      <c r="N62" s="219">
        <f t="shared" si="35"/>
        <v>8.3349659328384966</v>
      </c>
      <c r="O62" s="220">
        <f t="shared" ref="O62:S62" si="36">O61</f>
        <v>85.444857656693841</v>
      </c>
      <c r="P62" s="219">
        <f t="shared" si="36"/>
        <v>482.70164699170289</v>
      </c>
      <c r="Q62" s="219">
        <f t="shared" ref="Q62:R62" si="37">Q61</f>
        <v>640.09992851330003</v>
      </c>
      <c r="R62" s="219">
        <f t="shared" si="37"/>
        <v>953.63541846095893</v>
      </c>
      <c r="S62" s="219">
        <f t="shared" si="36"/>
        <v>292.88020969793524</v>
      </c>
      <c r="T62" s="224">
        <f t="shared" ref="T62:AF62" si="38">MAX(T61-($G$49*$B$43)*(2^(((T48 - 35) - $G$48)/HLOOKUP((T48-35)-$B$45,$G$72:$AG$74,3,TRUE))),0)</f>
        <v>0</v>
      </c>
      <c r="U62" s="223">
        <f t="shared" si="38"/>
        <v>6276.5211401101242</v>
      </c>
      <c r="V62" s="223">
        <f t="shared" si="38"/>
        <v>2048.5257224423499</v>
      </c>
      <c r="W62" s="223">
        <f t="shared" si="38"/>
        <v>1892.3131326933162</v>
      </c>
      <c r="X62" s="223">
        <f t="shared" si="38"/>
        <v>2433.9399991381315</v>
      </c>
      <c r="Y62" s="223">
        <f t="shared" si="38"/>
        <v>3642.8531487919372</v>
      </c>
      <c r="Z62" s="223">
        <f t="shared" si="38"/>
        <v>5925.6946536035503</v>
      </c>
      <c r="AA62" s="223">
        <f t="shared" si="38"/>
        <v>10144.945238413246</v>
      </c>
      <c r="AB62" s="223">
        <f t="shared" si="38"/>
        <v>17966.773262175047</v>
      </c>
      <c r="AC62" s="223">
        <f t="shared" si="38"/>
        <v>32581.964270243683</v>
      </c>
      <c r="AD62" s="238">
        <f t="shared" si="38"/>
        <v>60114.833612486487</v>
      </c>
      <c r="AE62" s="268">
        <f t="shared" si="38"/>
        <v>112364.86258721427</v>
      </c>
      <c r="AF62" s="221">
        <f t="shared" si="38"/>
        <v>212149.46819079644</v>
      </c>
      <c r="AG62" s="243"/>
      <c r="AH62" s="57"/>
      <c r="AI62" s="57"/>
      <c r="AJ62" s="81"/>
    </row>
    <row r="63" spans="1:36" x14ac:dyDescent="0.25">
      <c r="A63" s="16" t="s">
        <v>153</v>
      </c>
      <c r="B63" s="97"/>
      <c r="C63" s="21"/>
      <c r="D63" s="21"/>
      <c r="E63" s="21"/>
      <c r="F63" s="21"/>
      <c r="G63" s="225">
        <f t="shared" ref="G63:AF63" si="39">G49*$B$44</f>
        <v>0.43124999999999997</v>
      </c>
      <c r="H63" s="226">
        <f t="shared" si="39"/>
        <v>0.86249999999999993</v>
      </c>
      <c r="I63" s="226">
        <f t="shared" si="39"/>
        <v>1.7249999999999999</v>
      </c>
      <c r="J63" s="226">
        <f t="shared" si="39"/>
        <v>3.4499999999999997</v>
      </c>
      <c r="K63" s="226">
        <f t="shared" si="39"/>
        <v>6.8999999999999995</v>
      </c>
      <c r="L63" s="225">
        <f t="shared" si="39"/>
        <v>13.799999999999999</v>
      </c>
      <c r="M63" s="226">
        <f t="shared" si="39"/>
        <v>27.599999999999998</v>
      </c>
      <c r="N63" s="226">
        <f t="shared" si="39"/>
        <v>55.199999999999996</v>
      </c>
      <c r="O63" s="225">
        <f t="shared" ref="O63:S63" si="40">O49*$B$44</f>
        <v>82.8</v>
      </c>
      <c r="P63" s="226">
        <f t="shared" si="40"/>
        <v>91.08</v>
      </c>
      <c r="Q63" s="226">
        <f t="shared" ref="Q63:R63" si="41">Q49*$B$44</f>
        <v>96.6</v>
      </c>
      <c r="R63" s="226">
        <f t="shared" si="41"/>
        <v>102.12</v>
      </c>
      <c r="S63" s="226">
        <f t="shared" si="40"/>
        <v>107.64</v>
      </c>
      <c r="T63" s="225">
        <f t="shared" si="39"/>
        <v>110.39999999999999</v>
      </c>
      <c r="U63" s="226">
        <f t="shared" si="39"/>
        <v>220.79999999999998</v>
      </c>
      <c r="V63" s="226">
        <f t="shared" si="39"/>
        <v>441.59999999999997</v>
      </c>
      <c r="W63" s="226">
        <f t="shared" si="39"/>
        <v>883.19999999999993</v>
      </c>
      <c r="X63" s="226">
        <f t="shared" si="39"/>
        <v>1766.3999999999999</v>
      </c>
      <c r="Y63" s="226">
        <f t="shared" si="39"/>
        <v>3532.7999999999997</v>
      </c>
      <c r="Z63" s="226">
        <f t="shared" si="39"/>
        <v>7065.5999999999995</v>
      </c>
      <c r="AA63" s="226">
        <f t="shared" si="39"/>
        <v>14131.199999999999</v>
      </c>
      <c r="AB63" s="226">
        <f t="shared" si="39"/>
        <v>28262.399999999998</v>
      </c>
      <c r="AC63" s="226">
        <f t="shared" si="39"/>
        <v>56524.799999999996</v>
      </c>
      <c r="AD63" s="227">
        <f t="shared" si="39"/>
        <v>113049.59999999999</v>
      </c>
      <c r="AE63" s="267">
        <f t="shared" si="39"/>
        <v>226099.19999999998</v>
      </c>
      <c r="AF63" s="222">
        <f t="shared" si="39"/>
        <v>353749.2</v>
      </c>
      <c r="AG63" s="243">
        <f>AG49*B44</f>
        <v>70749.84</v>
      </c>
      <c r="AH63" s="57"/>
      <c r="AI63" s="57"/>
      <c r="AJ63" s="81"/>
    </row>
    <row r="64" spans="1:36" x14ac:dyDescent="0.25">
      <c r="A64" s="49" t="s">
        <v>152</v>
      </c>
      <c r="B64" s="50"/>
      <c r="C64" s="51"/>
      <c r="D64" s="51"/>
      <c r="E64" s="51"/>
      <c r="F64" s="51"/>
      <c r="G64" s="216"/>
      <c r="H64" s="217"/>
      <c r="I64" s="217"/>
      <c r="J64" s="217"/>
      <c r="K64" s="217"/>
      <c r="L64" s="216"/>
      <c r="M64" s="217"/>
      <c r="N64" s="229">
        <f>($G$49*$B$44)*(2^(((N48-35)-$G$48)/$G$74))</f>
        <v>0.20248915578505242</v>
      </c>
      <c r="O64" s="230">
        <f t="shared" ref="O64:S64" si="42">($G$49*$B$44)*(2^(((O48-35)-$G$48)/$G$74))</f>
        <v>0.53848705031001898</v>
      </c>
      <c r="P64" s="229">
        <f t="shared" si="42"/>
        <v>1.596415047117407</v>
      </c>
      <c r="Q64" s="229">
        <f t="shared" ref="Q64:R64" si="43">($G$49*$B$44)*(2^(((Q48-35)-$G$48)/$G$74))</f>
        <v>17.437371497101161</v>
      </c>
      <c r="R64" s="229">
        <f t="shared" si="43"/>
        <v>506.51197992986778</v>
      </c>
      <c r="S64" s="229">
        <f t="shared" si="42"/>
        <v>3582.0917845559693</v>
      </c>
      <c r="T64" s="230">
        <f t="shared" ref="T64:AF64" si="44">($G$49*$B$44)*(2^(((T48-35)-$G$48)/HLOOKUP((T48-35)-$B$45,$G$72:$AG$74,3,TRUE)))</f>
        <v>985.68313570851979</v>
      </c>
      <c r="U64" s="229">
        <f t="shared" si="44"/>
        <v>2305.3044060594634</v>
      </c>
      <c r="V64" s="229">
        <f t="shared" si="44"/>
        <v>1433.2484067753255</v>
      </c>
      <c r="W64" s="229">
        <f t="shared" si="44"/>
        <v>1835.0692869813745</v>
      </c>
      <c r="X64" s="229">
        <f t="shared" si="44"/>
        <v>2900.4373198420453</v>
      </c>
      <c r="Y64" s="229">
        <f t="shared" si="44"/>
        <v>5015.6620295016855</v>
      </c>
      <c r="Z64" s="229">
        <f t="shared" si="44"/>
        <v>9087.7264935281819</v>
      </c>
      <c r="AA64" s="229">
        <f t="shared" si="44"/>
        <v>16921.639512961083</v>
      </c>
      <c r="AB64" s="229">
        <f t="shared" si="44"/>
        <v>32060.409486663397</v>
      </c>
      <c r="AC64" s="229">
        <f t="shared" si="44"/>
        <v>61459.054507325287</v>
      </c>
      <c r="AD64" s="228">
        <f t="shared" si="44"/>
        <v>118795.73342531442</v>
      </c>
      <c r="AE64" s="268">
        <f t="shared" si="44"/>
        <v>231021.90547360116</v>
      </c>
      <c r="AF64" s="221">
        <f t="shared" si="44"/>
        <v>451332.01923023345</v>
      </c>
      <c r="AG64" s="246">
        <f>($G$49*$B$44)*(2^(((AG48 - 35) - $G$48)/AG74))</f>
        <v>247961.80517200381</v>
      </c>
      <c r="AH64" s="57"/>
      <c r="AI64" s="57"/>
      <c r="AJ64" s="81"/>
    </row>
    <row r="65" spans="1:35" s="81" customFormat="1" hidden="1" x14ac:dyDescent="0.25">
      <c r="A65" s="60" t="s">
        <v>205</v>
      </c>
      <c r="B65" s="37"/>
      <c r="C65" s="59"/>
      <c r="D65" s="59"/>
      <c r="E65" s="59"/>
      <c r="F65" s="59"/>
      <c r="G65" s="164">
        <f t="shared" ref="G65:AF65" si="45">G48-7</f>
        <v>43885</v>
      </c>
      <c r="H65" s="164">
        <f t="shared" si="45"/>
        <v>43889</v>
      </c>
      <c r="I65" s="164">
        <f t="shared" si="45"/>
        <v>43893</v>
      </c>
      <c r="J65" s="164">
        <f t="shared" si="45"/>
        <v>43897</v>
      </c>
      <c r="K65" s="164">
        <f t="shared" si="45"/>
        <v>43901</v>
      </c>
      <c r="L65" s="164">
        <f t="shared" si="45"/>
        <v>43904</v>
      </c>
      <c r="M65" s="164">
        <f t="shared" si="45"/>
        <v>43907</v>
      </c>
      <c r="N65" s="164">
        <f t="shared" si="45"/>
        <v>43912</v>
      </c>
      <c r="O65" s="164"/>
      <c r="P65" s="164"/>
      <c r="Q65" s="164"/>
      <c r="R65" s="164"/>
      <c r="S65" s="164"/>
      <c r="T65" s="164">
        <f t="shared" si="45"/>
        <v>44027</v>
      </c>
      <c r="U65" s="164">
        <f t="shared" si="45"/>
        <v>44142</v>
      </c>
      <c r="V65" s="164">
        <f t="shared" si="45"/>
        <v>44257</v>
      </c>
      <c r="W65" s="164">
        <f t="shared" si="45"/>
        <v>44372</v>
      </c>
      <c r="X65" s="164">
        <f t="shared" si="45"/>
        <v>44487</v>
      </c>
      <c r="Y65" s="164">
        <f t="shared" si="45"/>
        <v>44602</v>
      </c>
      <c r="Z65" s="164">
        <f t="shared" si="45"/>
        <v>44717</v>
      </c>
      <c r="AA65" s="164">
        <f t="shared" si="45"/>
        <v>44832</v>
      </c>
      <c r="AB65" s="164">
        <f t="shared" si="45"/>
        <v>44947</v>
      </c>
      <c r="AC65" s="164">
        <f t="shared" si="45"/>
        <v>45062</v>
      </c>
      <c r="AD65" s="164">
        <f t="shared" si="45"/>
        <v>45177</v>
      </c>
      <c r="AE65" s="164">
        <f t="shared" si="45"/>
        <v>45292</v>
      </c>
      <c r="AF65" s="164">
        <f t="shared" si="45"/>
        <v>45407</v>
      </c>
      <c r="AG65" s="164"/>
      <c r="AH65" s="57"/>
      <c r="AI65" s="57"/>
    </row>
    <row r="66" spans="1:35" s="81" customFormat="1" hidden="1" x14ac:dyDescent="0.25">
      <c r="A66" s="60" t="s">
        <v>203</v>
      </c>
      <c r="B66" s="37"/>
      <c r="C66" s="59"/>
      <c r="D66" s="59"/>
      <c r="E66" s="59"/>
      <c r="F66" s="59"/>
      <c r="G66" s="164">
        <f t="shared" ref="G66:AF66" si="46">G48-14</f>
        <v>43878</v>
      </c>
      <c r="H66" s="164">
        <f t="shared" si="46"/>
        <v>43882</v>
      </c>
      <c r="I66" s="164">
        <f t="shared" si="46"/>
        <v>43886</v>
      </c>
      <c r="J66" s="164">
        <f t="shared" si="46"/>
        <v>43890</v>
      </c>
      <c r="K66" s="164">
        <f t="shared" si="46"/>
        <v>43894</v>
      </c>
      <c r="L66" s="164">
        <f t="shared" si="46"/>
        <v>43897</v>
      </c>
      <c r="M66" s="164">
        <f t="shared" si="46"/>
        <v>43900</v>
      </c>
      <c r="N66" s="164">
        <f t="shared" si="46"/>
        <v>43905</v>
      </c>
      <c r="O66" s="164"/>
      <c r="P66" s="164"/>
      <c r="Q66" s="164"/>
      <c r="R66" s="164"/>
      <c r="S66" s="164"/>
      <c r="T66" s="164">
        <f t="shared" si="46"/>
        <v>44020</v>
      </c>
      <c r="U66" s="164">
        <f t="shared" si="46"/>
        <v>44135</v>
      </c>
      <c r="V66" s="164">
        <f t="shared" si="46"/>
        <v>44250</v>
      </c>
      <c r="W66" s="164">
        <f t="shared" si="46"/>
        <v>44365</v>
      </c>
      <c r="X66" s="164">
        <f t="shared" si="46"/>
        <v>44480</v>
      </c>
      <c r="Y66" s="164">
        <f t="shared" si="46"/>
        <v>44595</v>
      </c>
      <c r="Z66" s="164">
        <f t="shared" si="46"/>
        <v>44710</v>
      </c>
      <c r="AA66" s="164">
        <f t="shared" si="46"/>
        <v>44825</v>
      </c>
      <c r="AB66" s="164">
        <f t="shared" si="46"/>
        <v>44940</v>
      </c>
      <c r="AC66" s="164">
        <f t="shared" si="46"/>
        <v>45055</v>
      </c>
      <c r="AD66" s="164">
        <f t="shared" si="46"/>
        <v>45170</v>
      </c>
      <c r="AE66" s="164">
        <f t="shared" si="46"/>
        <v>45285</v>
      </c>
      <c r="AF66" s="164">
        <f t="shared" si="46"/>
        <v>45400</v>
      </c>
      <c r="AG66" s="164"/>
      <c r="AH66" s="57"/>
      <c r="AI66" s="57"/>
    </row>
    <row r="67" spans="1:35" s="81" customFormat="1" hidden="1" x14ac:dyDescent="0.25">
      <c r="A67" s="60" t="s">
        <v>206</v>
      </c>
      <c r="B67" s="37"/>
      <c r="C67" s="59"/>
      <c r="D67" s="59"/>
      <c r="E67" s="59"/>
      <c r="F67" s="59"/>
      <c r="G67" s="164">
        <f t="shared" ref="G67:AF67" si="47">G48-(7*5)</f>
        <v>43857</v>
      </c>
      <c r="H67" s="164">
        <f t="shared" si="47"/>
        <v>43861</v>
      </c>
      <c r="I67" s="164">
        <f t="shared" si="47"/>
        <v>43865</v>
      </c>
      <c r="J67" s="164">
        <f t="shared" si="47"/>
        <v>43869</v>
      </c>
      <c r="K67" s="164">
        <f t="shared" si="47"/>
        <v>43873</v>
      </c>
      <c r="L67" s="164">
        <f t="shared" si="47"/>
        <v>43876</v>
      </c>
      <c r="M67" s="164">
        <f t="shared" si="47"/>
        <v>43879</v>
      </c>
      <c r="N67" s="164">
        <f t="shared" si="47"/>
        <v>43884</v>
      </c>
      <c r="O67" s="164"/>
      <c r="P67" s="164"/>
      <c r="Q67" s="164"/>
      <c r="R67" s="164"/>
      <c r="S67" s="164"/>
      <c r="T67" s="164">
        <f t="shared" si="47"/>
        <v>43999</v>
      </c>
      <c r="U67" s="164">
        <f t="shared" si="47"/>
        <v>44114</v>
      </c>
      <c r="V67" s="164">
        <f t="shared" si="47"/>
        <v>44229</v>
      </c>
      <c r="W67" s="164">
        <f t="shared" si="47"/>
        <v>44344</v>
      </c>
      <c r="X67" s="164">
        <f t="shared" si="47"/>
        <v>44459</v>
      </c>
      <c r="Y67" s="164">
        <f t="shared" si="47"/>
        <v>44574</v>
      </c>
      <c r="Z67" s="164">
        <f t="shared" si="47"/>
        <v>44689</v>
      </c>
      <c r="AA67" s="164">
        <f t="shared" si="47"/>
        <v>44804</v>
      </c>
      <c r="AB67" s="164">
        <f t="shared" si="47"/>
        <v>44919</v>
      </c>
      <c r="AC67" s="164">
        <f t="shared" si="47"/>
        <v>45034</v>
      </c>
      <c r="AD67" s="164">
        <f t="shared" si="47"/>
        <v>45149</v>
      </c>
      <c r="AE67" s="164">
        <f t="shared" si="47"/>
        <v>45264</v>
      </c>
      <c r="AF67" s="164">
        <f t="shared" si="47"/>
        <v>45379</v>
      </c>
      <c r="AG67" s="164"/>
      <c r="AH67" s="57"/>
      <c r="AI67" s="57"/>
    </row>
    <row r="68" spans="1:35" s="81" customFormat="1" hidden="1" x14ac:dyDescent="0.25">
      <c r="A68" s="60" t="s">
        <v>204</v>
      </c>
      <c r="B68" s="37"/>
      <c r="C68" s="59"/>
      <c r="D68" s="59"/>
      <c r="E68" s="59"/>
      <c r="F68" s="59"/>
      <c r="G68" s="164">
        <f t="shared" ref="G68:AF68" si="48">G48-(6*7)</f>
        <v>43850</v>
      </c>
      <c r="H68" s="164">
        <f t="shared" si="48"/>
        <v>43854</v>
      </c>
      <c r="I68" s="164">
        <f t="shared" si="48"/>
        <v>43858</v>
      </c>
      <c r="J68" s="164">
        <f t="shared" si="48"/>
        <v>43862</v>
      </c>
      <c r="K68" s="164">
        <f t="shared" si="48"/>
        <v>43866</v>
      </c>
      <c r="L68" s="164">
        <f t="shared" si="48"/>
        <v>43869</v>
      </c>
      <c r="M68" s="164">
        <f t="shared" si="48"/>
        <v>43872</v>
      </c>
      <c r="N68" s="164">
        <f t="shared" si="48"/>
        <v>43877</v>
      </c>
      <c r="O68" s="164"/>
      <c r="P68" s="164"/>
      <c r="Q68" s="164"/>
      <c r="R68" s="164"/>
      <c r="S68" s="164"/>
      <c r="T68" s="164">
        <f t="shared" si="48"/>
        <v>43992</v>
      </c>
      <c r="U68" s="164">
        <f t="shared" si="48"/>
        <v>44107</v>
      </c>
      <c r="V68" s="164">
        <f t="shared" si="48"/>
        <v>44222</v>
      </c>
      <c r="W68" s="164">
        <f t="shared" si="48"/>
        <v>44337</v>
      </c>
      <c r="X68" s="164">
        <f t="shared" si="48"/>
        <v>44452</v>
      </c>
      <c r="Y68" s="164">
        <f t="shared" si="48"/>
        <v>44567</v>
      </c>
      <c r="Z68" s="164">
        <f t="shared" si="48"/>
        <v>44682</v>
      </c>
      <c r="AA68" s="164">
        <f t="shared" si="48"/>
        <v>44797</v>
      </c>
      <c r="AB68" s="164">
        <f t="shared" si="48"/>
        <v>44912</v>
      </c>
      <c r="AC68" s="164">
        <f t="shared" si="48"/>
        <v>45027</v>
      </c>
      <c r="AD68" s="164">
        <f t="shared" si="48"/>
        <v>45142</v>
      </c>
      <c r="AE68" s="164">
        <f t="shared" si="48"/>
        <v>45257</v>
      </c>
      <c r="AF68" s="164">
        <f t="shared" si="48"/>
        <v>45372</v>
      </c>
      <c r="AG68" s="164"/>
      <c r="AH68" s="57"/>
      <c r="AI68" s="57"/>
    </row>
    <row r="70" spans="1:35" x14ac:dyDescent="0.25">
      <c r="A70" s="65" t="s">
        <v>140</v>
      </c>
      <c r="B70" s="27"/>
      <c r="C70" s="28"/>
      <c r="D70" s="28"/>
      <c r="E70" s="28"/>
      <c r="F70" s="28"/>
    </row>
    <row r="71" spans="1:35" s="81" customFormat="1" x14ac:dyDescent="0.25">
      <c r="A71" s="157" t="s">
        <v>201</v>
      </c>
      <c r="B71" s="37"/>
      <c r="C71" s="59"/>
      <c r="D71" s="59"/>
      <c r="E71" s="59"/>
      <c r="F71" s="59"/>
      <c r="G71" s="158">
        <f t="shared" ref="G71:AG71" si="49">(G48-$B$45)/7</f>
        <v>5.2857142857142856</v>
      </c>
      <c r="H71" s="155">
        <f t="shared" si="49"/>
        <v>5.8571428571428568</v>
      </c>
      <c r="I71" s="156">
        <f t="shared" si="49"/>
        <v>6.4285714285714288</v>
      </c>
      <c r="J71" s="158">
        <f t="shared" si="49"/>
        <v>7</v>
      </c>
      <c r="K71" s="155">
        <f t="shared" si="49"/>
        <v>7.5714285714285712</v>
      </c>
      <c r="L71" s="159">
        <f t="shared" si="49"/>
        <v>8</v>
      </c>
      <c r="M71" s="156">
        <f t="shared" si="49"/>
        <v>8.4285714285714288</v>
      </c>
      <c r="N71" s="158">
        <f t="shared" si="49"/>
        <v>9.1428571428571423</v>
      </c>
      <c r="O71" s="158">
        <f t="shared" ref="O71:S71" si="50">(O48-$B$45)/7</f>
        <v>10.621428571428364</v>
      </c>
      <c r="P71" s="155">
        <f t="shared" si="50"/>
        <v>12.264285714285506</v>
      </c>
      <c r="Q71" s="155">
        <f t="shared" ref="Q71:R71" si="51">(Q48-$B$45)/7</f>
        <v>15.878571428571636</v>
      </c>
      <c r="R71" s="155">
        <f t="shared" si="51"/>
        <v>20.971428571428987</v>
      </c>
      <c r="S71" s="155">
        <f t="shared" si="50"/>
        <v>23.928571428571427</v>
      </c>
      <c r="T71" s="155">
        <f t="shared" si="49"/>
        <v>25.571428571428573</v>
      </c>
      <c r="U71" s="158">
        <f t="shared" si="49"/>
        <v>42</v>
      </c>
      <c r="V71" s="156">
        <f t="shared" si="49"/>
        <v>58.428571428571431</v>
      </c>
      <c r="W71" s="158">
        <f t="shared" si="49"/>
        <v>74.857142857142861</v>
      </c>
      <c r="X71" s="158">
        <f t="shared" si="49"/>
        <v>91.285714285714292</v>
      </c>
      <c r="Y71" s="156">
        <f t="shared" si="49"/>
        <v>107.71428571428571</v>
      </c>
      <c r="Z71" s="158">
        <f t="shared" si="49"/>
        <v>124.14285714285714</v>
      </c>
      <c r="AA71" s="158">
        <f t="shared" si="49"/>
        <v>140.57142857142858</v>
      </c>
      <c r="AB71" s="158">
        <f t="shared" si="49"/>
        <v>157</v>
      </c>
      <c r="AC71" s="156">
        <f t="shared" si="49"/>
        <v>173.42857142857142</v>
      </c>
      <c r="AD71" s="155">
        <f t="shared" si="49"/>
        <v>189.85714285714286</v>
      </c>
      <c r="AE71" s="158">
        <f t="shared" si="49"/>
        <v>206.28571428571428</v>
      </c>
      <c r="AF71" s="158">
        <f t="shared" si="49"/>
        <v>222.71428571428572</v>
      </c>
      <c r="AG71" s="158">
        <f t="shared" si="49"/>
        <v>230.71428571428572</v>
      </c>
    </row>
    <row r="72" spans="1:35" s="81" customFormat="1" x14ac:dyDescent="0.25">
      <c r="A72" s="157" t="s">
        <v>200</v>
      </c>
      <c r="B72" s="37"/>
      <c r="C72" s="59"/>
      <c r="D72" s="59"/>
      <c r="E72" s="59"/>
      <c r="F72" s="59"/>
      <c r="G72" s="258">
        <f>G48-B45</f>
        <v>37</v>
      </c>
      <c r="H72" s="259">
        <f t="shared" ref="H72:AG72" si="52">H48-$B$45</f>
        <v>41</v>
      </c>
      <c r="I72" s="259">
        <f t="shared" si="52"/>
        <v>45</v>
      </c>
      <c r="J72" s="259">
        <f t="shared" si="52"/>
        <v>49</v>
      </c>
      <c r="K72" s="259">
        <f t="shared" si="52"/>
        <v>53</v>
      </c>
      <c r="L72" s="259">
        <f t="shared" si="52"/>
        <v>56</v>
      </c>
      <c r="M72" s="259">
        <f t="shared" si="52"/>
        <v>59</v>
      </c>
      <c r="N72" s="259">
        <f t="shared" si="52"/>
        <v>64</v>
      </c>
      <c r="O72" s="259">
        <f t="shared" ref="O72:S72" si="53">O48-$B$45</f>
        <v>74.349999999998545</v>
      </c>
      <c r="P72" s="259">
        <f t="shared" si="53"/>
        <v>85.849999999998545</v>
      </c>
      <c r="Q72" s="259">
        <f t="shared" ref="Q72:R72" si="54">Q48-$B$45</f>
        <v>111.15000000000146</v>
      </c>
      <c r="R72" s="259">
        <f t="shared" si="54"/>
        <v>146.80000000000291</v>
      </c>
      <c r="S72" s="259">
        <f t="shared" si="53"/>
        <v>167.5</v>
      </c>
      <c r="T72" s="259">
        <f t="shared" si="52"/>
        <v>179</v>
      </c>
      <c r="U72" s="259">
        <f t="shared" si="52"/>
        <v>294</v>
      </c>
      <c r="V72" s="259">
        <f t="shared" si="52"/>
        <v>409</v>
      </c>
      <c r="W72" s="259">
        <f t="shared" si="52"/>
        <v>524</v>
      </c>
      <c r="X72" s="259">
        <f t="shared" si="52"/>
        <v>639</v>
      </c>
      <c r="Y72" s="259">
        <f t="shared" si="52"/>
        <v>754</v>
      </c>
      <c r="Z72" s="259">
        <f t="shared" si="52"/>
        <v>869</v>
      </c>
      <c r="AA72" s="259">
        <f t="shared" si="52"/>
        <v>984</v>
      </c>
      <c r="AB72" s="259">
        <f t="shared" si="52"/>
        <v>1099</v>
      </c>
      <c r="AC72" s="260">
        <f t="shared" si="52"/>
        <v>1214</v>
      </c>
      <c r="AD72" s="259">
        <f t="shared" si="52"/>
        <v>1329</v>
      </c>
      <c r="AE72" s="264">
        <f t="shared" si="52"/>
        <v>1444</v>
      </c>
      <c r="AF72" s="257">
        <f t="shared" si="52"/>
        <v>1559</v>
      </c>
      <c r="AG72" s="257">
        <f t="shared" si="52"/>
        <v>1615</v>
      </c>
    </row>
    <row r="73" spans="1:35" x14ac:dyDescent="0.25">
      <c r="A73" s="53" t="s">
        <v>134</v>
      </c>
      <c r="B73" s="28"/>
      <c r="C73" s="28"/>
      <c r="D73" s="28"/>
      <c r="E73" s="28"/>
      <c r="F73" s="28"/>
      <c r="G73" s="160">
        <v>33</v>
      </c>
      <c r="H73" s="161">
        <v>63</v>
      </c>
      <c r="I73" s="162">
        <v>116</v>
      </c>
      <c r="J73" s="162">
        <v>248</v>
      </c>
      <c r="K73" s="162">
        <v>596</v>
      </c>
      <c r="L73" s="162">
        <v>1072</v>
      </c>
      <c r="M73" s="162">
        <v>2317</v>
      </c>
      <c r="N73" s="162">
        <v>4163</v>
      </c>
      <c r="O73" s="162">
        <v>6052</v>
      </c>
      <c r="P73" s="162">
        <v>6612</v>
      </c>
      <c r="Q73" s="162">
        <v>7019</v>
      </c>
      <c r="R73" s="162">
        <v>7409</v>
      </c>
      <c r="S73" s="198">
        <f>S49</f>
        <v>7800</v>
      </c>
      <c r="T73" s="198">
        <f>T49</f>
        <v>8000</v>
      </c>
      <c r="U73" s="198">
        <f t="shared" ref="U73:AD73" si="55">U49</f>
        <v>16000</v>
      </c>
      <c r="V73" s="198">
        <f t="shared" si="55"/>
        <v>32000</v>
      </c>
      <c r="W73" s="198">
        <f t="shared" si="55"/>
        <v>64000</v>
      </c>
      <c r="X73" s="198">
        <f t="shared" si="55"/>
        <v>128000</v>
      </c>
      <c r="Y73" s="198">
        <f t="shared" si="55"/>
        <v>256000</v>
      </c>
      <c r="Z73" s="198">
        <f t="shared" si="55"/>
        <v>512000</v>
      </c>
      <c r="AA73" s="198">
        <f t="shared" si="55"/>
        <v>1024000</v>
      </c>
      <c r="AB73" s="198">
        <f t="shared" si="55"/>
        <v>2048000</v>
      </c>
      <c r="AC73" s="198">
        <f t="shared" si="55"/>
        <v>4096000</v>
      </c>
      <c r="AD73" s="198">
        <f t="shared" si="55"/>
        <v>8192000</v>
      </c>
      <c r="AE73" s="255">
        <f t="shared" ref="AE73" si="56">AD73*2</f>
        <v>16384000</v>
      </c>
      <c r="AF73" s="202">
        <f>AF49</f>
        <v>25634000</v>
      </c>
      <c r="AG73" s="203">
        <f>AF73</f>
        <v>25634000</v>
      </c>
    </row>
    <row r="74" spans="1:35" x14ac:dyDescent="0.25">
      <c r="A74" s="53" t="s">
        <v>260</v>
      </c>
      <c r="B74" s="28"/>
      <c r="C74" s="28"/>
      <c r="D74" s="28"/>
      <c r="E74" s="28"/>
      <c r="F74" s="28"/>
      <c r="G74" s="208">
        <f>(G48-B45)/(LOG(G73/1)/LOG(2))</f>
        <v>7.3348749373107394</v>
      </c>
      <c r="H74" s="190">
        <f t="shared" ref="H74:AG74" si="57">(H48-$G$48)/(LOG(H73/$G$73)/LOG(2))</f>
        <v>4.287770252524326</v>
      </c>
      <c r="I74" s="190">
        <f t="shared" si="57"/>
        <v>4.4111479339015975</v>
      </c>
      <c r="J74" s="190">
        <f t="shared" si="57"/>
        <v>4.1239916709798061</v>
      </c>
      <c r="K74" s="190">
        <f t="shared" si="57"/>
        <v>3.8325424233151351</v>
      </c>
      <c r="L74" s="190">
        <f t="shared" si="57"/>
        <v>3.7835829796492675</v>
      </c>
      <c r="M74" s="190">
        <f t="shared" si="57"/>
        <v>3.5867723822019695</v>
      </c>
      <c r="N74" s="190">
        <f t="shared" si="57"/>
        <v>3.8687414968098568</v>
      </c>
      <c r="O74" s="190">
        <f>(O48-$G$48)/(LOG(O73/$G$73)/LOG(2))</f>
        <v>4.9675465906228018</v>
      </c>
      <c r="P74" s="190">
        <f>(P48-$G$48)/(LOG(P73/$G$73)/LOG(2))</f>
        <v>6.3885630863942993</v>
      </c>
      <c r="Q74" s="190">
        <f>(Q48-$G$48)/(LOG(Q73/$G$73)/LOG(2))</f>
        <v>9.5892023611624104</v>
      </c>
      <c r="R74" s="190">
        <f>(R48-$G$48)/(LOG(R73/$G$73)/LOG(2))</f>
        <v>14.057694675568982</v>
      </c>
      <c r="S74" s="199">
        <f>(S48-$G$48)/(LOG(S73/$G$73)/LOG(2))</f>
        <v>16.550697033232137</v>
      </c>
      <c r="T74" s="199">
        <f t="shared" si="57"/>
        <v>17.92614642591046</v>
      </c>
      <c r="U74" s="199">
        <f t="shared" si="57"/>
        <v>28.807169649356229</v>
      </c>
      <c r="V74" s="199">
        <f t="shared" si="57"/>
        <v>37.4947455751646</v>
      </c>
      <c r="W74" s="199">
        <f t="shared" si="57"/>
        <v>44.591392911422517</v>
      </c>
      <c r="X74" s="199">
        <f t="shared" si="57"/>
        <v>50.497466457567896</v>
      </c>
      <c r="Y74" s="199">
        <f t="shared" si="57"/>
        <v>55.489385493929291</v>
      </c>
      <c r="Z74" s="199">
        <f t="shared" si="57"/>
        <v>59.764146404976039</v>
      </c>
      <c r="AA74" s="199">
        <f t="shared" si="57"/>
        <v>63.46593645155378</v>
      </c>
      <c r="AB74" s="199">
        <f t="shared" si="57"/>
        <v>66.702718102740917</v>
      </c>
      <c r="AC74" s="199">
        <f t="shared" si="57"/>
        <v>69.556932882108754</v>
      </c>
      <c r="AD74" s="199">
        <f t="shared" si="57"/>
        <v>72.092621614887435</v>
      </c>
      <c r="AE74" s="256">
        <f t="shared" si="57"/>
        <v>74.360286834528239</v>
      </c>
      <c r="AF74" s="204">
        <f t="shared" si="57"/>
        <v>77.783383461145633</v>
      </c>
      <c r="AG74" s="205">
        <f t="shared" si="57"/>
        <v>80.645321354591204</v>
      </c>
    </row>
    <row r="75" spans="1:35" x14ac:dyDescent="0.25">
      <c r="A75" s="53" t="s">
        <v>290</v>
      </c>
      <c r="B75" s="28"/>
      <c r="C75" s="28"/>
      <c r="D75" s="28"/>
      <c r="E75" s="28"/>
      <c r="F75" s="28"/>
      <c r="G75" s="261">
        <v>17</v>
      </c>
      <c r="H75" s="262">
        <v>39</v>
      </c>
      <c r="I75" s="262">
        <v>91</v>
      </c>
      <c r="J75" s="262">
        <v>218</v>
      </c>
      <c r="K75" s="262">
        <v>547</v>
      </c>
      <c r="L75" s="262">
        <v>1019</v>
      </c>
      <c r="M75" s="262">
        <v>2191</v>
      </c>
      <c r="N75" s="262">
        <v>3902</v>
      </c>
      <c r="O75" s="262">
        <v>3189</v>
      </c>
      <c r="P75" s="262">
        <v>2311</v>
      </c>
      <c r="Q75" s="262">
        <v>584</v>
      </c>
      <c r="R75" s="262">
        <v>429</v>
      </c>
      <c r="S75" s="263"/>
      <c r="T75" s="263"/>
      <c r="U75" s="263"/>
      <c r="V75" s="263"/>
      <c r="W75" s="263"/>
      <c r="X75" s="263"/>
      <c r="Y75" s="263"/>
      <c r="Z75" s="263"/>
      <c r="AA75" s="263"/>
      <c r="AB75" s="263"/>
      <c r="AC75" s="263"/>
      <c r="AD75" s="263"/>
      <c r="AE75" s="255"/>
      <c r="AF75" s="202"/>
      <c r="AG75" s="203"/>
    </row>
    <row r="76" spans="1:35" x14ac:dyDescent="0.25">
      <c r="A76" s="53" t="s">
        <v>160</v>
      </c>
      <c r="B76" s="28"/>
      <c r="C76" s="28"/>
      <c r="D76" s="28"/>
      <c r="E76" s="28"/>
      <c r="F76" s="28"/>
      <c r="G76" s="119">
        <f>G73-G75-G77</f>
        <v>15</v>
      </c>
      <c r="H76" s="120">
        <f>H73-H75-H77</f>
        <v>22</v>
      </c>
      <c r="I76" s="120">
        <f t="shared" ref="I76:J76" si="58">I73-I75-I77</f>
        <v>22</v>
      </c>
      <c r="J76" s="120">
        <f t="shared" si="58"/>
        <v>25</v>
      </c>
      <c r="K76" s="163">
        <f>K73-K75-K77</f>
        <v>43</v>
      </c>
      <c r="L76" s="163">
        <f t="shared" ref="L76:N76" si="59">L73-L75-L77</f>
        <v>46</v>
      </c>
      <c r="M76" s="163">
        <f t="shared" si="59"/>
        <v>118</v>
      </c>
      <c r="N76" s="163">
        <f t="shared" si="59"/>
        <v>245</v>
      </c>
      <c r="O76" s="163">
        <f t="shared" ref="O76:P76" si="60">O73-O75-O77</f>
        <v>2813</v>
      </c>
      <c r="P76" s="163">
        <f t="shared" si="60"/>
        <v>4230</v>
      </c>
      <c r="Q76" s="163">
        <f t="shared" ref="Q76:R76" si="61">Q73-Q75-Q77</f>
        <v>6337</v>
      </c>
      <c r="R76" s="163">
        <f t="shared" si="61"/>
        <v>6878</v>
      </c>
      <c r="S76" s="249">
        <v>6903</v>
      </c>
      <c r="T76" s="249"/>
      <c r="U76" s="200"/>
      <c r="V76" s="200"/>
      <c r="W76" s="200"/>
      <c r="X76" s="200"/>
      <c r="Y76" s="200"/>
      <c r="Z76" s="200"/>
      <c r="AA76" s="200"/>
      <c r="AB76" s="200"/>
      <c r="AC76" s="200"/>
      <c r="AD76" s="200"/>
      <c r="AE76" s="255"/>
      <c r="AF76" s="202"/>
      <c r="AG76" s="203"/>
    </row>
    <row r="77" spans="1:35" x14ac:dyDescent="0.25">
      <c r="A77" s="61" t="s">
        <v>135</v>
      </c>
      <c r="B77" s="50"/>
      <c r="C77" s="51"/>
      <c r="D77" s="51"/>
      <c r="E77" s="51"/>
      <c r="F77" s="51"/>
      <c r="G77" s="79">
        <v>1</v>
      </c>
      <c r="H77" s="80">
        <v>2</v>
      </c>
      <c r="I77" s="64">
        <v>3</v>
      </c>
      <c r="J77" s="64">
        <v>5</v>
      </c>
      <c r="K77" s="64">
        <v>6</v>
      </c>
      <c r="L77" s="64">
        <v>7</v>
      </c>
      <c r="M77" s="64">
        <v>8</v>
      </c>
      <c r="N77" s="64">
        <v>16</v>
      </c>
      <c r="O77" s="64">
        <v>50</v>
      </c>
      <c r="P77" s="64">
        <v>71</v>
      </c>
      <c r="Q77" s="64">
        <v>98</v>
      </c>
      <c r="R77" s="64">
        <v>102</v>
      </c>
      <c r="S77" s="250">
        <v>102</v>
      </c>
      <c r="T77" s="250"/>
      <c r="U77" s="201"/>
      <c r="V77" s="201"/>
      <c r="W77" s="201"/>
      <c r="X77" s="201"/>
      <c r="Y77" s="201"/>
      <c r="Z77" s="201"/>
      <c r="AA77" s="201"/>
      <c r="AB77" s="201"/>
      <c r="AC77" s="201"/>
      <c r="AD77" s="201"/>
      <c r="AE77" s="239"/>
      <c r="AF77" s="234"/>
      <c r="AG77" s="235"/>
    </row>
    <row r="78" spans="1:35" x14ac:dyDescent="0.25">
      <c r="B78" s="3"/>
      <c r="G78" s="47"/>
      <c r="H78" s="47"/>
      <c r="I78" s="47"/>
      <c r="J78" s="47"/>
      <c r="K78" s="47"/>
      <c r="L78" s="47"/>
      <c r="M78" s="47"/>
      <c r="N78" s="47"/>
      <c r="O78" s="47"/>
      <c r="P78" s="47"/>
      <c r="Q78" s="47"/>
      <c r="R78" s="47"/>
      <c r="S78" s="47"/>
      <c r="T78" s="47"/>
      <c r="U78" s="47"/>
      <c r="V78" s="47"/>
      <c r="W78" s="47"/>
      <c r="X78" s="47"/>
      <c r="Y78" s="47"/>
      <c r="Z78" s="47"/>
      <c r="AA78" s="47"/>
      <c r="AB78" s="47"/>
      <c r="AC78" s="47"/>
    </row>
    <row r="79" spans="1:35" x14ac:dyDescent="0.25">
      <c r="A79" s="86" t="s">
        <v>141</v>
      </c>
      <c r="AC79" s="28"/>
    </row>
    <row r="80" spans="1:35" x14ac:dyDescent="0.25">
      <c r="A80" s="16" t="s">
        <v>1</v>
      </c>
      <c r="B80" s="69" t="s">
        <v>147</v>
      </c>
      <c r="C80" s="17" t="s">
        <v>4</v>
      </c>
      <c r="D80" s="69" t="s">
        <v>143</v>
      </c>
      <c r="E80" s="70" t="s">
        <v>3</v>
      </c>
      <c r="F80" s="21" t="s">
        <v>4</v>
      </c>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17"/>
      <c r="AG80" s="59"/>
    </row>
    <row r="81" spans="1:33" x14ac:dyDescent="0.25">
      <c r="A81" s="53" t="s">
        <v>13</v>
      </c>
      <c r="B81" s="25">
        <f>'ABS Population by Age Range'!D107</f>
        <v>4.0260989985204748E-2</v>
      </c>
      <c r="C81" s="24">
        <f>$B$35*B81</f>
        <v>1032050.2172807385</v>
      </c>
      <c r="D81" s="34">
        <f>'AU Infection Rate by Age'!E4</f>
        <v>3.372352285395764E-2</v>
      </c>
      <c r="E81" s="17"/>
      <c r="F81" s="28"/>
      <c r="G81" s="30">
        <f t="shared" ref="G81:AF81" si="62">G$49*$D$81</f>
        <v>1.0538600891861762</v>
      </c>
      <c r="H81" s="31">
        <f t="shared" si="62"/>
        <v>2.1077201783723525</v>
      </c>
      <c r="I81" s="31">
        <f t="shared" si="62"/>
        <v>4.215440356744705</v>
      </c>
      <c r="J81" s="31">
        <f t="shared" si="62"/>
        <v>8.4308807134894099</v>
      </c>
      <c r="K81" s="31">
        <f t="shared" si="62"/>
        <v>16.86176142697882</v>
      </c>
      <c r="L81" s="31">
        <f t="shared" si="62"/>
        <v>33.72352285395764</v>
      </c>
      <c r="M81" s="31">
        <f t="shared" si="62"/>
        <v>67.447045707915279</v>
      </c>
      <c r="N81" s="31">
        <f t="shared" si="62"/>
        <v>134.89409141583056</v>
      </c>
      <c r="O81" s="31">
        <f t="shared" si="62"/>
        <v>202.34113712374582</v>
      </c>
      <c r="P81" s="31">
        <f t="shared" si="62"/>
        <v>222.57525083612043</v>
      </c>
      <c r="Q81" s="31">
        <f t="shared" si="62"/>
        <v>236.06465997770349</v>
      </c>
      <c r="R81" s="31">
        <f t="shared" si="62"/>
        <v>249.55406911928654</v>
      </c>
      <c r="S81" s="31">
        <f t="shared" si="62"/>
        <v>263.04347826086956</v>
      </c>
      <c r="T81" s="31">
        <f t="shared" si="62"/>
        <v>269.78818283166112</v>
      </c>
      <c r="U81" s="31">
        <f t="shared" si="62"/>
        <v>539.57636566332224</v>
      </c>
      <c r="V81" s="31">
        <f t="shared" si="62"/>
        <v>1079.1527313266445</v>
      </c>
      <c r="W81" s="31">
        <f t="shared" si="62"/>
        <v>2158.3054626532889</v>
      </c>
      <c r="X81" s="31">
        <f t="shared" si="62"/>
        <v>4316.6109253065779</v>
      </c>
      <c r="Y81" s="31">
        <f t="shared" si="62"/>
        <v>8633.2218506131558</v>
      </c>
      <c r="Z81" s="31">
        <f t="shared" si="62"/>
        <v>17266.443701226312</v>
      </c>
      <c r="AA81" s="31">
        <f t="shared" si="62"/>
        <v>34532.887402452623</v>
      </c>
      <c r="AB81" s="31">
        <f t="shared" si="62"/>
        <v>69065.774804905246</v>
      </c>
      <c r="AC81" s="31">
        <f t="shared" si="62"/>
        <v>138131.54960981049</v>
      </c>
      <c r="AD81" s="72">
        <f t="shared" si="62"/>
        <v>276263.09921962098</v>
      </c>
      <c r="AE81" s="31">
        <f t="shared" si="62"/>
        <v>552526.19843924197</v>
      </c>
      <c r="AF81" s="72">
        <f t="shared" si="62"/>
        <v>864468.78483835014</v>
      </c>
      <c r="AG81" s="57"/>
    </row>
    <row r="82" spans="1:33" x14ac:dyDescent="0.25">
      <c r="A82" s="53"/>
      <c r="B82" s="18"/>
      <c r="C82" s="22"/>
      <c r="D82" s="20"/>
      <c r="E82" s="39">
        <f>'AU Infection Rate by Age'!F18</f>
        <v>0.22727272727272727</v>
      </c>
      <c r="F82" s="22"/>
      <c r="G82" s="41">
        <f t="shared" ref="G82:AF82" si="63">G$49*$D$81*$E$82</f>
        <v>0.23951365663322186</v>
      </c>
      <c r="H82" s="42">
        <f t="shared" si="63"/>
        <v>0.47902731326644371</v>
      </c>
      <c r="I82" s="42">
        <f t="shared" si="63"/>
        <v>0.95805462653288742</v>
      </c>
      <c r="J82" s="42">
        <f t="shared" si="63"/>
        <v>1.9161092530657748</v>
      </c>
      <c r="K82" s="42">
        <f t="shared" si="63"/>
        <v>3.8322185061315497</v>
      </c>
      <c r="L82" s="42">
        <f t="shared" si="63"/>
        <v>7.6644370122630994</v>
      </c>
      <c r="M82" s="42">
        <f t="shared" si="63"/>
        <v>15.328874024526199</v>
      </c>
      <c r="N82" s="42">
        <f t="shared" si="63"/>
        <v>30.657748049052397</v>
      </c>
      <c r="O82" s="42">
        <f t="shared" si="63"/>
        <v>45.986622073578594</v>
      </c>
      <c r="P82" s="42">
        <f t="shared" si="63"/>
        <v>50.585284280936463</v>
      </c>
      <c r="Q82" s="42">
        <f t="shared" si="63"/>
        <v>53.651059085841702</v>
      </c>
      <c r="R82" s="42">
        <f t="shared" si="63"/>
        <v>56.71683389074694</v>
      </c>
      <c r="S82" s="42">
        <f t="shared" si="63"/>
        <v>59.782608695652172</v>
      </c>
      <c r="T82" s="42">
        <f t="shared" si="63"/>
        <v>61.315496098104795</v>
      </c>
      <c r="U82" s="42">
        <f t="shared" si="63"/>
        <v>122.63099219620959</v>
      </c>
      <c r="V82" s="42">
        <f t="shared" si="63"/>
        <v>245.26198439241918</v>
      </c>
      <c r="W82" s="42">
        <f t="shared" si="63"/>
        <v>490.52396878483836</v>
      </c>
      <c r="X82" s="42">
        <f t="shared" si="63"/>
        <v>981.04793756967672</v>
      </c>
      <c r="Y82" s="42">
        <f t="shared" si="63"/>
        <v>1962.0958751393534</v>
      </c>
      <c r="Z82" s="42">
        <f t="shared" si="63"/>
        <v>3924.1917502787069</v>
      </c>
      <c r="AA82" s="42">
        <f t="shared" si="63"/>
        <v>7848.3835005574138</v>
      </c>
      <c r="AB82" s="42">
        <f t="shared" si="63"/>
        <v>15696.767001114828</v>
      </c>
      <c r="AC82" s="42">
        <f t="shared" si="63"/>
        <v>31393.534002229655</v>
      </c>
      <c r="AD82" s="83">
        <f t="shared" si="63"/>
        <v>62787.06800445931</v>
      </c>
      <c r="AE82" s="42">
        <f t="shared" si="63"/>
        <v>125574.13600891862</v>
      </c>
      <c r="AF82" s="83">
        <f t="shared" si="63"/>
        <v>196470.1783723523</v>
      </c>
      <c r="AG82" s="57"/>
    </row>
    <row r="83" spans="1:33" x14ac:dyDescent="0.25">
      <c r="A83" s="53" t="s">
        <v>14</v>
      </c>
      <c r="B83" s="18">
        <f>'ABS Population by Age Range'!D97</f>
        <v>7.065336711718416E-2</v>
      </c>
      <c r="C83" s="22">
        <f t="shared" ref="C83:C97" si="64">$B$35*B83</f>
        <v>1811128.4126818988</v>
      </c>
      <c r="D83" s="35">
        <f>'AU Infection Rate by Age'!E5</f>
        <v>0.10521181716833891</v>
      </c>
      <c r="E83" s="29"/>
      <c r="F83" s="28"/>
      <c r="G83" s="32">
        <f t="shared" ref="G83:AF83" si="65">G$49*$D$83</f>
        <v>3.287869286510591</v>
      </c>
      <c r="H83" s="33">
        <f t="shared" si="65"/>
        <v>6.5757385730211819</v>
      </c>
      <c r="I83" s="33">
        <f t="shared" si="65"/>
        <v>13.151477146042364</v>
      </c>
      <c r="J83" s="33">
        <f t="shared" si="65"/>
        <v>26.302954292084728</v>
      </c>
      <c r="K83" s="33">
        <f t="shared" si="65"/>
        <v>52.605908584169455</v>
      </c>
      <c r="L83" s="33">
        <f t="shared" si="65"/>
        <v>105.21181716833891</v>
      </c>
      <c r="M83" s="33">
        <f t="shared" si="65"/>
        <v>210.42363433667782</v>
      </c>
      <c r="N83" s="33">
        <f t="shared" si="65"/>
        <v>420.84726867335564</v>
      </c>
      <c r="O83" s="33">
        <f t="shared" si="65"/>
        <v>631.27090301003352</v>
      </c>
      <c r="P83" s="33">
        <f t="shared" si="65"/>
        <v>694.39799331103677</v>
      </c>
      <c r="Q83" s="33">
        <f t="shared" si="65"/>
        <v>736.48272017837235</v>
      </c>
      <c r="R83" s="33">
        <f t="shared" si="65"/>
        <v>778.56744704570792</v>
      </c>
      <c r="S83" s="33">
        <f t="shared" si="65"/>
        <v>820.6521739130435</v>
      </c>
      <c r="T83" s="33">
        <f t="shared" si="65"/>
        <v>841.69453734671129</v>
      </c>
      <c r="U83" s="33">
        <f t="shared" si="65"/>
        <v>1683.3890746934226</v>
      </c>
      <c r="V83" s="33">
        <f t="shared" si="65"/>
        <v>3366.7781493868451</v>
      </c>
      <c r="W83" s="33">
        <f t="shared" si="65"/>
        <v>6733.5562987736903</v>
      </c>
      <c r="X83" s="33">
        <f t="shared" si="65"/>
        <v>13467.112597547381</v>
      </c>
      <c r="Y83" s="33">
        <f t="shared" si="65"/>
        <v>26934.225195094761</v>
      </c>
      <c r="Z83" s="33">
        <f t="shared" si="65"/>
        <v>53868.450390189522</v>
      </c>
      <c r="AA83" s="33">
        <f t="shared" si="65"/>
        <v>107736.90078037904</v>
      </c>
      <c r="AB83" s="33">
        <f t="shared" si="65"/>
        <v>215473.80156075809</v>
      </c>
      <c r="AC83" s="33">
        <f t="shared" si="65"/>
        <v>430947.60312151618</v>
      </c>
      <c r="AD83" s="84">
        <f t="shared" si="65"/>
        <v>861895.20624303236</v>
      </c>
      <c r="AE83" s="33">
        <f t="shared" si="65"/>
        <v>1723790.4124860647</v>
      </c>
      <c r="AF83" s="84">
        <f t="shared" si="65"/>
        <v>2696999.7212931998</v>
      </c>
      <c r="AG83" s="57"/>
    </row>
    <row r="84" spans="1:33" x14ac:dyDescent="0.25">
      <c r="A84" s="53"/>
      <c r="B84" s="18"/>
      <c r="C84" s="22"/>
      <c r="D84" s="20"/>
      <c r="E84" s="39">
        <f>'AU Infection Rate by Age'!F19</f>
        <v>4.5033112582781455E-2</v>
      </c>
      <c r="F84" s="22"/>
      <c r="G84" s="41">
        <f t="shared" ref="G84:AF84" si="66">G$49*$D$83*$E$84</f>
        <v>0.14806298773690077</v>
      </c>
      <c r="H84" s="42">
        <f t="shared" si="66"/>
        <v>0.29612597547380154</v>
      </c>
      <c r="I84" s="42">
        <f t="shared" si="66"/>
        <v>0.59225195094760308</v>
      </c>
      <c r="J84" s="42">
        <f t="shared" si="66"/>
        <v>1.1845039018952062</v>
      </c>
      <c r="K84" s="42">
        <f t="shared" si="66"/>
        <v>2.3690078037904123</v>
      </c>
      <c r="L84" s="42">
        <f t="shared" si="66"/>
        <v>4.7380156075808246</v>
      </c>
      <c r="M84" s="42">
        <f t="shared" si="66"/>
        <v>9.4760312151616493</v>
      </c>
      <c r="N84" s="42">
        <f t="shared" si="66"/>
        <v>18.952062430323299</v>
      </c>
      <c r="O84" s="42">
        <f t="shared" si="66"/>
        <v>28.428093645484953</v>
      </c>
      <c r="P84" s="42">
        <f t="shared" si="66"/>
        <v>31.270903010033443</v>
      </c>
      <c r="Q84" s="42">
        <f t="shared" si="66"/>
        <v>33.16610925306577</v>
      </c>
      <c r="R84" s="42">
        <f t="shared" si="66"/>
        <v>35.061315496098103</v>
      </c>
      <c r="S84" s="42">
        <f t="shared" si="66"/>
        <v>36.956521739130437</v>
      </c>
      <c r="T84" s="42">
        <f t="shared" si="66"/>
        <v>37.904124860646597</v>
      </c>
      <c r="U84" s="42">
        <f t="shared" si="66"/>
        <v>75.808249721293194</v>
      </c>
      <c r="V84" s="42">
        <f t="shared" si="66"/>
        <v>151.61649944258639</v>
      </c>
      <c r="W84" s="42">
        <f t="shared" si="66"/>
        <v>303.23299888517278</v>
      </c>
      <c r="X84" s="42">
        <f t="shared" si="66"/>
        <v>606.46599777034555</v>
      </c>
      <c r="Y84" s="42">
        <f t="shared" si="66"/>
        <v>1212.9319955406911</v>
      </c>
      <c r="Z84" s="42">
        <f t="shared" si="66"/>
        <v>2425.8639910813822</v>
      </c>
      <c r="AA84" s="42">
        <f t="shared" si="66"/>
        <v>4851.7279821627644</v>
      </c>
      <c r="AB84" s="42">
        <f t="shared" si="66"/>
        <v>9703.4559643255288</v>
      </c>
      <c r="AC84" s="42">
        <f t="shared" si="66"/>
        <v>19406.911928651058</v>
      </c>
      <c r="AD84" s="83">
        <f t="shared" si="66"/>
        <v>38813.823857302115</v>
      </c>
      <c r="AE84" s="42">
        <f t="shared" si="66"/>
        <v>77627.647714604231</v>
      </c>
      <c r="AF84" s="83">
        <f t="shared" si="66"/>
        <v>121454.29208472687</v>
      </c>
      <c r="AG84" s="57"/>
    </row>
    <row r="85" spans="1:33" x14ac:dyDescent="0.25">
      <c r="A85" s="53" t="s">
        <v>15</v>
      </c>
      <c r="B85" s="18">
        <f>'ABS Population by Age Range'!D85</f>
        <v>0.10301766910746854</v>
      </c>
      <c r="C85" s="22">
        <f t="shared" si="64"/>
        <v>2640754.9299008488</v>
      </c>
      <c r="D85" s="35">
        <f>'AU Infection Rate by Age'!E6</f>
        <v>0.16234671125975475</v>
      </c>
      <c r="E85" s="29"/>
      <c r="F85" s="22"/>
      <c r="G85" s="32">
        <f t="shared" ref="G85:AF85" si="67">G$49*$D$85</f>
        <v>5.0733347268673361</v>
      </c>
      <c r="H85" s="33">
        <f t="shared" si="67"/>
        <v>10.146669453734672</v>
      </c>
      <c r="I85" s="33">
        <f t="shared" si="67"/>
        <v>20.293338907469344</v>
      </c>
      <c r="J85" s="33">
        <f t="shared" si="67"/>
        <v>40.586677814938689</v>
      </c>
      <c r="K85" s="33">
        <f t="shared" si="67"/>
        <v>81.173355629877378</v>
      </c>
      <c r="L85" s="33">
        <f t="shared" si="67"/>
        <v>162.34671125975476</v>
      </c>
      <c r="M85" s="33">
        <f t="shared" si="67"/>
        <v>324.69342251950951</v>
      </c>
      <c r="N85" s="33">
        <f t="shared" si="67"/>
        <v>649.38684503901902</v>
      </c>
      <c r="O85" s="33">
        <f t="shared" si="67"/>
        <v>974.08026755852848</v>
      </c>
      <c r="P85" s="33">
        <f t="shared" si="67"/>
        <v>1071.4882943143814</v>
      </c>
      <c r="Q85" s="33">
        <f t="shared" si="67"/>
        <v>1136.4269788182833</v>
      </c>
      <c r="R85" s="33">
        <f t="shared" si="67"/>
        <v>1201.3656633221851</v>
      </c>
      <c r="S85" s="33">
        <f t="shared" si="67"/>
        <v>1266.304347826087</v>
      </c>
      <c r="T85" s="33">
        <f t="shared" si="67"/>
        <v>1298.773690078038</v>
      </c>
      <c r="U85" s="33">
        <f t="shared" si="67"/>
        <v>2597.5473801560761</v>
      </c>
      <c r="V85" s="33">
        <f t="shared" si="67"/>
        <v>5195.0947603121522</v>
      </c>
      <c r="W85" s="33">
        <f t="shared" si="67"/>
        <v>10390.189520624304</v>
      </c>
      <c r="X85" s="33">
        <f t="shared" si="67"/>
        <v>20780.379041248609</v>
      </c>
      <c r="Y85" s="33">
        <f t="shared" si="67"/>
        <v>41560.758082497217</v>
      </c>
      <c r="Z85" s="33">
        <f t="shared" si="67"/>
        <v>83121.516164994435</v>
      </c>
      <c r="AA85" s="33">
        <f t="shared" si="67"/>
        <v>166243.03232998887</v>
      </c>
      <c r="AB85" s="33">
        <f t="shared" si="67"/>
        <v>332486.06465997774</v>
      </c>
      <c r="AC85" s="33">
        <f t="shared" si="67"/>
        <v>664972.12931995548</v>
      </c>
      <c r="AD85" s="84">
        <f t="shared" si="67"/>
        <v>1329944.258639911</v>
      </c>
      <c r="AE85" s="33">
        <f t="shared" si="67"/>
        <v>2659888.5172798219</v>
      </c>
      <c r="AF85" s="84">
        <f t="shared" si="67"/>
        <v>4161595.5964325531</v>
      </c>
      <c r="AG85" s="57"/>
    </row>
    <row r="86" spans="1:33" x14ac:dyDescent="0.25">
      <c r="A86" s="53"/>
      <c r="B86" s="18"/>
      <c r="C86" s="22"/>
      <c r="D86" s="20"/>
      <c r="E86" s="39">
        <f>'AU Infection Rate by Age'!F20</f>
        <v>8.5836909871244635E-3</v>
      </c>
      <c r="F86" s="22"/>
      <c r="G86" s="41">
        <f t="shared" ref="G86:AF86" si="68">G$49*$D$85*$E$86</f>
        <v>4.3547937569676703E-2</v>
      </c>
      <c r="H86" s="42">
        <f t="shared" si="68"/>
        <v>8.7095875139353407E-2</v>
      </c>
      <c r="I86" s="42">
        <f t="shared" si="68"/>
        <v>0.17419175027870681</v>
      </c>
      <c r="J86" s="42">
        <f t="shared" si="68"/>
        <v>0.34838350055741363</v>
      </c>
      <c r="K86" s="42">
        <f t="shared" si="68"/>
        <v>0.69676700111482726</v>
      </c>
      <c r="L86" s="42">
        <f t="shared" si="68"/>
        <v>1.3935340022296545</v>
      </c>
      <c r="M86" s="42">
        <f t="shared" si="68"/>
        <v>2.787068004459309</v>
      </c>
      <c r="N86" s="42">
        <f t="shared" si="68"/>
        <v>5.574136008918618</v>
      </c>
      <c r="O86" s="42">
        <f t="shared" si="68"/>
        <v>8.3612040133779271</v>
      </c>
      <c r="P86" s="42">
        <f t="shared" si="68"/>
        <v>9.1973244147157196</v>
      </c>
      <c r="Q86" s="42">
        <f t="shared" si="68"/>
        <v>9.7547380156075825</v>
      </c>
      <c r="R86" s="42">
        <f t="shared" si="68"/>
        <v>10.312151616499444</v>
      </c>
      <c r="S86" s="42">
        <f t="shared" si="68"/>
        <v>10.869565217391305</v>
      </c>
      <c r="T86" s="42">
        <f t="shared" si="68"/>
        <v>11.148272017837236</v>
      </c>
      <c r="U86" s="42">
        <f t="shared" si="68"/>
        <v>22.296544035674472</v>
      </c>
      <c r="V86" s="42">
        <f t="shared" si="68"/>
        <v>44.593088071348944</v>
      </c>
      <c r="W86" s="42">
        <f t="shared" si="68"/>
        <v>89.186176142697889</v>
      </c>
      <c r="X86" s="42">
        <f t="shared" si="68"/>
        <v>178.37235228539578</v>
      </c>
      <c r="Y86" s="42">
        <f t="shared" si="68"/>
        <v>356.74470457079155</v>
      </c>
      <c r="Z86" s="42">
        <f t="shared" si="68"/>
        <v>713.48940914158311</v>
      </c>
      <c r="AA86" s="42">
        <f t="shared" si="68"/>
        <v>1426.9788182831662</v>
      </c>
      <c r="AB86" s="42">
        <f t="shared" si="68"/>
        <v>2853.9576365663324</v>
      </c>
      <c r="AC86" s="42">
        <f t="shared" si="68"/>
        <v>5707.9152731326649</v>
      </c>
      <c r="AD86" s="83">
        <f t="shared" si="68"/>
        <v>11415.83054626533</v>
      </c>
      <c r="AE86" s="42">
        <f t="shared" si="68"/>
        <v>22831.66109253066</v>
      </c>
      <c r="AF86" s="83">
        <f t="shared" si="68"/>
        <v>35721.850613154966</v>
      </c>
      <c r="AG86" s="57"/>
    </row>
    <row r="87" spans="1:33" x14ac:dyDescent="0.25">
      <c r="A87" s="53" t="s">
        <v>16</v>
      </c>
      <c r="B87" s="18">
        <f>'ABS Population by Age Range'!D73</f>
        <v>0.12142789925761971</v>
      </c>
      <c r="C87" s="22">
        <f t="shared" si="64"/>
        <v>3112682.7695698235</v>
      </c>
      <c r="D87" s="35">
        <f>'AU Infection Rate by Age'!E7</f>
        <v>0.15774804905239687</v>
      </c>
      <c r="E87" s="29"/>
      <c r="F87" s="22"/>
      <c r="G87" s="32">
        <f t="shared" ref="G87:AF87" si="69">G$49*$D$87</f>
        <v>4.9296265328874025</v>
      </c>
      <c r="H87" s="33">
        <f t="shared" si="69"/>
        <v>9.859253065774805</v>
      </c>
      <c r="I87" s="33">
        <f t="shared" si="69"/>
        <v>19.71850613154961</v>
      </c>
      <c r="J87" s="33">
        <f t="shared" si="69"/>
        <v>39.43701226309922</v>
      </c>
      <c r="K87" s="33">
        <f t="shared" si="69"/>
        <v>78.87402452619844</v>
      </c>
      <c r="L87" s="33">
        <f t="shared" si="69"/>
        <v>157.74804905239688</v>
      </c>
      <c r="M87" s="33">
        <f t="shared" si="69"/>
        <v>315.49609810479376</v>
      </c>
      <c r="N87" s="33">
        <f t="shared" si="69"/>
        <v>630.99219620958752</v>
      </c>
      <c r="O87" s="33">
        <f t="shared" si="69"/>
        <v>946.48829431438116</v>
      </c>
      <c r="P87" s="33">
        <f t="shared" si="69"/>
        <v>1041.1371237458193</v>
      </c>
      <c r="Q87" s="33">
        <f t="shared" si="69"/>
        <v>1104.2363433667781</v>
      </c>
      <c r="R87" s="33">
        <f t="shared" si="69"/>
        <v>1167.3355629877369</v>
      </c>
      <c r="S87" s="33">
        <f t="shared" si="69"/>
        <v>1230.4347826086955</v>
      </c>
      <c r="T87" s="33">
        <f t="shared" si="69"/>
        <v>1261.984392419175</v>
      </c>
      <c r="U87" s="33">
        <f t="shared" si="69"/>
        <v>2523.9687848383501</v>
      </c>
      <c r="V87" s="33">
        <f t="shared" si="69"/>
        <v>5047.9375696767002</v>
      </c>
      <c r="W87" s="33">
        <f t="shared" si="69"/>
        <v>10095.8751393534</v>
      </c>
      <c r="X87" s="33">
        <f t="shared" si="69"/>
        <v>20191.750278706801</v>
      </c>
      <c r="Y87" s="33">
        <f t="shared" si="69"/>
        <v>40383.500557413601</v>
      </c>
      <c r="Z87" s="33">
        <f t="shared" si="69"/>
        <v>80767.001114827202</v>
      </c>
      <c r="AA87" s="33">
        <f t="shared" si="69"/>
        <v>161534.0022296544</v>
      </c>
      <c r="AB87" s="33">
        <f t="shared" si="69"/>
        <v>323068.00445930881</v>
      </c>
      <c r="AC87" s="33">
        <f t="shared" si="69"/>
        <v>646136.00891861762</v>
      </c>
      <c r="AD87" s="84">
        <f t="shared" si="69"/>
        <v>1292272.0178372352</v>
      </c>
      <c r="AE87" s="33">
        <f t="shared" si="69"/>
        <v>2584544.0356744705</v>
      </c>
      <c r="AF87" s="84">
        <f t="shared" si="69"/>
        <v>4043713.4894091412</v>
      </c>
      <c r="AG87" s="57"/>
    </row>
    <row r="88" spans="1:33" x14ac:dyDescent="0.25">
      <c r="A88" s="53"/>
      <c r="B88" s="18"/>
      <c r="C88" s="22"/>
      <c r="D88" s="20"/>
      <c r="E88" s="39">
        <f>'AU Infection Rate by Age'!F21</f>
        <v>1.7667844522968198E-3</v>
      </c>
      <c r="F88" s="22"/>
      <c r="G88" s="41">
        <f t="shared" ref="G88:AF88" si="70">G$49*$D$87*$E$88</f>
        <v>8.70958751393534E-3</v>
      </c>
      <c r="H88" s="42">
        <f t="shared" si="70"/>
        <v>1.741917502787068E-2</v>
      </c>
      <c r="I88" s="42">
        <f t="shared" si="70"/>
        <v>3.483835005574136E-2</v>
      </c>
      <c r="J88" s="42">
        <f t="shared" si="70"/>
        <v>6.967670011148272E-2</v>
      </c>
      <c r="K88" s="42">
        <f t="shared" si="70"/>
        <v>0.13935340022296544</v>
      </c>
      <c r="L88" s="42">
        <f t="shared" si="70"/>
        <v>0.27870680044593088</v>
      </c>
      <c r="M88" s="42">
        <f t="shared" si="70"/>
        <v>0.55741360089186176</v>
      </c>
      <c r="N88" s="42">
        <f t="shared" si="70"/>
        <v>1.1148272017837235</v>
      </c>
      <c r="O88" s="42">
        <f t="shared" si="70"/>
        <v>1.6722408026755851</v>
      </c>
      <c r="P88" s="42">
        <f t="shared" si="70"/>
        <v>1.8394648829431435</v>
      </c>
      <c r="Q88" s="42">
        <f t="shared" si="70"/>
        <v>1.950947603121516</v>
      </c>
      <c r="R88" s="42">
        <f t="shared" si="70"/>
        <v>2.0624303232998886</v>
      </c>
      <c r="S88" s="42">
        <f t="shared" si="70"/>
        <v>2.1739130434782608</v>
      </c>
      <c r="T88" s="42">
        <f t="shared" si="70"/>
        <v>2.229654403567447</v>
      </c>
      <c r="U88" s="42">
        <f t="shared" si="70"/>
        <v>4.4593088071348941</v>
      </c>
      <c r="V88" s="42">
        <f t="shared" si="70"/>
        <v>8.9186176142697882</v>
      </c>
      <c r="W88" s="42">
        <f t="shared" si="70"/>
        <v>17.837235228539576</v>
      </c>
      <c r="X88" s="42">
        <f t="shared" si="70"/>
        <v>35.674470457079153</v>
      </c>
      <c r="Y88" s="42">
        <f t="shared" si="70"/>
        <v>71.348940914158305</v>
      </c>
      <c r="Z88" s="42">
        <f t="shared" si="70"/>
        <v>142.69788182831661</v>
      </c>
      <c r="AA88" s="42">
        <f t="shared" si="70"/>
        <v>285.39576365663322</v>
      </c>
      <c r="AB88" s="42">
        <f t="shared" si="70"/>
        <v>570.79152731326644</v>
      </c>
      <c r="AC88" s="42">
        <f t="shared" si="70"/>
        <v>1141.5830546265329</v>
      </c>
      <c r="AD88" s="83">
        <f t="shared" si="70"/>
        <v>2283.1661092530658</v>
      </c>
      <c r="AE88" s="42">
        <f t="shared" si="70"/>
        <v>4566.3322185061315</v>
      </c>
      <c r="AF88" s="83">
        <f t="shared" si="70"/>
        <v>7144.3701226309913</v>
      </c>
      <c r="AG88" s="57"/>
    </row>
    <row r="89" spans="1:33" x14ac:dyDescent="0.25">
      <c r="A89" s="53" t="s">
        <v>17</v>
      </c>
      <c r="B89" s="18">
        <f>'ABS Population by Age Range'!D61</f>
        <v>0.12908272398046944</v>
      </c>
      <c r="C89" s="22">
        <f t="shared" si="64"/>
        <v>3308906.5465153535</v>
      </c>
      <c r="D89" s="35">
        <f>'AU Infection Rate by Age'!E8</f>
        <v>0.1273690078037904</v>
      </c>
      <c r="E89" s="29"/>
      <c r="F89" s="22"/>
      <c r="G89" s="32">
        <f t="shared" ref="G89:AF89" si="71">G$49*$D$89</f>
        <v>3.9802814938684499</v>
      </c>
      <c r="H89" s="33">
        <f t="shared" si="71"/>
        <v>7.9605629877368997</v>
      </c>
      <c r="I89" s="33">
        <f t="shared" si="71"/>
        <v>15.921125975473799</v>
      </c>
      <c r="J89" s="33">
        <f t="shared" si="71"/>
        <v>31.842251950947599</v>
      </c>
      <c r="K89" s="33">
        <f t="shared" si="71"/>
        <v>63.684503901895198</v>
      </c>
      <c r="L89" s="33">
        <f t="shared" si="71"/>
        <v>127.3690078037904</v>
      </c>
      <c r="M89" s="33">
        <f t="shared" si="71"/>
        <v>254.73801560758079</v>
      </c>
      <c r="N89" s="33">
        <f t="shared" si="71"/>
        <v>509.47603121516158</v>
      </c>
      <c r="O89" s="33">
        <f t="shared" si="71"/>
        <v>764.21404682274238</v>
      </c>
      <c r="P89" s="33">
        <f t="shared" si="71"/>
        <v>840.6354515050167</v>
      </c>
      <c r="Q89" s="33">
        <f t="shared" si="71"/>
        <v>891.58305462653277</v>
      </c>
      <c r="R89" s="33">
        <f t="shared" si="71"/>
        <v>942.53065774804895</v>
      </c>
      <c r="S89" s="33">
        <f t="shared" si="71"/>
        <v>993.47826086956513</v>
      </c>
      <c r="T89" s="33">
        <f t="shared" si="71"/>
        <v>1018.9520624303232</v>
      </c>
      <c r="U89" s="33">
        <f t="shared" si="71"/>
        <v>2037.9041248606463</v>
      </c>
      <c r="V89" s="33">
        <f t="shared" si="71"/>
        <v>4075.8082497212927</v>
      </c>
      <c r="W89" s="33">
        <f t="shared" si="71"/>
        <v>8151.6164994425853</v>
      </c>
      <c r="X89" s="33">
        <f t="shared" si="71"/>
        <v>16303.232998885171</v>
      </c>
      <c r="Y89" s="33">
        <f t="shared" si="71"/>
        <v>32606.465997770341</v>
      </c>
      <c r="Z89" s="33">
        <f t="shared" si="71"/>
        <v>65212.931995540683</v>
      </c>
      <c r="AA89" s="33">
        <f t="shared" si="71"/>
        <v>130425.86399108137</v>
      </c>
      <c r="AB89" s="33">
        <f t="shared" si="71"/>
        <v>260851.72798216273</v>
      </c>
      <c r="AC89" s="33">
        <f t="shared" si="71"/>
        <v>521703.45596432546</v>
      </c>
      <c r="AD89" s="84">
        <f t="shared" si="71"/>
        <v>1043406.9119286509</v>
      </c>
      <c r="AE89" s="33">
        <f t="shared" si="71"/>
        <v>2086813.8238573018</v>
      </c>
      <c r="AF89" s="84">
        <f t="shared" si="71"/>
        <v>3264977.1460423633</v>
      </c>
      <c r="AG89" s="57"/>
    </row>
    <row r="90" spans="1:33" x14ac:dyDescent="0.25">
      <c r="A90" s="53"/>
      <c r="B90" s="18"/>
      <c r="C90" s="22"/>
      <c r="D90" s="20"/>
      <c r="E90" s="39">
        <f>'AU Infection Rate by Age'!F22</f>
        <v>1.0940919037199124E-3</v>
      </c>
      <c r="F90" s="22"/>
      <c r="G90" s="41">
        <f t="shared" ref="G90:AF90" si="72">G$49*$D$89*$E$90</f>
        <v>4.3547937569676691E-3</v>
      </c>
      <c r="H90" s="42">
        <f t="shared" si="72"/>
        <v>8.7095875139353383E-3</v>
      </c>
      <c r="I90" s="42">
        <f t="shared" si="72"/>
        <v>1.7419175027870677E-2</v>
      </c>
      <c r="J90" s="42">
        <f t="shared" si="72"/>
        <v>3.4838350055741353E-2</v>
      </c>
      <c r="K90" s="42">
        <f t="shared" si="72"/>
        <v>6.9676700111482706E-2</v>
      </c>
      <c r="L90" s="42">
        <f t="shared" si="72"/>
        <v>0.13935340022296541</v>
      </c>
      <c r="M90" s="42">
        <f t="shared" si="72"/>
        <v>0.27870680044593082</v>
      </c>
      <c r="N90" s="42">
        <f t="shared" si="72"/>
        <v>0.55741360089186165</v>
      </c>
      <c r="O90" s="42">
        <f t="shared" si="72"/>
        <v>0.83612040133779253</v>
      </c>
      <c r="P90" s="42">
        <f t="shared" si="72"/>
        <v>0.91973244147157185</v>
      </c>
      <c r="Q90" s="42">
        <f t="shared" si="72"/>
        <v>0.97547380156075791</v>
      </c>
      <c r="R90" s="42">
        <f t="shared" si="72"/>
        <v>1.0312151616499441</v>
      </c>
      <c r="S90" s="42">
        <f t="shared" si="72"/>
        <v>1.0869565217391304</v>
      </c>
      <c r="T90" s="42">
        <f t="shared" si="72"/>
        <v>1.1148272017837233</v>
      </c>
      <c r="U90" s="42">
        <f t="shared" si="72"/>
        <v>2.2296544035674466</v>
      </c>
      <c r="V90" s="42">
        <f t="shared" si="72"/>
        <v>4.4593088071348932</v>
      </c>
      <c r="W90" s="42">
        <f t="shared" si="72"/>
        <v>8.9186176142697864</v>
      </c>
      <c r="X90" s="42">
        <f t="shared" si="72"/>
        <v>17.837235228539573</v>
      </c>
      <c r="Y90" s="42">
        <f t="shared" si="72"/>
        <v>35.674470457079146</v>
      </c>
      <c r="Z90" s="42">
        <f t="shared" si="72"/>
        <v>71.348940914158291</v>
      </c>
      <c r="AA90" s="42">
        <f t="shared" si="72"/>
        <v>142.69788182831658</v>
      </c>
      <c r="AB90" s="42">
        <f t="shared" si="72"/>
        <v>285.39576365663316</v>
      </c>
      <c r="AC90" s="42">
        <f t="shared" si="72"/>
        <v>570.79152731326633</v>
      </c>
      <c r="AD90" s="83">
        <f t="shared" si="72"/>
        <v>1141.5830546265327</v>
      </c>
      <c r="AE90" s="42">
        <f t="shared" si="72"/>
        <v>2283.1661092530653</v>
      </c>
      <c r="AF90" s="83">
        <f t="shared" si="72"/>
        <v>3572.1850613154957</v>
      </c>
      <c r="AG90" s="57"/>
    </row>
    <row r="91" spans="1:33" x14ac:dyDescent="0.25">
      <c r="A91" s="53" t="s">
        <v>18</v>
      </c>
      <c r="B91" s="18">
        <f>'ABS Population by Age Range'!D49</f>
        <v>0.14481341657950456</v>
      </c>
      <c r="C91" s="22">
        <f t="shared" si="64"/>
        <v>3712147.1205990198</v>
      </c>
      <c r="D91" s="35">
        <f>'AU Infection Rate by Age'!E9</f>
        <v>0.15900222965440355</v>
      </c>
      <c r="E91" s="29"/>
      <c r="F91" s="22"/>
      <c r="G91" s="32">
        <f t="shared" ref="G91:AF91" si="73">G$49*$D$91</f>
        <v>4.9688196767001109</v>
      </c>
      <c r="H91" s="33">
        <f t="shared" si="73"/>
        <v>9.9376393534002219</v>
      </c>
      <c r="I91" s="33">
        <f t="shared" si="73"/>
        <v>19.875278706800444</v>
      </c>
      <c r="J91" s="33">
        <f t="shared" si="73"/>
        <v>39.750557413600887</v>
      </c>
      <c r="K91" s="33">
        <f t="shared" si="73"/>
        <v>79.501114827201775</v>
      </c>
      <c r="L91" s="33">
        <f t="shared" si="73"/>
        <v>159.00222965440355</v>
      </c>
      <c r="M91" s="33">
        <f t="shared" si="73"/>
        <v>318.0044593088071</v>
      </c>
      <c r="N91" s="33">
        <f t="shared" si="73"/>
        <v>636.0089186176142</v>
      </c>
      <c r="O91" s="33">
        <f t="shared" si="73"/>
        <v>954.0133779264213</v>
      </c>
      <c r="P91" s="33">
        <f t="shared" si="73"/>
        <v>1049.4147157190635</v>
      </c>
      <c r="Q91" s="33">
        <f t="shared" si="73"/>
        <v>1113.015607580825</v>
      </c>
      <c r="R91" s="33">
        <f t="shared" si="73"/>
        <v>1176.6164994425862</v>
      </c>
      <c r="S91" s="33">
        <f t="shared" si="73"/>
        <v>1240.2173913043478</v>
      </c>
      <c r="T91" s="33">
        <f t="shared" si="73"/>
        <v>1272.0178372352284</v>
      </c>
      <c r="U91" s="33">
        <f t="shared" si="73"/>
        <v>2544.0356744704568</v>
      </c>
      <c r="V91" s="33">
        <f t="shared" si="73"/>
        <v>5088.0713489409136</v>
      </c>
      <c r="W91" s="33">
        <f t="shared" si="73"/>
        <v>10176.142697881827</v>
      </c>
      <c r="X91" s="33">
        <f t="shared" si="73"/>
        <v>20352.285395763654</v>
      </c>
      <c r="Y91" s="33">
        <f t="shared" si="73"/>
        <v>40704.570791527309</v>
      </c>
      <c r="Z91" s="33">
        <f t="shared" si="73"/>
        <v>81409.141583054618</v>
      </c>
      <c r="AA91" s="33">
        <f t="shared" si="73"/>
        <v>162818.28316610924</v>
      </c>
      <c r="AB91" s="33">
        <f t="shared" si="73"/>
        <v>325636.56633221847</v>
      </c>
      <c r="AC91" s="33">
        <f t="shared" si="73"/>
        <v>651273.13266443694</v>
      </c>
      <c r="AD91" s="84">
        <f t="shared" si="73"/>
        <v>1302546.2653288739</v>
      </c>
      <c r="AE91" s="33">
        <f t="shared" si="73"/>
        <v>2605092.5306577478</v>
      </c>
      <c r="AF91" s="84">
        <f t="shared" si="73"/>
        <v>4075863.1549609806</v>
      </c>
      <c r="AG91" s="57"/>
    </row>
    <row r="92" spans="1:33" x14ac:dyDescent="0.25">
      <c r="A92" s="53"/>
      <c r="B92" s="18"/>
      <c r="C92" s="22"/>
      <c r="D92" s="20"/>
      <c r="E92" s="39">
        <f>'AU Infection Rate by Age'!F23</f>
        <v>0</v>
      </c>
      <c r="F92" s="22"/>
      <c r="G92" s="41">
        <f t="shared" ref="G92:AF92" si="74">G$49*$D$91*$E$92</f>
        <v>0</v>
      </c>
      <c r="H92" s="42">
        <f t="shared" si="74"/>
        <v>0</v>
      </c>
      <c r="I92" s="42">
        <f t="shared" si="74"/>
        <v>0</v>
      </c>
      <c r="J92" s="42">
        <f t="shared" si="74"/>
        <v>0</v>
      </c>
      <c r="K92" s="42">
        <f t="shared" si="74"/>
        <v>0</v>
      </c>
      <c r="L92" s="42">
        <f t="shared" si="74"/>
        <v>0</v>
      </c>
      <c r="M92" s="42">
        <f t="shared" si="74"/>
        <v>0</v>
      </c>
      <c r="N92" s="42">
        <f t="shared" si="74"/>
        <v>0</v>
      </c>
      <c r="O92" s="42">
        <f t="shared" si="74"/>
        <v>0</v>
      </c>
      <c r="P92" s="42">
        <f t="shared" si="74"/>
        <v>0</v>
      </c>
      <c r="Q92" s="42">
        <f t="shared" si="74"/>
        <v>0</v>
      </c>
      <c r="R92" s="42">
        <f t="shared" si="74"/>
        <v>0</v>
      </c>
      <c r="S92" s="42">
        <f t="shared" si="74"/>
        <v>0</v>
      </c>
      <c r="T92" s="42">
        <f t="shared" si="74"/>
        <v>0</v>
      </c>
      <c r="U92" s="42">
        <f t="shared" si="74"/>
        <v>0</v>
      </c>
      <c r="V92" s="42">
        <f t="shared" si="74"/>
        <v>0</v>
      </c>
      <c r="W92" s="42">
        <f t="shared" si="74"/>
        <v>0</v>
      </c>
      <c r="X92" s="42">
        <f t="shared" si="74"/>
        <v>0</v>
      </c>
      <c r="Y92" s="42">
        <f t="shared" si="74"/>
        <v>0</v>
      </c>
      <c r="Z92" s="42">
        <f t="shared" si="74"/>
        <v>0</v>
      </c>
      <c r="AA92" s="42">
        <f t="shared" si="74"/>
        <v>0</v>
      </c>
      <c r="AB92" s="42">
        <f t="shared" si="74"/>
        <v>0</v>
      </c>
      <c r="AC92" s="42">
        <f t="shared" si="74"/>
        <v>0</v>
      </c>
      <c r="AD92" s="83">
        <f t="shared" si="74"/>
        <v>0</v>
      </c>
      <c r="AE92" s="42">
        <f t="shared" si="74"/>
        <v>0</v>
      </c>
      <c r="AF92" s="83">
        <f t="shared" si="74"/>
        <v>0</v>
      </c>
      <c r="AG92" s="57"/>
    </row>
    <row r="93" spans="1:33" x14ac:dyDescent="0.25">
      <c r="A93" s="53" t="s">
        <v>19</v>
      </c>
      <c r="B93" s="18">
        <f>'ABS Population by Age Range'!D37</f>
        <v>0.14458334093878666</v>
      </c>
      <c r="C93" s="22">
        <f t="shared" si="64"/>
        <v>3706249.3616248574</v>
      </c>
      <c r="D93" s="35">
        <f>'AU Infection Rate by Age'!E10</f>
        <v>0.20791527313266445</v>
      </c>
      <c r="E93" s="29"/>
      <c r="F93" s="22"/>
      <c r="G93" s="32">
        <f t="shared" ref="G93:AF93" si="75">G$49*$D$93</f>
        <v>6.4973522853957641</v>
      </c>
      <c r="H93" s="33">
        <f t="shared" si="75"/>
        <v>12.994704570791528</v>
      </c>
      <c r="I93" s="33">
        <f t="shared" si="75"/>
        <v>25.989409141583057</v>
      </c>
      <c r="J93" s="33">
        <f t="shared" si="75"/>
        <v>51.978818283166113</v>
      </c>
      <c r="K93" s="33">
        <f t="shared" si="75"/>
        <v>103.95763656633223</v>
      </c>
      <c r="L93" s="33">
        <f t="shared" si="75"/>
        <v>207.91527313266445</v>
      </c>
      <c r="M93" s="33">
        <f t="shared" si="75"/>
        <v>415.83054626532891</v>
      </c>
      <c r="N93" s="33">
        <f t="shared" si="75"/>
        <v>831.66109253065781</v>
      </c>
      <c r="O93" s="33">
        <f t="shared" si="75"/>
        <v>1247.4916387959868</v>
      </c>
      <c r="P93" s="33">
        <f t="shared" si="75"/>
        <v>1372.2408026755854</v>
      </c>
      <c r="Q93" s="33">
        <f t="shared" si="75"/>
        <v>1455.4069119286512</v>
      </c>
      <c r="R93" s="33">
        <f t="shared" si="75"/>
        <v>1538.573021181717</v>
      </c>
      <c r="S93" s="33">
        <f t="shared" si="75"/>
        <v>1621.7391304347827</v>
      </c>
      <c r="T93" s="33">
        <f t="shared" si="75"/>
        <v>1663.3221850613156</v>
      </c>
      <c r="U93" s="33">
        <f t="shared" si="75"/>
        <v>3326.6443701226312</v>
      </c>
      <c r="V93" s="33">
        <f t="shared" si="75"/>
        <v>6653.2887402452625</v>
      </c>
      <c r="W93" s="33">
        <f t="shared" si="75"/>
        <v>13306.577480490525</v>
      </c>
      <c r="X93" s="33">
        <f t="shared" si="75"/>
        <v>26613.15496098105</v>
      </c>
      <c r="Y93" s="33">
        <f t="shared" si="75"/>
        <v>53226.3099219621</v>
      </c>
      <c r="Z93" s="33">
        <f t="shared" si="75"/>
        <v>106452.6198439242</v>
      </c>
      <c r="AA93" s="33">
        <f t="shared" si="75"/>
        <v>212905.2396878484</v>
      </c>
      <c r="AB93" s="33">
        <f t="shared" si="75"/>
        <v>425810.4793756968</v>
      </c>
      <c r="AC93" s="33">
        <f t="shared" si="75"/>
        <v>851620.9587513936</v>
      </c>
      <c r="AD93" s="84">
        <f t="shared" si="75"/>
        <v>1703241.9175027872</v>
      </c>
      <c r="AE93" s="33">
        <f t="shared" si="75"/>
        <v>3406483.8350055744</v>
      </c>
      <c r="AF93" s="84">
        <f t="shared" si="75"/>
        <v>5329700.1114827208</v>
      </c>
      <c r="AG93" s="57"/>
    </row>
    <row r="94" spans="1:33" x14ac:dyDescent="0.25">
      <c r="A94" s="53"/>
      <c r="B94" s="18"/>
      <c r="C94" s="22"/>
      <c r="D94" s="20"/>
      <c r="E94" s="39">
        <f>'AU Infection Rate by Age'!F24</f>
        <v>0</v>
      </c>
      <c r="F94" s="22"/>
      <c r="G94" s="41">
        <f t="shared" ref="G94:AF94" si="76">G$49*$D$93*$E$94</f>
        <v>0</v>
      </c>
      <c r="H94" s="42">
        <f t="shared" si="76"/>
        <v>0</v>
      </c>
      <c r="I94" s="42">
        <f t="shared" si="76"/>
        <v>0</v>
      </c>
      <c r="J94" s="42">
        <f t="shared" si="76"/>
        <v>0</v>
      </c>
      <c r="K94" s="42">
        <f t="shared" si="76"/>
        <v>0</v>
      </c>
      <c r="L94" s="42">
        <f t="shared" si="76"/>
        <v>0</v>
      </c>
      <c r="M94" s="42">
        <f t="shared" si="76"/>
        <v>0</v>
      </c>
      <c r="N94" s="42">
        <f t="shared" si="76"/>
        <v>0</v>
      </c>
      <c r="O94" s="42">
        <f t="shared" si="76"/>
        <v>0</v>
      </c>
      <c r="P94" s="42">
        <f t="shared" si="76"/>
        <v>0</v>
      </c>
      <c r="Q94" s="42">
        <f t="shared" si="76"/>
        <v>0</v>
      </c>
      <c r="R94" s="42">
        <f t="shared" si="76"/>
        <v>0</v>
      </c>
      <c r="S94" s="42">
        <f t="shared" si="76"/>
        <v>0</v>
      </c>
      <c r="T94" s="42">
        <f t="shared" si="76"/>
        <v>0</v>
      </c>
      <c r="U94" s="42">
        <f t="shared" si="76"/>
        <v>0</v>
      </c>
      <c r="V94" s="42">
        <f t="shared" si="76"/>
        <v>0</v>
      </c>
      <c r="W94" s="42">
        <f t="shared" si="76"/>
        <v>0</v>
      </c>
      <c r="X94" s="42">
        <f t="shared" si="76"/>
        <v>0</v>
      </c>
      <c r="Y94" s="42">
        <f t="shared" si="76"/>
        <v>0</v>
      </c>
      <c r="Z94" s="42">
        <f t="shared" si="76"/>
        <v>0</v>
      </c>
      <c r="AA94" s="42">
        <f t="shared" si="76"/>
        <v>0</v>
      </c>
      <c r="AB94" s="42">
        <f t="shared" si="76"/>
        <v>0</v>
      </c>
      <c r="AC94" s="42">
        <f t="shared" si="76"/>
        <v>0</v>
      </c>
      <c r="AD94" s="83">
        <f t="shared" si="76"/>
        <v>0</v>
      </c>
      <c r="AE94" s="42">
        <f t="shared" si="76"/>
        <v>0</v>
      </c>
      <c r="AF94" s="83">
        <f t="shared" si="76"/>
        <v>0</v>
      </c>
      <c r="AG94" s="57"/>
    </row>
    <row r="95" spans="1:33" x14ac:dyDescent="0.25">
      <c r="A95" s="54" t="s">
        <v>20</v>
      </c>
      <c r="B95" s="18">
        <f>'ABS Population by Age Range'!D25</f>
        <v>0.12056476079328157</v>
      </c>
      <c r="C95" s="22">
        <f t="shared" si="64"/>
        <v>3090557.0781749799</v>
      </c>
      <c r="D95" s="35">
        <f>'AU Infection Rate by Age'!E11</f>
        <v>3.2469342251950944E-2</v>
      </c>
      <c r="E95" s="29"/>
      <c r="F95" s="22"/>
      <c r="G95" s="32">
        <f t="shared" ref="G95:AF95" si="77">G$49*$D$95</f>
        <v>1.0146669453734669</v>
      </c>
      <c r="H95" s="33">
        <f t="shared" si="77"/>
        <v>2.0293338907469338</v>
      </c>
      <c r="I95" s="33">
        <f t="shared" si="77"/>
        <v>4.0586677814938676</v>
      </c>
      <c r="J95" s="33">
        <f t="shared" si="77"/>
        <v>8.1173355629877353</v>
      </c>
      <c r="K95" s="33">
        <f t="shared" si="77"/>
        <v>16.234671125975471</v>
      </c>
      <c r="L95" s="33">
        <f t="shared" si="77"/>
        <v>32.469342251950941</v>
      </c>
      <c r="M95" s="33">
        <f t="shared" si="77"/>
        <v>64.938684503901882</v>
      </c>
      <c r="N95" s="33">
        <f t="shared" si="77"/>
        <v>129.87736900780376</v>
      </c>
      <c r="O95" s="33">
        <f t="shared" si="77"/>
        <v>194.81605351170566</v>
      </c>
      <c r="P95" s="33">
        <f t="shared" si="77"/>
        <v>214.29765886287623</v>
      </c>
      <c r="Q95" s="33">
        <f t="shared" si="77"/>
        <v>227.28539576365662</v>
      </c>
      <c r="R95" s="33">
        <f t="shared" si="77"/>
        <v>240.27313266443699</v>
      </c>
      <c r="S95" s="33">
        <f t="shared" si="77"/>
        <v>253.26086956521738</v>
      </c>
      <c r="T95" s="33">
        <f t="shared" si="77"/>
        <v>259.75473801560753</v>
      </c>
      <c r="U95" s="33">
        <f t="shared" si="77"/>
        <v>519.50947603121506</v>
      </c>
      <c r="V95" s="33">
        <f t="shared" si="77"/>
        <v>1039.0189520624301</v>
      </c>
      <c r="W95" s="33">
        <f t="shared" si="77"/>
        <v>2078.0379041248602</v>
      </c>
      <c r="X95" s="33">
        <f t="shared" si="77"/>
        <v>4156.0758082497205</v>
      </c>
      <c r="Y95" s="33">
        <f t="shared" si="77"/>
        <v>8312.1516164994409</v>
      </c>
      <c r="Z95" s="33">
        <f t="shared" si="77"/>
        <v>16624.303232998882</v>
      </c>
      <c r="AA95" s="33">
        <f t="shared" si="77"/>
        <v>33248.606465997764</v>
      </c>
      <c r="AB95" s="33">
        <f t="shared" si="77"/>
        <v>66497.212931995527</v>
      </c>
      <c r="AC95" s="33">
        <f t="shared" si="77"/>
        <v>132994.42586399105</v>
      </c>
      <c r="AD95" s="84">
        <f t="shared" si="77"/>
        <v>265988.85172798211</v>
      </c>
      <c r="AE95" s="33">
        <f t="shared" si="77"/>
        <v>531977.70345596422</v>
      </c>
      <c r="AF95" s="84">
        <f t="shared" si="77"/>
        <v>832319.11928651051</v>
      </c>
      <c r="AG95" s="57"/>
    </row>
    <row r="96" spans="1:33" x14ac:dyDescent="0.25">
      <c r="A96" s="54"/>
      <c r="B96" s="18"/>
      <c r="C96" s="22"/>
      <c r="D96" s="20"/>
      <c r="E96" s="39">
        <f>'AU Infection Rate by Age'!F25</f>
        <v>0</v>
      </c>
      <c r="F96" s="22"/>
      <c r="G96" s="41">
        <f t="shared" ref="G96:AF96" si="78">G$49*$D$95*$E$96</f>
        <v>0</v>
      </c>
      <c r="H96" s="42">
        <f t="shared" si="78"/>
        <v>0</v>
      </c>
      <c r="I96" s="42">
        <f t="shared" si="78"/>
        <v>0</v>
      </c>
      <c r="J96" s="42">
        <f t="shared" si="78"/>
        <v>0</v>
      </c>
      <c r="K96" s="42">
        <f t="shared" si="78"/>
        <v>0</v>
      </c>
      <c r="L96" s="42">
        <f t="shared" si="78"/>
        <v>0</v>
      </c>
      <c r="M96" s="42">
        <f t="shared" si="78"/>
        <v>0</v>
      </c>
      <c r="N96" s="42">
        <f t="shared" si="78"/>
        <v>0</v>
      </c>
      <c r="O96" s="42">
        <f t="shared" si="78"/>
        <v>0</v>
      </c>
      <c r="P96" s="42">
        <f t="shared" si="78"/>
        <v>0</v>
      </c>
      <c r="Q96" s="42">
        <f t="shared" si="78"/>
        <v>0</v>
      </c>
      <c r="R96" s="42">
        <f t="shared" si="78"/>
        <v>0</v>
      </c>
      <c r="S96" s="42">
        <f t="shared" si="78"/>
        <v>0</v>
      </c>
      <c r="T96" s="42">
        <f t="shared" si="78"/>
        <v>0</v>
      </c>
      <c r="U96" s="42">
        <f t="shared" si="78"/>
        <v>0</v>
      </c>
      <c r="V96" s="42">
        <f t="shared" si="78"/>
        <v>0</v>
      </c>
      <c r="W96" s="42">
        <f t="shared" si="78"/>
        <v>0</v>
      </c>
      <c r="X96" s="42">
        <f t="shared" si="78"/>
        <v>0</v>
      </c>
      <c r="Y96" s="42">
        <f t="shared" si="78"/>
        <v>0</v>
      </c>
      <c r="Z96" s="42">
        <f t="shared" si="78"/>
        <v>0</v>
      </c>
      <c r="AA96" s="42">
        <f t="shared" si="78"/>
        <v>0</v>
      </c>
      <c r="AB96" s="42">
        <f t="shared" si="78"/>
        <v>0</v>
      </c>
      <c r="AC96" s="42">
        <f t="shared" si="78"/>
        <v>0</v>
      </c>
      <c r="AD96" s="83">
        <f t="shared" si="78"/>
        <v>0</v>
      </c>
      <c r="AE96" s="42">
        <f t="shared" si="78"/>
        <v>0</v>
      </c>
      <c r="AF96" s="83">
        <f t="shared" si="78"/>
        <v>0</v>
      </c>
      <c r="AG96" s="57"/>
    </row>
    <row r="97" spans="1:33" x14ac:dyDescent="0.25">
      <c r="A97" s="54" t="s">
        <v>21</v>
      </c>
      <c r="B97" s="18">
        <f>'ABS Population by Age Range'!D13</f>
        <v>0.1255958322404806</v>
      </c>
      <c r="C97" s="22">
        <f t="shared" si="64"/>
        <v>3219523.5636524796</v>
      </c>
      <c r="D97" s="35">
        <f>'AU Infection Rate by Age'!E12</f>
        <v>1.4214046822742474E-2</v>
      </c>
      <c r="E97" s="29"/>
      <c r="F97" s="22"/>
      <c r="G97" s="32">
        <f t="shared" ref="G97:AF97" si="79">G$49*$D$97</f>
        <v>0.44418896321070234</v>
      </c>
      <c r="H97" s="33">
        <f t="shared" si="79"/>
        <v>0.88837792642140467</v>
      </c>
      <c r="I97" s="33">
        <f t="shared" si="79"/>
        <v>1.7767558528428093</v>
      </c>
      <c r="J97" s="33">
        <f t="shared" si="79"/>
        <v>3.5535117056856187</v>
      </c>
      <c r="K97" s="33">
        <f t="shared" si="79"/>
        <v>7.1070234113712374</v>
      </c>
      <c r="L97" s="33">
        <f t="shared" si="79"/>
        <v>14.214046822742475</v>
      </c>
      <c r="M97" s="33">
        <f t="shared" si="79"/>
        <v>28.42809364548495</v>
      </c>
      <c r="N97" s="33">
        <f t="shared" si="79"/>
        <v>56.856187290969899</v>
      </c>
      <c r="O97" s="33">
        <f t="shared" si="79"/>
        <v>85.284280936454849</v>
      </c>
      <c r="P97" s="33">
        <f t="shared" si="79"/>
        <v>93.812709030100322</v>
      </c>
      <c r="Q97" s="33">
        <f t="shared" si="79"/>
        <v>99.498327759197323</v>
      </c>
      <c r="R97" s="33">
        <f t="shared" si="79"/>
        <v>105.18394648829431</v>
      </c>
      <c r="S97" s="33">
        <f t="shared" si="79"/>
        <v>110.8695652173913</v>
      </c>
      <c r="T97" s="33">
        <f t="shared" si="79"/>
        <v>113.7123745819398</v>
      </c>
      <c r="U97" s="33">
        <f t="shared" si="79"/>
        <v>227.4247491638796</v>
      </c>
      <c r="V97" s="33">
        <f t="shared" si="79"/>
        <v>454.84949832775919</v>
      </c>
      <c r="W97" s="33">
        <f t="shared" si="79"/>
        <v>909.69899665551839</v>
      </c>
      <c r="X97" s="33">
        <f t="shared" si="79"/>
        <v>1819.3979933110368</v>
      </c>
      <c r="Y97" s="33">
        <f t="shared" si="79"/>
        <v>3638.7959866220735</v>
      </c>
      <c r="Z97" s="33">
        <f t="shared" si="79"/>
        <v>7277.5919732441471</v>
      </c>
      <c r="AA97" s="33">
        <f t="shared" si="79"/>
        <v>14555.183946488294</v>
      </c>
      <c r="AB97" s="33">
        <f t="shared" si="79"/>
        <v>29110.367892976588</v>
      </c>
      <c r="AC97" s="33">
        <f t="shared" si="79"/>
        <v>58220.735785953177</v>
      </c>
      <c r="AD97" s="84">
        <f t="shared" si="79"/>
        <v>116441.47157190635</v>
      </c>
      <c r="AE97" s="33">
        <f t="shared" si="79"/>
        <v>232882.94314381271</v>
      </c>
      <c r="AF97" s="84">
        <f t="shared" si="79"/>
        <v>364362.87625418056</v>
      </c>
      <c r="AG97" s="57"/>
    </row>
    <row r="98" spans="1:33" x14ac:dyDescent="0.25">
      <c r="A98" s="54"/>
      <c r="B98" s="19"/>
      <c r="C98" s="23"/>
      <c r="D98" s="38"/>
      <c r="E98" s="40">
        <f>'AU Infection Rate by Age'!F26</f>
        <v>0</v>
      </c>
      <c r="F98" s="22"/>
      <c r="G98" s="41">
        <f t="shared" ref="G98:AF98" si="80">G$49*$D$97*$E$98</f>
        <v>0</v>
      </c>
      <c r="H98" s="42">
        <f t="shared" si="80"/>
        <v>0</v>
      </c>
      <c r="I98" s="42">
        <f t="shared" si="80"/>
        <v>0</v>
      </c>
      <c r="J98" s="42">
        <f t="shared" si="80"/>
        <v>0</v>
      </c>
      <c r="K98" s="42">
        <f t="shared" si="80"/>
        <v>0</v>
      </c>
      <c r="L98" s="42">
        <f t="shared" si="80"/>
        <v>0</v>
      </c>
      <c r="M98" s="42">
        <f t="shared" si="80"/>
        <v>0</v>
      </c>
      <c r="N98" s="42">
        <f t="shared" si="80"/>
        <v>0</v>
      </c>
      <c r="O98" s="42">
        <f t="shared" si="80"/>
        <v>0</v>
      </c>
      <c r="P98" s="42">
        <f t="shared" si="80"/>
        <v>0</v>
      </c>
      <c r="Q98" s="42">
        <f t="shared" si="80"/>
        <v>0</v>
      </c>
      <c r="R98" s="42">
        <f t="shared" si="80"/>
        <v>0</v>
      </c>
      <c r="S98" s="42">
        <f t="shared" si="80"/>
        <v>0</v>
      </c>
      <c r="T98" s="42">
        <f t="shared" si="80"/>
        <v>0</v>
      </c>
      <c r="U98" s="42">
        <f t="shared" si="80"/>
        <v>0</v>
      </c>
      <c r="V98" s="42">
        <f t="shared" si="80"/>
        <v>0</v>
      </c>
      <c r="W98" s="42">
        <f t="shared" si="80"/>
        <v>0</v>
      </c>
      <c r="X98" s="42">
        <f t="shared" si="80"/>
        <v>0</v>
      </c>
      <c r="Y98" s="42">
        <f t="shared" si="80"/>
        <v>0</v>
      </c>
      <c r="Z98" s="42">
        <f t="shared" si="80"/>
        <v>0</v>
      </c>
      <c r="AA98" s="42">
        <f t="shared" si="80"/>
        <v>0</v>
      </c>
      <c r="AB98" s="42">
        <f t="shared" si="80"/>
        <v>0</v>
      </c>
      <c r="AC98" s="42">
        <f t="shared" si="80"/>
        <v>0</v>
      </c>
      <c r="AD98" s="83">
        <f t="shared" si="80"/>
        <v>0</v>
      </c>
      <c r="AE98" s="44">
        <f t="shared" si="80"/>
        <v>0</v>
      </c>
      <c r="AF98" s="85">
        <f t="shared" si="80"/>
        <v>0</v>
      </c>
      <c r="AG98" s="57"/>
    </row>
    <row r="99" spans="1:33" x14ac:dyDescent="0.25">
      <c r="A99" s="53" t="s">
        <v>131</v>
      </c>
      <c r="B99" s="26"/>
      <c r="C99" s="22"/>
      <c r="D99" s="22"/>
      <c r="E99" s="27"/>
      <c r="F99" s="22"/>
      <c r="G99" s="30">
        <f t="shared" ref="G99:AB99" si="81">SUM(G81,G83,G85,G87,G89,G91,G93,G95,G97)</f>
        <v>31.249999999999996</v>
      </c>
      <c r="H99" s="31">
        <f t="shared" si="81"/>
        <v>62.499999999999993</v>
      </c>
      <c r="I99" s="31">
        <f t="shared" si="81"/>
        <v>124.99999999999999</v>
      </c>
      <c r="J99" s="31">
        <f t="shared" si="81"/>
        <v>249.99999999999997</v>
      </c>
      <c r="K99" s="31">
        <f t="shared" si="81"/>
        <v>499.99999999999994</v>
      </c>
      <c r="L99" s="31">
        <f>SUM(L81,L83,L85,L87,L89,L91,L93,L95,L97)</f>
        <v>999.99999999999989</v>
      </c>
      <c r="M99" s="31">
        <f t="shared" si="81"/>
        <v>1999.9999999999998</v>
      </c>
      <c r="N99" s="31">
        <f t="shared" si="81"/>
        <v>3999.9999999999995</v>
      </c>
      <c r="O99" s="31">
        <f t="shared" ref="O99:S99" si="82">SUM(O81,O83,O85,O87,O89,O91,O93,O95,O97)</f>
        <v>6000</v>
      </c>
      <c r="P99" s="31">
        <f t="shared" si="82"/>
        <v>6600</v>
      </c>
      <c r="Q99" s="31">
        <f t="shared" ref="Q99:R99" si="83">SUM(Q81,Q83,Q85,Q87,Q89,Q91,Q93,Q95,Q97)</f>
        <v>7000</v>
      </c>
      <c r="R99" s="31">
        <f t="shared" si="83"/>
        <v>7400</v>
      </c>
      <c r="S99" s="31">
        <f t="shared" si="82"/>
        <v>7800</v>
      </c>
      <c r="T99" s="31">
        <f t="shared" si="81"/>
        <v>7999.9999999999991</v>
      </c>
      <c r="U99" s="31">
        <f t="shared" si="81"/>
        <v>15999.999999999998</v>
      </c>
      <c r="V99" s="31">
        <f t="shared" si="81"/>
        <v>31999.999999999996</v>
      </c>
      <c r="W99" s="31">
        <f t="shared" si="81"/>
        <v>63999.999999999993</v>
      </c>
      <c r="X99" s="31">
        <f t="shared" si="81"/>
        <v>127999.99999999999</v>
      </c>
      <c r="Y99" s="31">
        <f t="shared" si="81"/>
        <v>255999.99999999997</v>
      </c>
      <c r="Z99" s="31">
        <f t="shared" si="81"/>
        <v>511999.99999999994</v>
      </c>
      <c r="AA99" s="31">
        <f t="shared" si="81"/>
        <v>1023999.9999999999</v>
      </c>
      <c r="AB99" s="31">
        <f t="shared" si="81"/>
        <v>2047999.9999999998</v>
      </c>
      <c r="AC99" s="31">
        <f t="shared" ref="AC99:AF100" si="84">SUM(AC81,AC83,AC85,AC87,AC89,AC91,AC93,AC95,AC97)</f>
        <v>4095999.9999999995</v>
      </c>
      <c r="AD99" s="72">
        <f t="shared" si="84"/>
        <v>8191999.9999999991</v>
      </c>
      <c r="AE99" s="31">
        <f t="shared" si="84"/>
        <v>16383999.999999998</v>
      </c>
      <c r="AF99" s="72">
        <f t="shared" si="84"/>
        <v>25634000.000000004</v>
      </c>
      <c r="AG99" s="57"/>
    </row>
    <row r="100" spans="1:33" x14ac:dyDescent="0.25">
      <c r="A100" s="55" t="s">
        <v>130</v>
      </c>
      <c r="B100" s="56"/>
      <c r="C100" s="23"/>
      <c r="D100" s="23"/>
      <c r="E100" s="50"/>
      <c r="F100" s="23"/>
      <c r="G100" s="43">
        <f>SUM(G82,G84,G86,G88,G90,G92,G94,G96,G98)</f>
        <v>0.44418896321070234</v>
      </c>
      <c r="H100" s="44">
        <f>SUM(H82,H84,H86,H88,H90,H92,H94,H96,H98)</f>
        <v>0.88837792642140467</v>
      </c>
      <c r="I100" s="44">
        <f t="shared" ref="I100:AB100" si="85">SUM(I82,I84,I86,I88,I90,I92,I94,I96,I98)</f>
        <v>1.7767558528428093</v>
      </c>
      <c r="J100" s="44">
        <f t="shared" si="85"/>
        <v>3.5535117056856187</v>
      </c>
      <c r="K100" s="44">
        <f t="shared" si="85"/>
        <v>7.1070234113712374</v>
      </c>
      <c r="L100" s="44">
        <f t="shared" si="85"/>
        <v>14.214046822742475</v>
      </c>
      <c r="M100" s="44">
        <f t="shared" si="85"/>
        <v>28.42809364548495</v>
      </c>
      <c r="N100" s="44">
        <f t="shared" si="85"/>
        <v>56.856187290969899</v>
      </c>
      <c r="O100" s="44">
        <f t="shared" ref="O100:S100" si="86">SUM(O82,O84,O86,O88,O90,O92,O94,O96,O98)</f>
        <v>85.284280936454863</v>
      </c>
      <c r="P100" s="44">
        <f>SUM(P82,P84,P86,P88,P90,P92,P94,P96,P98)</f>
        <v>93.812709030100336</v>
      </c>
      <c r="Q100" s="44">
        <f t="shared" ref="Q100:R100" si="87">SUM(Q82,Q84,Q86,Q88,Q90,Q92,Q94,Q96,Q98)</f>
        <v>99.498327759197323</v>
      </c>
      <c r="R100" s="44">
        <f t="shared" si="87"/>
        <v>105.18394648829432</v>
      </c>
      <c r="S100" s="44">
        <f t="shared" si="86"/>
        <v>110.8695652173913</v>
      </c>
      <c r="T100" s="44">
        <f t="shared" si="85"/>
        <v>113.7123745819398</v>
      </c>
      <c r="U100" s="44">
        <f t="shared" si="85"/>
        <v>227.4247491638796</v>
      </c>
      <c r="V100" s="44">
        <f t="shared" si="85"/>
        <v>454.84949832775919</v>
      </c>
      <c r="W100" s="44">
        <f t="shared" si="85"/>
        <v>909.69899665551839</v>
      </c>
      <c r="X100" s="44">
        <f t="shared" si="85"/>
        <v>1819.3979933110368</v>
      </c>
      <c r="Y100" s="44">
        <f t="shared" si="85"/>
        <v>3638.7959866220735</v>
      </c>
      <c r="Z100" s="44">
        <f t="shared" si="85"/>
        <v>7277.5919732441471</v>
      </c>
      <c r="AA100" s="44">
        <f t="shared" si="85"/>
        <v>14555.183946488294</v>
      </c>
      <c r="AB100" s="44">
        <f t="shared" si="85"/>
        <v>29110.367892976588</v>
      </c>
      <c r="AC100" s="44">
        <f t="shared" si="84"/>
        <v>58220.735785953177</v>
      </c>
      <c r="AD100" s="85">
        <f t="shared" si="84"/>
        <v>116441.47157190635</v>
      </c>
      <c r="AE100" s="44">
        <f t="shared" si="84"/>
        <v>232882.94314381271</v>
      </c>
      <c r="AF100" s="85">
        <f t="shared" si="84"/>
        <v>364362.87625418062</v>
      </c>
      <c r="AG100" s="57"/>
    </row>
    <row r="101" spans="1:33" x14ac:dyDescent="0.25">
      <c r="A101" s="54"/>
      <c r="B101" s="26"/>
      <c r="C101" s="22"/>
      <c r="D101" s="22"/>
      <c r="E101" s="27"/>
      <c r="F101" s="22"/>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row>
    <row r="102" spans="1:33" x14ac:dyDescent="0.25">
      <c r="A102" s="66" t="s">
        <v>142</v>
      </c>
      <c r="B102" s="26"/>
      <c r="C102" s="22"/>
      <c r="D102" s="22"/>
      <c r="E102" s="27"/>
      <c r="F102" s="22"/>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row>
    <row r="103" spans="1:33" x14ac:dyDescent="0.25">
      <c r="A103" s="16"/>
      <c r="B103" s="21" t="s">
        <v>6</v>
      </c>
      <c r="C103" s="21" t="s">
        <v>4</v>
      </c>
      <c r="D103" s="21"/>
      <c r="E103" s="71" t="s">
        <v>3</v>
      </c>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17"/>
      <c r="AG103" s="59"/>
    </row>
    <row r="104" spans="1:33" x14ac:dyDescent="0.25">
      <c r="A104" s="53" t="s">
        <v>2</v>
      </c>
      <c r="B104" s="36">
        <v>0.05</v>
      </c>
      <c r="C104" s="22">
        <f>$B$35 * B104</f>
        <v>1281700</v>
      </c>
      <c r="D104" s="28"/>
      <c r="E104" s="28"/>
      <c r="F104" s="28"/>
      <c r="G104" s="30">
        <f t="shared" ref="G104:AF104" si="88">G$49*$B$104</f>
        <v>1.5625</v>
      </c>
      <c r="H104" s="31">
        <f t="shared" si="88"/>
        <v>3.125</v>
      </c>
      <c r="I104" s="31">
        <f t="shared" si="88"/>
        <v>6.25</v>
      </c>
      <c r="J104" s="31">
        <f t="shared" si="88"/>
        <v>12.5</v>
      </c>
      <c r="K104" s="31">
        <f t="shared" si="88"/>
        <v>25</v>
      </c>
      <c r="L104" s="31">
        <f t="shared" si="88"/>
        <v>50</v>
      </c>
      <c r="M104" s="31">
        <f t="shared" si="88"/>
        <v>100</v>
      </c>
      <c r="N104" s="31">
        <f t="shared" si="88"/>
        <v>200</v>
      </c>
      <c r="O104" s="31">
        <f t="shared" si="88"/>
        <v>300</v>
      </c>
      <c r="P104" s="31">
        <f t="shared" si="88"/>
        <v>330</v>
      </c>
      <c r="Q104" s="31">
        <f t="shared" si="88"/>
        <v>350</v>
      </c>
      <c r="R104" s="31">
        <f t="shared" si="88"/>
        <v>370</v>
      </c>
      <c r="S104" s="31">
        <f t="shared" si="88"/>
        <v>390</v>
      </c>
      <c r="T104" s="31">
        <f t="shared" si="88"/>
        <v>400</v>
      </c>
      <c r="U104" s="31">
        <f t="shared" si="88"/>
        <v>800</v>
      </c>
      <c r="V104" s="31">
        <f t="shared" si="88"/>
        <v>1600</v>
      </c>
      <c r="W104" s="31">
        <f t="shared" si="88"/>
        <v>3200</v>
      </c>
      <c r="X104" s="31">
        <f t="shared" si="88"/>
        <v>6400</v>
      </c>
      <c r="Y104" s="31">
        <f t="shared" si="88"/>
        <v>12800</v>
      </c>
      <c r="Z104" s="31">
        <f t="shared" si="88"/>
        <v>25600</v>
      </c>
      <c r="AA104" s="31">
        <f t="shared" si="88"/>
        <v>51200</v>
      </c>
      <c r="AB104" s="31">
        <f t="shared" si="88"/>
        <v>102400</v>
      </c>
      <c r="AC104" s="31">
        <f t="shared" si="88"/>
        <v>204800</v>
      </c>
      <c r="AD104" s="72">
        <f t="shared" si="88"/>
        <v>409600</v>
      </c>
      <c r="AE104" s="31">
        <f t="shared" si="88"/>
        <v>819200</v>
      </c>
      <c r="AF104" s="72">
        <f t="shared" si="88"/>
        <v>1281700</v>
      </c>
      <c r="AG104" s="57"/>
    </row>
    <row r="105" spans="1:33" x14ac:dyDescent="0.25">
      <c r="A105" s="53"/>
      <c r="B105" s="28"/>
      <c r="C105" s="28"/>
      <c r="D105" s="37"/>
      <c r="E105" s="58">
        <v>0.105</v>
      </c>
      <c r="F105" s="28"/>
      <c r="G105" s="41">
        <f>G104*$E$105</f>
        <v>0.1640625</v>
      </c>
      <c r="H105" s="42">
        <f t="shared" ref="H105:AB105" si="89">H104*$E$105</f>
        <v>0.328125</v>
      </c>
      <c r="I105" s="42">
        <f t="shared" si="89"/>
        <v>0.65625</v>
      </c>
      <c r="J105" s="42">
        <f t="shared" si="89"/>
        <v>1.3125</v>
      </c>
      <c r="K105" s="42">
        <f t="shared" si="89"/>
        <v>2.625</v>
      </c>
      <c r="L105" s="42">
        <f t="shared" si="89"/>
        <v>5.25</v>
      </c>
      <c r="M105" s="42">
        <f t="shared" si="89"/>
        <v>10.5</v>
      </c>
      <c r="N105" s="42">
        <f t="shared" si="89"/>
        <v>21</v>
      </c>
      <c r="O105" s="42">
        <f t="shared" ref="O105:S105" si="90">O104*$E$105</f>
        <v>31.5</v>
      </c>
      <c r="P105" s="42">
        <f t="shared" si="90"/>
        <v>34.65</v>
      </c>
      <c r="Q105" s="42">
        <f t="shared" ref="Q105:R105" si="91">Q104*$E$105</f>
        <v>36.75</v>
      </c>
      <c r="R105" s="42">
        <f t="shared" si="91"/>
        <v>38.85</v>
      </c>
      <c r="S105" s="42">
        <f t="shared" si="90"/>
        <v>40.949999999999996</v>
      </c>
      <c r="T105" s="42">
        <f t="shared" si="89"/>
        <v>42</v>
      </c>
      <c r="U105" s="42">
        <f t="shared" si="89"/>
        <v>84</v>
      </c>
      <c r="V105" s="42">
        <f t="shared" si="89"/>
        <v>168</v>
      </c>
      <c r="W105" s="42">
        <f t="shared" si="89"/>
        <v>336</v>
      </c>
      <c r="X105" s="42">
        <f t="shared" si="89"/>
        <v>672</v>
      </c>
      <c r="Y105" s="42">
        <f t="shared" si="89"/>
        <v>1344</v>
      </c>
      <c r="Z105" s="42">
        <f t="shared" si="89"/>
        <v>2688</v>
      </c>
      <c r="AA105" s="42">
        <f t="shared" si="89"/>
        <v>5376</v>
      </c>
      <c r="AB105" s="42">
        <f t="shared" si="89"/>
        <v>10752</v>
      </c>
      <c r="AC105" s="42">
        <f>AC104*$E$105</f>
        <v>21504</v>
      </c>
      <c r="AD105" s="83">
        <f>AD104*$E$105</f>
        <v>43008</v>
      </c>
      <c r="AE105" s="42">
        <f>AE104*$E$105</f>
        <v>86016</v>
      </c>
      <c r="AF105" s="83">
        <f>AF104*$E$105</f>
        <v>134578.5</v>
      </c>
      <c r="AG105" s="57"/>
    </row>
    <row r="106" spans="1:33" x14ac:dyDescent="0.25">
      <c r="A106" s="53" t="s">
        <v>5</v>
      </c>
      <c r="B106" s="36">
        <v>4.9000000000000002E-2</v>
      </c>
      <c r="C106" s="22">
        <f>$B$35 * B106</f>
        <v>1256066</v>
      </c>
      <c r="D106" s="59"/>
      <c r="E106" s="28"/>
      <c r="F106" s="28"/>
      <c r="G106" s="32">
        <f t="shared" ref="G106:AF106" si="92">G$49*$B$106</f>
        <v>1.53125</v>
      </c>
      <c r="H106" s="33">
        <f t="shared" si="92"/>
        <v>3.0625</v>
      </c>
      <c r="I106" s="33">
        <f t="shared" si="92"/>
        <v>6.125</v>
      </c>
      <c r="J106" s="33">
        <f t="shared" si="92"/>
        <v>12.25</v>
      </c>
      <c r="K106" s="33">
        <f t="shared" si="92"/>
        <v>24.5</v>
      </c>
      <c r="L106" s="33">
        <f t="shared" si="92"/>
        <v>49</v>
      </c>
      <c r="M106" s="33">
        <f t="shared" si="92"/>
        <v>98</v>
      </c>
      <c r="N106" s="33">
        <f t="shared" si="92"/>
        <v>196</v>
      </c>
      <c r="O106" s="33">
        <f t="shared" si="92"/>
        <v>294</v>
      </c>
      <c r="P106" s="33">
        <f t="shared" si="92"/>
        <v>323.40000000000003</v>
      </c>
      <c r="Q106" s="33">
        <f t="shared" si="92"/>
        <v>343</v>
      </c>
      <c r="R106" s="33">
        <f t="shared" si="92"/>
        <v>362.6</v>
      </c>
      <c r="S106" s="33">
        <f t="shared" si="92"/>
        <v>382.2</v>
      </c>
      <c r="T106" s="33">
        <f t="shared" si="92"/>
        <v>392</v>
      </c>
      <c r="U106" s="33">
        <f t="shared" si="92"/>
        <v>784</v>
      </c>
      <c r="V106" s="33">
        <f t="shared" si="92"/>
        <v>1568</v>
      </c>
      <c r="W106" s="33">
        <f t="shared" si="92"/>
        <v>3136</v>
      </c>
      <c r="X106" s="33">
        <f t="shared" si="92"/>
        <v>6272</v>
      </c>
      <c r="Y106" s="33">
        <f t="shared" si="92"/>
        <v>12544</v>
      </c>
      <c r="Z106" s="33">
        <f t="shared" si="92"/>
        <v>25088</v>
      </c>
      <c r="AA106" s="33">
        <f t="shared" si="92"/>
        <v>50176</v>
      </c>
      <c r="AB106" s="33">
        <f t="shared" si="92"/>
        <v>100352</v>
      </c>
      <c r="AC106" s="33">
        <f t="shared" si="92"/>
        <v>200704</v>
      </c>
      <c r="AD106" s="84">
        <f t="shared" si="92"/>
        <v>401408</v>
      </c>
      <c r="AE106" s="33">
        <f t="shared" si="92"/>
        <v>802816</v>
      </c>
      <c r="AF106" s="84">
        <f t="shared" si="92"/>
        <v>1256066</v>
      </c>
      <c r="AG106" s="57"/>
    </row>
    <row r="107" spans="1:33" x14ac:dyDescent="0.25">
      <c r="A107" s="53"/>
      <c r="B107" s="28"/>
      <c r="C107" s="28"/>
      <c r="D107" s="37"/>
      <c r="E107" s="58">
        <v>7.2999999999999995E-2</v>
      </c>
      <c r="F107" s="28"/>
      <c r="G107" s="41">
        <f t="shared" ref="G107:AB107" si="93">G106*$E$107</f>
        <v>0.11178125</v>
      </c>
      <c r="H107" s="42">
        <f t="shared" si="93"/>
        <v>0.2235625</v>
      </c>
      <c r="I107" s="42">
        <f t="shared" si="93"/>
        <v>0.44712499999999999</v>
      </c>
      <c r="J107" s="42">
        <f t="shared" si="93"/>
        <v>0.89424999999999999</v>
      </c>
      <c r="K107" s="42">
        <f t="shared" si="93"/>
        <v>1.7885</v>
      </c>
      <c r="L107" s="42">
        <f t="shared" si="93"/>
        <v>3.577</v>
      </c>
      <c r="M107" s="42">
        <f t="shared" si="93"/>
        <v>7.1539999999999999</v>
      </c>
      <c r="N107" s="42">
        <f t="shared" si="93"/>
        <v>14.308</v>
      </c>
      <c r="O107" s="42">
        <f t="shared" ref="O107:S107" si="94">O106*$E$107</f>
        <v>21.462</v>
      </c>
      <c r="P107" s="42">
        <f t="shared" si="94"/>
        <v>23.6082</v>
      </c>
      <c r="Q107" s="42">
        <f t="shared" ref="Q107:R107" si="95">Q106*$E$107</f>
        <v>25.038999999999998</v>
      </c>
      <c r="R107" s="42">
        <f t="shared" si="95"/>
        <v>26.469799999999999</v>
      </c>
      <c r="S107" s="42">
        <f t="shared" si="94"/>
        <v>27.900599999999997</v>
      </c>
      <c r="T107" s="42">
        <f t="shared" si="93"/>
        <v>28.616</v>
      </c>
      <c r="U107" s="42">
        <f t="shared" si="93"/>
        <v>57.231999999999999</v>
      </c>
      <c r="V107" s="42">
        <f t="shared" si="93"/>
        <v>114.464</v>
      </c>
      <c r="W107" s="42">
        <f t="shared" si="93"/>
        <v>228.928</v>
      </c>
      <c r="X107" s="42">
        <f t="shared" si="93"/>
        <v>457.85599999999999</v>
      </c>
      <c r="Y107" s="42">
        <f t="shared" si="93"/>
        <v>915.71199999999999</v>
      </c>
      <c r="Z107" s="42">
        <f t="shared" si="93"/>
        <v>1831.424</v>
      </c>
      <c r="AA107" s="42">
        <f t="shared" si="93"/>
        <v>3662.848</v>
      </c>
      <c r="AB107" s="42">
        <f t="shared" si="93"/>
        <v>7325.6959999999999</v>
      </c>
      <c r="AC107" s="42">
        <f>AC106*$E$107</f>
        <v>14651.392</v>
      </c>
      <c r="AD107" s="83">
        <f>AD106*$E$107</f>
        <v>29302.784</v>
      </c>
      <c r="AE107" s="42">
        <f>AE106*$E$107</f>
        <v>58605.567999999999</v>
      </c>
      <c r="AF107" s="83">
        <f>AF106*$E$107</f>
        <v>91692.817999999999</v>
      </c>
      <c r="AG107" s="57"/>
    </row>
    <row r="108" spans="1:33" x14ac:dyDescent="0.25">
      <c r="A108" s="53" t="s">
        <v>7</v>
      </c>
      <c r="B108" s="36">
        <v>0.31</v>
      </c>
      <c r="C108" s="22">
        <f>$B$35 * B108</f>
        <v>7946540</v>
      </c>
      <c r="D108" s="59"/>
      <c r="E108" s="28"/>
      <c r="F108" s="28"/>
      <c r="G108" s="32">
        <f t="shared" ref="G108:AF108" si="96">G$49*$B$108</f>
        <v>9.6875</v>
      </c>
      <c r="H108" s="33">
        <f t="shared" si="96"/>
        <v>19.375</v>
      </c>
      <c r="I108" s="33">
        <f t="shared" si="96"/>
        <v>38.75</v>
      </c>
      <c r="J108" s="33">
        <f t="shared" si="96"/>
        <v>77.5</v>
      </c>
      <c r="K108" s="33">
        <f t="shared" si="96"/>
        <v>155</v>
      </c>
      <c r="L108" s="33">
        <f t="shared" si="96"/>
        <v>310</v>
      </c>
      <c r="M108" s="33">
        <f t="shared" si="96"/>
        <v>620</v>
      </c>
      <c r="N108" s="33">
        <f t="shared" si="96"/>
        <v>1240</v>
      </c>
      <c r="O108" s="33">
        <f t="shared" si="96"/>
        <v>1860</v>
      </c>
      <c r="P108" s="33">
        <f t="shared" si="96"/>
        <v>2046</v>
      </c>
      <c r="Q108" s="33">
        <f t="shared" si="96"/>
        <v>2170</v>
      </c>
      <c r="R108" s="33">
        <f t="shared" si="96"/>
        <v>2294</v>
      </c>
      <c r="S108" s="33">
        <f t="shared" si="96"/>
        <v>2418</v>
      </c>
      <c r="T108" s="33">
        <f t="shared" si="96"/>
        <v>2480</v>
      </c>
      <c r="U108" s="33">
        <f t="shared" si="96"/>
        <v>4960</v>
      </c>
      <c r="V108" s="33">
        <f t="shared" si="96"/>
        <v>9920</v>
      </c>
      <c r="W108" s="33">
        <f t="shared" si="96"/>
        <v>19840</v>
      </c>
      <c r="X108" s="33">
        <f t="shared" si="96"/>
        <v>39680</v>
      </c>
      <c r="Y108" s="33">
        <f t="shared" si="96"/>
        <v>79360</v>
      </c>
      <c r="Z108" s="33">
        <f t="shared" si="96"/>
        <v>158720</v>
      </c>
      <c r="AA108" s="33">
        <f t="shared" si="96"/>
        <v>317440</v>
      </c>
      <c r="AB108" s="33">
        <f t="shared" si="96"/>
        <v>634880</v>
      </c>
      <c r="AC108" s="33">
        <f t="shared" si="96"/>
        <v>1269760</v>
      </c>
      <c r="AD108" s="84">
        <f t="shared" si="96"/>
        <v>2539520</v>
      </c>
      <c r="AE108" s="33">
        <f t="shared" si="96"/>
        <v>5079040</v>
      </c>
      <c r="AF108" s="84">
        <f t="shared" si="96"/>
        <v>7946540</v>
      </c>
      <c r="AG108" s="57"/>
    </row>
    <row r="109" spans="1:33" x14ac:dyDescent="0.25">
      <c r="A109" s="53"/>
      <c r="B109" s="28"/>
      <c r="C109" s="28"/>
      <c r="D109" s="37"/>
      <c r="E109" s="58">
        <v>6.3E-2</v>
      </c>
      <c r="F109" s="28"/>
      <c r="G109" s="41">
        <f t="shared" ref="G109:AB109" si="97">G108*$E$109</f>
        <v>0.61031250000000004</v>
      </c>
      <c r="H109" s="42">
        <f t="shared" si="97"/>
        <v>1.2206250000000001</v>
      </c>
      <c r="I109" s="42">
        <f t="shared" si="97"/>
        <v>2.4412500000000001</v>
      </c>
      <c r="J109" s="42">
        <f t="shared" si="97"/>
        <v>4.8825000000000003</v>
      </c>
      <c r="K109" s="42">
        <f t="shared" si="97"/>
        <v>9.7650000000000006</v>
      </c>
      <c r="L109" s="42">
        <f t="shared" si="97"/>
        <v>19.53</v>
      </c>
      <c r="M109" s="42">
        <f t="shared" si="97"/>
        <v>39.06</v>
      </c>
      <c r="N109" s="42">
        <f t="shared" si="97"/>
        <v>78.12</v>
      </c>
      <c r="O109" s="42">
        <f t="shared" ref="O109:S109" si="98">O108*$E$109</f>
        <v>117.18</v>
      </c>
      <c r="P109" s="42">
        <f t="shared" si="98"/>
        <v>128.898</v>
      </c>
      <c r="Q109" s="42">
        <f t="shared" ref="Q109:R109" si="99">Q108*$E$109</f>
        <v>136.71</v>
      </c>
      <c r="R109" s="42">
        <f t="shared" si="99"/>
        <v>144.52199999999999</v>
      </c>
      <c r="S109" s="42">
        <f t="shared" si="98"/>
        <v>152.334</v>
      </c>
      <c r="T109" s="42">
        <f t="shared" si="97"/>
        <v>156.24</v>
      </c>
      <c r="U109" s="42">
        <f t="shared" si="97"/>
        <v>312.48</v>
      </c>
      <c r="V109" s="42">
        <f t="shared" si="97"/>
        <v>624.96</v>
      </c>
      <c r="W109" s="42">
        <f t="shared" si="97"/>
        <v>1249.92</v>
      </c>
      <c r="X109" s="42">
        <f t="shared" si="97"/>
        <v>2499.84</v>
      </c>
      <c r="Y109" s="42">
        <f t="shared" si="97"/>
        <v>4999.68</v>
      </c>
      <c r="Z109" s="42">
        <f t="shared" si="97"/>
        <v>9999.36</v>
      </c>
      <c r="AA109" s="42">
        <f t="shared" si="97"/>
        <v>19998.72</v>
      </c>
      <c r="AB109" s="42">
        <f t="shared" si="97"/>
        <v>39997.440000000002</v>
      </c>
      <c r="AC109" s="42">
        <f>AC108*$E$109</f>
        <v>79994.880000000005</v>
      </c>
      <c r="AD109" s="83">
        <f>AD108*$E$109</f>
        <v>159989.76000000001</v>
      </c>
      <c r="AE109" s="42">
        <f>AE108*$E$109</f>
        <v>319979.52000000002</v>
      </c>
      <c r="AF109" s="83">
        <f>AF108*$E$109</f>
        <v>500632.02</v>
      </c>
      <c r="AG109" s="57"/>
    </row>
    <row r="110" spans="1:33" x14ac:dyDescent="0.25">
      <c r="A110" s="53" t="s">
        <v>8</v>
      </c>
      <c r="B110" s="36">
        <v>0.106</v>
      </c>
      <c r="C110" s="22">
        <f>$B$35 * B110</f>
        <v>2717204</v>
      </c>
      <c r="D110" s="59"/>
      <c r="E110" s="28"/>
      <c r="F110" s="28"/>
      <c r="G110" s="32">
        <f t="shared" ref="G110:AF110" si="100">G$49*$B$110</f>
        <v>3.3125</v>
      </c>
      <c r="H110" s="33">
        <f t="shared" si="100"/>
        <v>6.625</v>
      </c>
      <c r="I110" s="33">
        <f t="shared" si="100"/>
        <v>13.25</v>
      </c>
      <c r="J110" s="33">
        <f t="shared" si="100"/>
        <v>26.5</v>
      </c>
      <c r="K110" s="33">
        <f t="shared" si="100"/>
        <v>53</v>
      </c>
      <c r="L110" s="33">
        <f t="shared" si="100"/>
        <v>106</v>
      </c>
      <c r="M110" s="33">
        <f t="shared" si="100"/>
        <v>212</v>
      </c>
      <c r="N110" s="33">
        <f t="shared" si="100"/>
        <v>424</v>
      </c>
      <c r="O110" s="33">
        <f t="shared" si="100"/>
        <v>636</v>
      </c>
      <c r="P110" s="33">
        <f t="shared" si="100"/>
        <v>699.6</v>
      </c>
      <c r="Q110" s="33">
        <f t="shared" si="100"/>
        <v>742</v>
      </c>
      <c r="R110" s="33">
        <f t="shared" si="100"/>
        <v>784.4</v>
      </c>
      <c r="S110" s="33">
        <f t="shared" si="100"/>
        <v>826.8</v>
      </c>
      <c r="T110" s="33">
        <f t="shared" si="100"/>
        <v>848</v>
      </c>
      <c r="U110" s="33">
        <f t="shared" si="100"/>
        <v>1696</v>
      </c>
      <c r="V110" s="33">
        <f t="shared" si="100"/>
        <v>3392</v>
      </c>
      <c r="W110" s="33">
        <f t="shared" si="100"/>
        <v>6784</v>
      </c>
      <c r="X110" s="33">
        <f t="shared" si="100"/>
        <v>13568</v>
      </c>
      <c r="Y110" s="33">
        <f t="shared" si="100"/>
        <v>27136</v>
      </c>
      <c r="Z110" s="33">
        <f t="shared" si="100"/>
        <v>54272</v>
      </c>
      <c r="AA110" s="33">
        <f t="shared" si="100"/>
        <v>108544</v>
      </c>
      <c r="AB110" s="33">
        <f t="shared" si="100"/>
        <v>217088</v>
      </c>
      <c r="AC110" s="33">
        <f t="shared" si="100"/>
        <v>434176</v>
      </c>
      <c r="AD110" s="84">
        <f t="shared" si="100"/>
        <v>868352</v>
      </c>
      <c r="AE110" s="33">
        <f t="shared" si="100"/>
        <v>1736704</v>
      </c>
      <c r="AF110" s="84">
        <f t="shared" si="100"/>
        <v>2717204</v>
      </c>
      <c r="AG110" s="57"/>
    </row>
    <row r="111" spans="1:33" x14ac:dyDescent="0.25">
      <c r="A111" s="53"/>
      <c r="B111" s="28"/>
      <c r="C111" s="28"/>
      <c r="D111" s="37"/>
      <c r="E111" s="58">
        <v>0.06</v>
      </c>
      <c r="F111" s="28"/>
      <c r="G111" s="41">
        <f t="shared" ref="G111:AB111" si="101">G110*$E$111</f>
        <v>0.19874999999999998</v>
      </c>
      <c r="H111" s="42">
        <f t="shared" si="101"/>
        <v>0.39749999999999996</v>
      </c>
      <c r="I111" s="42">
        <f t="shared" si="101"/>
        <v>0.79499999999999993</v>
      </c>
      <c r="J111" s="42">
        <f t="shared" si="101"/>
        <v>1.5899999999999999</v>
      </c>
      <c r="K111" s="42">
        <f t="shared" si="101"/>
        <v>3.1799999999999997</v>
      </c>
      <c r="L111" s="42">
        <f t="shared" si="101"/>
        <v>6.3599999999999994</v>
      </c>
      <c r="M111" s="42">
        <f t="shared" si="101"/>
        <v>12.719999999999999</v>
      </c>
      <c r="N111" s="42">
        <f t="shared" si="101"/>
        <v>25.439999999999998</v>
      </c>
      <c r="O111" s="42">
        <f t="shared" ref="O111:S111" si="102">O110*$E$111</f>
        <v>38.159999999999997</v>
      </c>
      <c r="P111" s="42">
        <f t="shared" si="102"/>
        <v>41.975999999999999</v>
      </c>
      <c r="Q111" s="42">
        <f t="shared" ref="Q111:R111" si="103">Q110*$E$111</f>
        <v>44.519999999999996</v>
      </c>
      <c r="R111" s="42">
        <f t="shared" si="103"/>
        <v>47.064</v>
      </c>
      <c r="S111" s="42">
        <f t="shared" si="102"/>
        <v>49.607999999999997</v>
      </c>
      <c r="T111" s="42">
        <f t="shared" si="101"/>
        <v>50.879999999999995</v>
      </c>
      <c r="U111" s="42">
        <f t="shared" si="101"/>
        <v>101.75999999999999</v>
      </c>
      <c r="V111" s="42">
        <f t="shared" si="101"/>
        <v>203.51999999999998</v>
      </c>
      <c r="W111" s="42">
        <f t="shared" si="101"/>
        <v>407.03999999999996</v>
      </c>
      <c r="X111" s="42">
        <f t="shared" si="101"/>
        <v>814.07999999999993</v>
      </c>
      <c r="Y111" s="42">
        <f t="shared" si="101"/>
        <v>1628.1599999999999</v>
      </c>
      <c r="Z111" s="42">
        <f t="shared" si="101"/>
        <v>3256.3199999999997</v>
      </c>
      <c r="AA111" s="42">
        <f t="shared" si="101"/>
        <v>6512.6399999999994</v>
      </c>
      <c r="AB111" s="42">
        <f t="shared" si="101"/>
        <v>13025.279999999999</v>
      </c>
      <c r="AC111" s="42">
        <f>AC110*$E$111</f>
        <v>26050.559999999998</v>
      </c>
      <c r="AD111" s="83">
        <f>AD110*$E$111</f>
        <v>52101.119999999995</v>
      </c>
      <c r="AE111" s="42">
        <f>AE110*$E$111</f>
        <v>104202.23999999999</v>
      </c>
      <c r="AF111" s="83">
        <f>AF110*$E$111</f>
        <v>163032.24</v>
      </c>
      <c r="AG111" s="57"/>
    </row>
    <row r="112" spans="1:33" x14ac:dyDescent="0.25">
      <c r="A112" s="53" t="s">
        <v>9</v>
      </c>
      <c r="B112" s="36">
        <v>1.7999999999999999E-2</v>
      </c>
      <c r="C112" s="22">
        <f>$B$35 * B112</f>
        <v>461411.99999999994</v>
      </c>
      <c r="D112" s="59"/>
      <c r="E112" s="28"/>
      <c r="F112" s="28"/>
      <c r="G112" s="32">
        <f t="shared" ref="G112:AF112" si="104">G$49*$B$112</f>
        <v>0.5625</v>
      </c>
      <c r="H112" s="33">
        <f t="shared" si="104"/>
        <v>1.125</v>
      </c>
      <c r="I112" s="33">
        <f t="shared" si="104"/>
        <v>2.25</v>
      </c>
      <c r="J112" s="33">
        <f t="shared" si="104"/>
        <v>4.5</v>
      </c>
      <c r="K112" s="33">
        <f t="shared" si="104"/>
        <v>9</v>
      </c>
      <c r="L112" s="33">
        <f t="shared" si="104"/>
        <v>18</v>
      </c>
      <c r="M112" s="33">
        <f t="shared" si="104"/>
        <v>36</v>
      </c>
      <c r="N112" s="33">
        <f t="shared" si="104"/>
        <v>72</v>
      </c>
      <c r="O112" s="33">
        <f t="shared" si="104"/>
        <v>107.99999999999999</v>
      </c>
      <c r="P112" s="33">
        <f t="shared" si="104"/>
        <v>118.8</v>
      </c>
      <c r="Q112" s="33">
        <f t="shared" si="104"/>
        <v>125.99999999999999</v>
      </c>
      <c r="R112" s="33">
        <f t="shared" si="104"/>
        <v>133.19999999999999</v>
      </c>
      <c r="S112" s="33">
        <f t="shared" si="104"/>
        <v>140.39999999999998</v>
      </c>
      <c r="T112" s="33">
        <f t="shared" si="104"/>
        <v>144</v>
      </c>
      <c r="U112" s="33">
        <f t="shared" si="104"/>
        <v>288</v>
      </c>
      <c r="V112" s="33">
        <f t="shared" si="104"/>
        <v>576</v>
      </c>
      <c r="W112" s="33">
        <f t="shared" si="104"/>
        <v>1152</v>
      </c>
      <c r="X112" s="33">
        <f t="shared" si="104"/>
        <v>2304</v>
      </c>
      <c r="Y112" s="33">
        <f t="shared" si="104"/>
        <v>4608</v>
      </c>
      <c r="Z112" s="33">
        <f t="shared" si="104"/>
        <v>9216</v>
      </c>
      <c r="AA112" s="33">
        <f t="shared" si="104"/>
        <v>18432</v>
      </c>
      <c r="AB112" s="33">
        <f t="shared" si="104"/>
        <v>36864</v>
      </c>
      <c r="AC112" s="33">
        <f t="shared" si="104"/>
        <v>73728</v>
      </c>
      <c r="AD112" s="84">
        <f t="shared" si="104"/>
        <v>147456</v>
      </c>
      <c r="AE112" s="33">
        <f t="shared" si="104"/>
        <v>294912</v>
      </c>
      <c r="AF112" s="84">
        <f t="shared" si="104"/>
        <v>461411.99999999994</v>
      </c>
      <c r="AG112" s="57"/>
    </row>
    <row r="113" spans="1:33" x14ac:dyDescent="0.25">
      <c r="A113" s="53"/>
      <c r="B113" s="28"/>
      <c r="C113" s="28"/>
      <c r="D113" s="37"/>
      <c r="E113" s="58">
        <v>5.6000000000000001E-2</v>
      </c>
      <c r="F113" s="28"/>
      <c r="G113" s="41">
        <f t="shared" ref="G113:AB113" si="105">G112*$E$113</f>
        <v>3.15E-2</v>
      </c>
      <c r="H113" s="42">
        <f t="shared" si="105"/>
        <v>6.3E-2</v>
      </c>
      <c r="I113" s="42">
        <f t="shared" si="105"/>
        <v>0.126</v>
      </c>
      <c r="J113" s="42">
        <f t="shared" si="105"/>
        <v>0.252</v>
      </c>
      <c r="K113" s="42">
        <f t="shared" si="105"/>
        <v>0.504</v>
      </c>
      <c r="L113" s="42">
        <f t="shared" si="105"/>
        <v>1.008</v>
      </c>
      <c r="M113" s="42">
        <f t="shared" si="105"/>
        <v>2.016</v>
      </c>
      <c r="N113" s="42">
        <f t="shared" si="105"/>
        <v>4.032</v>
      </c>
      <c r="O113" s="42">
        <f t="shared" ref="O113:S113" si="106">O112*$E$113</f>
        <v>6.0479999999999992</v>
      </c>
      <c r="P113" s="42">
        <f t="shared" si="106"/>
        <v>6.6528</v>
      </c>
      <c r="Q113" s="42">
        <f t="shared" ref="Q113:R113" si="107">Q112*$E$113</f>
        <v>7.0559999999999992</v>
      </c>
      <c r="R113" s="42">
        <f t="shared" si="107"/>
        <v>7.4591999999999992</v>
      </c>
      <c r="S113" s="42">
        <f t="shared" si="106"/>
        <v>7.8623999999999992</v>
      </c>
      <c r="T113" s="42">
        <f t="shared" si="105"/>
        <v>8.0640000000000001</v>
      </c>
      <c r="U113" s="42">
        <f t="shared" si="105"/>
        <v>16.128</v>
      </c>
      <c r="V113" s="42">
        <f t="shared" si="105"/>
        <v>32.256</v>
      </c>
      <c r="W113" s="42">
        <f t="shared" si="105"/>
        <v>64.512</v>
      </c>
      <c r="X113" s="42">
        <f t="shared" si="105"/>
        <v>129.024</v>
      </c>
      <c r="Y113" s="42">
        <f t="shared" si="105"/>
        <v>258.048</v>
      </c>
      <c r="Z113" s="42">
        <f t="shared" si="105"/>
        <v>516.096</v>
      </c>
      <c r="AA113" s="42">
        <f t="shared" si="105"/>
        <v>1032.192</v>
      </c>
      <c r="AB113" s="42">
        <f t="shared" si="105"/>
        <v>2064.384</v>
      </c>
      <c r="AC113" s="42">
        <f>AC112*$E$113</f>
        <v>4128.768</v>
      </c>
      <c r="AD113" s="83">
        <f>AD112*$E$113</f>
        <v>8257.5360000000001</v>
      </c>
      <c r="AE113" s="42">
        <f>AE112*$E$113</f>
        <v>16515.072</v>
      </c>
      <c r="AF113" s="83">
        <f>AF112*$E$113</f>
        <v>25839.071999999996</v>
      </c>
      <c r="AG113" s="57"/>
    </row>
    <row r="114" spans="1:33" x14ac:dyDescent="0.25">
      <c r="A114" s="53" t="s">
        <v>10</v>
      </c>
      <c r="B114" s="36">
        <v>0.152</v>
      </c>
      <c r="C114" s="22">
        <f>$B$35 * B114</f>
        <v>3896368</v>
      </c>
      <c r="D114" s="59"/>
      <c r="E114" s="28"/>
      <c r="F114" s="28"/>
      <c r="G114" s="32">
        <f t="shared" ref="G114:AF114" si="108">G$49*$B$114</f>
        <v>4.75</v>
      </c>
      <c r="H114" s="33">
        <f t="shared" si="108"/>
        <v>9.5</v>
      </c>
      <c r="I114" s="33">
        <f t="shared" si="108"/>
        <v>19</v>
      </c>
      <c r="J114" s="33">
        <f t="shared" si="108"/>
        <v>38</v>
      </c>
      <c r="K114" s="33">
        <f t="shared" si="108"/>
        <v>76</v>
      </c>
      <c r="L114" s="33">
        <f t="shared" si="108"/>
        <v>152</v>
      </c>
      <c r="M114" s="33">
        <f t="shared" si="108"/>
        <v>304</v>
      </c>
      <c r="N114" s="33">
        <f t="shared" si="108"/>
        <v>608</v>
      </c>
      <c r="O114" s="33">
        <f t="shared" si="108"/>
        <v>912</v>
      </c>
      <c r="P114" s="33">
        <f t="shared" si="108"/>
        <v>1003.1999999999999</v>
      </c>
      <c r="Q114" s="33">
        <f t="shared" si="108"/>
        <v>1064</v>
      </c>
      <c r="R114" s="33">
        <f t="shared" si="108"/>
        <v>1124.8</v>
      </c>
      <c r="S114" s="33">
        <f t="shared" si="108"/>
        <v>1185.5999999999999</v>
      </c>
      <c r="T114" s="33">
        <f t="shared" si="108"/>
        <v>1216</v>
      </c>
      <c r="U114" s="33">
        <f t="shared" si="108"/>
        <v>2432</v>
      </c>
      <c r="V114" s="33">
        <f t="shared" si="108"/>
        <v>4864</v>
      </c>
      <c r="W114" s="33">
        <f t="shared" si="108"/>
        <v>9728</v>
      </c>
      <c r="X114" s="33">
        <f t="shared" si="108"/>
        <v>19456</v>
      </c>
      <c r="Y114" s="33">
        <f t="shared" si="108"/>
        <v>38912</v>
      </c>
      <c r="Z114" s="33">
        <f t="shared" si="108"/>
        <v>77824</v>
      </c>
      <c r="AA114" s="33">
        <f t="shared" si="108"/>
        <v>155648</v>
      </c>
      <c r="AB114" s="33">
        <f t="shared" si="108"/>
        <v>311296</v>
      </c>
      <c r="AC114" s="33">
        <f t="shared" si="108"/>
        <v>622592</v>
      </c>
      <c r="AD114" s="84">
        <f t="shared" si="108"/>
        <v>1245184</v>
      </c>
      <c r="AE114" s="33">
        <f t="shared" si="108"/>
        <v>2490368</v>
      </c>
      <c r="AF114" s="84">
        <f t="shared" si="108"/>
        <v>3896368</v>
      </c>
      <c r="AG114" s="57"/>
    </row>
    <row r="115" spans="1:33" x14ac:dyDescent="0.25">
      <c r="A115" s="49"/>
      <c r="B115" s="51"/>
      <c r="C115" s="51"/>
      <c r="D115" s="67"/>
      <c r="E115" s="68" t="s">
        <v>11</v>
      </c>
      <c r="F115" s="51"/>
      <c r="G115" s="41" t="s">
        <v>11</v>
      </c>
      <c r="H115" s="42" t="s">
        <v>11</v>
      </c>
      <c r="I115" s="42" t="s">
        <v>11</v>
      </c>
      <c r="J115" s="42" t="s">
        <v>11</v>
      </c>
      <c r="K115" s="42" t="s">
        <v>11</v>
      </c>
      <c r="L115" s="42" t="s">
        <v>11</v>
      </c>
      <c r="M115" s="42" t="s">
        <v>11</v>
      </c>
      <c r="N115" s="42" t="s">
        <v>11</v>
      </c>
      <c r="O115" s="42" t="s">
        <v>11</v>
      </c>
      <c r="P115" s="42" t="s">
        <v>11</v>
      </c>
      <c r="Q115" s="42" t="s">
        <v>11</v>
      </c>
      <c r="R115" s="42" t="s">
        <v>11</v>
      </c>
      <c r="S115" s="42" t="s">
        <v>11</v>
      </c>
      <c r="T115" s="42" t="s">
        <v>11</v>
      </c>
      <c r="U115" s="42" t="s">
        <v>11</v>
      </c>
      <c r="V115" s="42" t="s">
        <v>11</v>
      </c>
      <c r="W115" s="42" t="s">
        <v>11</v>
      </c>
      <c r="X115" s="42" t="s">
        <v>11</v>
      </c>
      <c r="Y115" s="42" t="s">
        <v>11</v>
      </c>
      <c r="Z115" s="42" t="s">
        <v>11</v>
      </c>
      <c r="AA115" s="42" t="s">
        <v>11</v>
      </c>
      <c r="AB115" s="42" t="s">
        <v>11</v>
      </c>
      <c r="AC115" s="42" t="s">
        <v>11</v>
      </c>
      <c r="AD115" s="83" t="s">
        <v>11</v>
      </c>
      <c r="AE115" s="44" t="s">
        <v>11</v>
      </c>
      <c r="AF115" s="85" t="s">
        <v>11</v>
      </c>
      <c r="AG115" s="57"/>
    </row>
    <row r="116" spans="1:33" x14ac:dyDescent="0.25">
      <c r="A116" s="53"/>
      <c r="B116" s="28"/>
      <c r="C116" s="28"/>
      <c r="D116" s="59"/>
      <c r="E116" s="28"/>
      <c r="F116" s="28"/>
      <c r="G116" s="30">
        <f>SUM(G104,G106,G108,G110,G112,G114)</f>
        <v>21.40625</v>
      </c>
      <c r="H116" s="31">
        <f t="shared" ref="H116:AB116" si="109">SUM(H104,H106,H108,H110,H112,H114)</f>
        <v>42.8125</v>
      </c>
      <c r="I116" s="31">
        <f t="shared" si="109"/>
        <v>85.625</v>
      </c>
      <c r="J116" s="31">
        <f t="shared" si="109"/>
        <v>171.25</v>
      </c>
      <c r="K116" s="31">
        <f t="shared" si="109"/>
        <v>342.5</v>
      </c>
      <c r="L116" s="31">
        <f t="shared" si="109"/>
        <v>685</v>
      </c>
      <c r="M116" s="31">
        <f>SUM(M104,M106,M108,M110,M112,M114)</f>
        <v>1370</v>
      </c>
      <c r="N116" s="31">
        <f t="shared" si="109"/>
        <v>2740</v>
      </c>
      <c r="O116" s="31">
        <f t="shared" ref="O116:S116" si="110">SUM(O104,O106,O108,O110,O112,O114)</f>
        <v>4110</v>
      </c>
      <c r="P116" s="31">
        <f t="shared" si="110"/>
        <v>4521</v>
      </c>
      <c r="Q116" s="31">
        <f t="shared" ref="Q116:R116" si="111">SUM(Q104,Q106,Q108,Q110,Q112,Q114)</f>
        <v>4795</v>
      </c>
      <c r="R116" s="31">
        <f t="shared" si="111"/>
        <v>5069</v>
      </c>
      <c r="S116" s="31">
        <f t="shared" si="110"/>
        <v>5343</v>
      </c>
      <c r="T116" s="31">
        <f t="shared" si="109"/>
        <v>5480</v>
      </c>
      <c r="U116" s="31">
        <f t="shared" si="109"/>
        <v>10960</v>
      </c>
      <c r="V116" s="31">
        <f t="shared" si="109"/>
        <v>21920</v>
      </c>
      <c r="W116" s="31">
        <f t="shared" si="109"/>
        <v>43840</v>
      </c>
      <c r="X116" s="31">
        <f t="shared" si="109"/>
        <v>87680</v>
      </c>
      <c r="Y116" s="31">
        <f t="shared" si="109"/>
        <v>175360</v>
      </c>
      <c r="Z116" s="31">
        <f t="shared" si="109"/>
        <v>350720</v>
      </c>
      <c r="AA116" s="31">
        <f t="shared" si="109"/>
        <v>701440</v>
      </c>
      <c r="AB116" s="31">
        <f t="shared" si="109"/>
        <v>1402880</v>
      </c>
      <c r="AC116" s="31">
        <f t="shared" ref="AC116:AF117" si="112">SUM(AC104,AC106,AC108,AC110,AC112,AC114)</f>
        <v>2805760</v>
      </c>
      <c r="AD116" s="72">
        <f t="shared" si="112"/>
        <v>5611520</v>
      </c>
      <c r="AE116" s="33">
        <f t="shared" si="112"/>
        <v>11223040</v>
      </c>
      <c r="AF116" s="84">
        <f t="shared" si="112"/>
        <v>17559290</v>
      </c>
      <c r="AG116" s="57"/>
    </row>
    <row r="117" spans="1:33" x14ac:dyDescent="0.25">
      <c r="A117" s="49" t="s">
        <v>132</v>
      </c>
      <c r="B117" s="51"/>
      <c r="C117" s="51"/>
      <c r="D117" s="51"/>
      <c r="E117" s="51"/>
      <c r="F117" s="51"/>
      <c r="G117" s="43">
        <f>SUM(G105,G107,G109,G111,G113,G115)</f>
        <v>1.11640625</v>
      </c>
      <c r="H117" s="44">
        <f t="shared" ref="H117:AB117" si="113">SUM(H105,H107,H109,H111,H113,H115)</f>
        <v>2.2328125000000001</v>
      </c>
      <c r="I117" s="44">
        <f t="shared" si="113"/>
        <v>4.4656250000000002</v>
      </c>
      <c r="J117" s="44">
        <f t="shared" si="113"/>
        <v>8.9312500000000004</v>
      </c>
      <c r="K117" s="44">
        <f t="shared" si="113"/>
        <v>17.862500000000001</v>
      </c>
      <c r="L117" s="44">
        <f t="shared" si="113"/>
        <v>35.725000000000001</v>
      </c>
      <c r="M117" s="44">
        <f t="shared" si="113"/>
        <v>71.45</v>
      </c>
      <c r="N117" s="44">
        <f t="shared" si="113"/>
        <v>142.9</v>
      </c>
      <c r="O117" s="44">
        <f t="shared" ref="O117:S117" si="114">SUM(O105,O107,O109,O111,O113,O115)</f>
        <v>214.35</v>
      </c>
      <c r="P117" s="44">
        <f t="shared" si="114"/>
        <v>235.78500000000003</v>
      </c>
      <c r="Q117" s="44">
        <f t="shared" ref="Q117:R117" si="115">SUM(Q105,Q107,Q109,Q111,Q113,Q115)</f>
        <v>250.07500000000002</v>
      </c>
      <c r="R117" s="44">
        <f t="shared" si="115"/>
        <v>264.36500000000001</v>
      </c>
      <c r="S117" s="44">
        <f t="shared" si="114"/>
        <v>278.65499999999997</v>
      </c>
      <c r="T117" s="44">
        <f t="shared" si="113"/>
        <v>285.8</v>
      </c>
      <c r="U117" s="44">
        <f t="shared" si="113"/>
        <v>571.6</v>
      </c>
      <c r="V117" s="44">
        <f t="shared" si="113"/>
        <v>1143.2</v>
      </c>
      <c r="W117" s="44">
        <f t="shared" si="113"/>
        <v>2286.4</v>
      </c>
      <c r="X117" s="44">
        <f t="shared" si="113"/>
        <v>4572.8</v>
      </c>
      <c r="Y117" s="44">
        <f t="shared" si="113"/>
        <v>9145.6</v>
      </c>
      <c r="Z117" s="44">
        <f t="shared" si="113"/>
        <v>18291.2</v>
      </c>
      <c r="AA117" s="44">
        <f t="shared" si="113"/>
        <v>36582.400000000001</v>
      </c>
      <c r="AB117" s="44">
        <f t="shared" si="113"/>
        <v>73164.800000000003</v>
      </c>
      <c r="AC117" s="44">
        <f t="shared" si="112"/>
        <v>146329.60000000001</v>
      </c>
      <c r="AD117" s="85">
        <f t="shared" si="112"/>
        <v>292659.20000000001</v>
      </c>
      <c r="AE117" s="44">
        <f t="shared" si="112"/>
        <v>585318.40000000002</v>
      </c>
      <c r="AF117" s="85">
        <f t="shared" si="112"/>
        <v>915774.65</v>
      </c>
      <c r="AG117" s="57"/>
    </row>
  </sheetData>
  <conditionalFormatting sqref="AE60:AG60 G60:AC60">
    <cfRule type="cellIs" dxfId="28" priority="36" operator="greaterThan">
      <formula>$C$39</formula>
    </cfRule>
  </conditionalFormatting>
  <conditionalFormatting sqref="AE62:AF62 G62:AC62">
    <cfRule type="cellIs" dxfId="27" priority="35" operator="greaterThan">
      <formula>$C$40</formula>
    </cfRule>
  </conditionalFormatting>
  <conditionalFormatting sqref="G81:AF81">
    <cfRule type="cellIs" dxfId="26" priority="34" operator="greaterThan">
      <formula>$C$81</formula>
    </cfRule>
  </conditionalFormatting>
  <conditionalFormatting sqref="G83:AF83">
    <cfRule type="cellIs" dxfId="25" priority="33" operator="greaterThan">
      <formula>$C$83</formula>
    </cfRule>
  </conditionalFormatting>
  <conditionalFormatting sqref="G85:AF85">
    <cfRule type="cellIs" dxfId="24" priority="32" operator="greaterThan">
      <formula>$C$85</formula>
    </cfRule>
  </conditionalFormatting>
  <conditionalFormatting sqref="G87:AF87">
    <cfRule type="cellIs" dxfId="23" priority="24" operator="greaterThan">
      <formula>$C$87</formula>
    </cfRule>
  </conditionalFormatting>
  <conditionalFormatting sqref="G89:AF89">
    <cfRule type="cellIs" dxfId="22" priority="23" operator="greaterThan">
      <formula>$C$89</formula>
    </cfRule>
  </conditionalFormatting>
  <conditionalFormatting sqref="G91:AF91">
    <cfRule type="cellIs" dxfId="21" priority="22" operator="greaterThan">
      <formula>$C$91</formula>
    </cfRule>
  </conditionalFormatting>
  <conditionalFormatting sqref="G93:AF93">
    <cfRule type="cellIs" dxfId="20" priority="21" operator="greaterThan">
      <formula>$C$93</formula>
    </cfRule>
  </conditionalFormatting>
  <conditionalFormatting sqref="G95:AF95">
    <cfRule type="cellIs" dxfId="19" priority="20" operator="greaterThan">
      <formula>$C$95</formula>
    </cfRule>
  </conditionalFormatting>
  <conditionalFormatting sqref="G97:AF97">
    <cfRule type="cellIs" dxfId="18" priority="19" operator="greaterThan">
      <formula>$C$97</formula>
    </cfRule>
  </conditionalFormatting>
  <conditionalFormatting sqref="AE51:AF51 G51:AC51">
    <cfRule type="cellIs" dxfId="17" priority="18" operator="equal">
      <formula>0</formula>
    </cfRule>
  </conditionalFormatting>
  <conditionalFormatting sqref="AE58 G58:AC58 G60:AC60 H62:AC62">
    <cfRule type="cellIs" dxfId="16" priority="17" operator="equal">
      <formula>0</formula>
    </cfRule>
  </conditionalFormatting>
  <conditionalFormatting sqref="AE60:AF60">
    <cfRule type="cellIs" dxfId="15" priority="16" operator="equal">
      <formula>0</formula>
    </cfRule>
  </conditionalFormatting>
  <conditionalFormatting sqref="AE62:AF62">
    <cfRule type="cellIs" dxfId="14" priority="15" operator="equal">
      <formula>0</formula>
    </cfRule>
  </conditionalFormatting>
  <conditionalFormatting sqref="D83">
    <cfRule type="cellIs" dxfId="13" priority="14" operator="greaterThan">
      <formula>$B$83</formula>
    </cfRule>
  </conditionalFormatting>
  <conditionalFormatting sqref="D85">
    <cfRule type="cellIs" dxfId="12" priority="13" operator="greaterThan">
      <formula>$B$85</formula>
    </cfRule>
  </conditionalFormatting>
  <conditionalFormatting sqref="D87">
    <cfRule type="cellIs" dxfId="11" priority="12" operator="greaterThan">
      <formula>$B$87</formula>
    </cfRule>
  </conditionalFormatting>
  <conditionalFormatting sqref="D89">
    <cfRule type="cellIs" dxfId="10" priority="11" operator="greaterThan">
      <formula>$B$89</formula>
    </cfRule>
  </conditionalFormatting>
  <conditionalFormatting sqref="D91">
    <cfRule type="cellIs" dxfId="9" priority="10" operator="greaterThan">
      <formula>$B$91</formula>
    </cfRule>
  </conditionalFormatting>
  <conditionalFormatting sqref="D93">
    <cfRule type="cellIs" dxfId="8" priority="9" operator="greaterThan">
      <formula>$B$93</formula>
    </cfRule>
  </conditionalFormatting>
  <conditionalFormatting sqref="D95">
    <cfRule type="cellIs" dxfId="7" priority="8" operator="greaterThan">
      <formula>$B$95</formula>
    </cfRule>
  </conditionalFormatting>
  <conditionalFormatting sqref="D97">
    <cfRule type="cellIs" dxfId="6" priority="7" operator="greaterThan">
      <formula>$B$97</formula>
    </cfRule>
  </conditionalFormatting>
  <conditionalFormatting sqref="AD60">
    <cfRule type="cellIs" dxfId="5" priority="6" operator="greaterThan">
      <formula>$C$39</formula>
    </cfRule>
  </conditionalFormatting>
  <conditionalFormatting sqref="AD62">
    <cfRule type="cellIs" dxfId="4" priority="5" operator="greaterThan">
      <formula>$C$40</formula>
    </cfRule>
  </conditionalFormatting>
  <conditionalFormatting sqref="AD51">
    <cfRule type="cellIs" dxfId="3" priority="4" operator="equal">
      <formula>0</formula>
    </cfRule>
  </conditionalFormatting>
  <conditionalFormatting sqref="AD58">
    <cfRule type="cellIs" dxfId="2" priority="3" operator="equal">
      <formula>0</formula>
    </cfRule>
  </conditionalFormatting>
  <conditionalFormatting sqref="AD60">
    <cfRule type="cellIs" dxfId="1" priority="2" operator="equal">
      <formula>0</formula>
    </cfRule>
  </conditionalFormatting>
  <conditionalFormatting sqref="AD62">
    <cfRule type="cellIs" dxfId="0" priority="1" operator="equal">
      <formula>0</formula>
    </cfRule>
  </conditionalFormatting>
  <hyperlinks>
    <hyperlink ref="D80" r:id="rId1" xr:uid="{98D6456F-EA03-4FCB-8D3D-1822F6B38CCF}"/>
    <hyperlink ref="E80" r:id="rId2" location="case-fatality-rate-of-covid-19-by-age" xr:uid="{0058192C-B05A-45D2-8597-C1F9B3D9241E}"/>
    <hyperlink ref="E103" r:id="rId3" location="case-fatality-rate-of-covid-19-by-preexisting-health-conditions" xr:uid="{110A2613-24A6-4768-B90C-571B307D13E2}"/>
    <hyperlink ref="B35" r:id="rId4" display="https://www.abs.gov.au/ausstats/abs@.nsf/0/1647509ef7e25faaca2568a900154b63?opendocument" xr:uid="{63727E5E-0850-4414-8DD8-E50A09A5AEE8}"/>
    <hyperlink ref="B80" r:id="rId5" xr:uid="{E432DB14-5D35-4B35-8F24-1C070D7F22B3}"/>
    <hyperlink ref="B37" r:id="rId6" display="https://cmmid.github.io/topics/covid19/severity/global_cfr_estimates.html" xr:uid="{49B36C88-7FC3-4DAA-BBA5-EABFD6685804}"/>
    <hyperlink ref="A36" r:id="rId7" xr:uid="{BFED328E-E0D2-4360-A3BF-C99ADEBBD28D}"/>
  </hyperlinks>
  <pageMargins left="0.7" right="0.7" top="0.75" bottom="0.75" header="0.3" footer="0.3"/>
  <pageSetup paperSize="9" orientation="portrait" horizontalDpi="0" verticalDpi="0"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7BB30-D73E-45A5-8BCD-1A87B73F5150}">
  <dimension ref="B3:J40"/>
  <sheetViews>
    <sheetView workbookViewId="0">
      <selection activeCell="C7" sqref="C7"/>
    </sheetView>
  </sheetViews>
  <sheetFormatPr defaultRowHeight="15" x14ac:dyDescent="0.25"/>
  <cols>
    <col min="2" max="2" width="32" bestFit="1" customWidth="1"/>
    <col min="3" max="3" width="15.85546875" bestFit="1" customWidth="1"/>
    <col min="5" max="7" width="10.7109375" bestFit="1" customWidth="1"/>
    <col min="9" max="9" width="15.85546875" bestFit="1" customWidth="1"/>
  </cols>
  <sheetData>
    <row r="3" spans="2:10" x14ac:dyDescent="0.25">
      <c r="B3" s="194" t="s">
        <v>220</v>
      </c>
      <c r="C3" s="179">
        <f>Projections!B35</f>
        <v>25634000</v>
      </c>
      <c r="J3" s="2"/>
    </row>
    <row r="4" spans="2:10" x14ac:dyDescent="0.25">
      <c r="B4" s="195" t="s">
        <v>238</v>
      </c>
      <c r="C4" s="179">
        <v>32</v>
      </c>
      <c r="J4" s="2"/>
    </row>
    <row r="5" spans="2:10" x14ac:dyDescent="0.25">
      <c r="B5" s="195" t="s">
        <v>239</v>
      </c>
      <c r="C5" s="177">
        <v>43892</v>
      </c>
      <c r="J5" s="2"/>
    </row>
    <row r="6" spans="2:10" x14ac:dyDescent="0.25">
      <c r="B6" s="195" t="s">
        <v>221</v>
      </c>
      <c r="C6" s="179">
        <v>7474</v>
      </c>
    </row>
    <row r="7" spans="2:10" x14ac:dyDescent="0.25">
      <c r="B7" s="195" t="s">
        <v>223</v>
      </c>
      <c r="C7" s="177">
        <f ca="1">NOW()</f>
        <v>44004.917079166669</v>
      </c>
    </row>
    <row r="8" spans="2:10" x14ac:dyDescent="0.25">
      <c r="B8" s="195" t="s">
        <v>240</v>
      </c>
      <c r="C8" s="178">
        <f ca="1">C7-C5</f>
        <v>112.91707916666928</v>
      </c>
    </row>
    <row r="9" spans="2:10" x14ac:dyDescent="0.25">
      <c r="B9" s="195" t="s">
        <v>222</v>
      </c>
      <c r="C9" s="180">
        <f ca="1">C8/(LOG(C6/C4)/LOG(2))</f>
        <v>14.352044900579227</v>
      </c>
      <c r="D9" t="s">
        <v>197</v>
      </c>
      <c r="F9" t="s">
        <v>241</v>
      </c>
    </row>
    <row r="10" spans="2:10" x14ac:dyDescent="0.25">
      <c r="B10" s="195" t="s">
        <v>227</v>
      </c>
      <c r="C10" s="179">
        <f>Projections!C39</f>
        <v>66648.400000000009</v>
      </c>
    </row>
    <row r="11" spans="2:10" x14ac:dyDescent="0.25">
      <c r="B11" s="196" t="s">
        <v>228</v>
      </c>
      <c r="C11" s="184">
        <f>Projections!C40</f>
        <v>1896.9159999999999</v>
      </c>
    </row>
    <row r="12" spans="2:10" s="81" customFormat="1" x14ac:dyDescent="0.25">
      <c r="B12" s="74" t="s">
        <v>275</v>
      </c>
      <c r="C12" s="185">
        <f>C6/Projections!B37</f>
        <v>7367.2285714285708</v>
      </c>
    </row>
    <row r="13" spans="2:10" s="81" customFormat="1" x14ac:dyDescent="0.25">
      <c r="B13" s="60" t="s">
        <v>276</v>
      </c>
      <c r="C13" s="186">
        <f ca="1">(C4/Projections!B37)*(2^(((C7-21)-C5)/C9))</f>
        <v>2671.9923528723762</v>
      </c>
    </row>
    <row r="14" spans="2:10" s="81" customFormat="1" x14ac:dyDescent="0.25">
      <c r="B14" s="61" t="s">
        <v>277</v>
      </c>
      <c r="C14" s="165">
        <f ca="1">C12-C13</f>
        <v>4695.2362185561942</v>
      </c>
      <c r="E14" s="182"/>
      <c r="F14" s="183" t="s">
        <v>245</v>
      </c>
      <c r="G14" s="181"/>
    </row>
    <row r="15" spans="2:10" x14ac:dyDescent="0.25">
      <c r="B15" s="16" t="s">
        <v>242</v>
      </c>
      <c r="C15" s="76">
        <f>C6*Projections!B41</f>
        <v>6876.08</v>
      </c>
      <c r="I15" s="176"/>
    </row>
    <row r="16" spans="2:10" x14ac:dyDescent="0.25">
      <c r="B16" s="53" t="s">
        <v>252</v>
      </c>
      <c r="C16" s="95">
        <f ca="1">(C4*Projections!B41)*(2^(((C7-21)-C5)/C9))</f>
        <v>2493.8595293475514</v>
      </c>
      <c r="I16" s="176"/>
    </row>
    <row r="17" spans="2:9" x14ac:dyDescent="0.25">
      <c r="B17" s="53" t="s">
        <v>243</v>
      </c>
      <c r="C17" s="95">
        <f ca="1">C15-C16</f>
        <v>4382.2204706524481</v>
      </c>
      <c r="F17" t="s">
        <v>246</v>
      </c>
      <c r="I17" s="176"/>
    </row>
    <row r="18" spans="2:9" x14ac:dyDescent="0.25">
      <c r="B18" s="16" t="s">
        <v>248</v>
      </c>
      <c r="C18" s="76">
        <f>C6*Projections!B42</f>
        <v>373.70000000000005</v>
      </c>
    </row>
    <row r="19" spans="2:9" x14ac:dyDescent="0.25">
      <c r="B19" s="53" t="s">
        <v>253</v>
      </c>
      <c r="C19" s="95">
        <f ca="1">(C4*Projections!B42)*(2^(((C7-49)-C5)/C9))</f>
        <v>35.055991372556278</v>
      </c>
    </row>
    <row r="20" spans="2:9" x14ac:dyDescent="0.25">
      <c r="B20" s="53" t="s">
        <v>247</v>
      </c>
      <c r="C20" s="95">
        <f ca="1">C18-C19</f>
        <v>338.64400862744378</v>
      </c>
      <c r="F20" t="s">
        <v>251</v>
      </c>
    </row>
    <row r="21" spans="2:9" x14ac:dyDescent="0.25">
      <c r="B21" s="16" t="s">
        <v>249</v>
      </c>
      <c r="C21" s="76">
        <f>C6*Projections!B43</f>
        <v>224.22</v>
      </c>
      <c r="I21" s="176"/>
    </row>
    <row r="22" spans="2:9" x14ac:dyDescent="0.25">
      <c r="B22" s="53" t="s">
        <v>254</v>
      </c>
      <c r="C22" s="95">
        <f ca="1">(C4*Projections!B43)*(2^(((C7-49)-C5)/C9))</f>
        <v>21.033594823533765</v>
      </c>
      <c r="I22" s="176"/>
    </row>
    <row r="23" spans="2:9" x14ac:dyDescent="0.25">
      <c r="B23" s="53" t="s">
        <v>250</v>
      </c>
      <c r="C23" s="95">
        <f ca="1">C21-C22</f>
        <v>203.18640517646622</v>
      </c>
      <c r="I23" s="176"/>
    </row>
    <row r="24" spans="2:9" x14ac:dyDescent="0.25">
      <c r="B24" s="16" t="s">
        <v>255</v>
      </c>
      <c r="C24" s="76">
        <f>C6*Projections!B44</f>
        <v>103.1412</v>
      </c>
    </row>
    <row r="25" spans="2:9" x14ac:dyDescent="0.25">
      <c r="B25" s="49" t="s">
        <v>256</v>
      </c>
      <c r="C25" s="73">
        <f ca="1">(C4*Projections!B44)*(2^(((C7-42)-C5)/C9))</f>
        <v>13.567327646240859</v>
      </c>
      <c r="F25" t="s">
        <v>257</v>
      </c>
    </row>
    <row r="26" spans="2:9" x14ac:dyDescent="0.25">
      <c r="B26" s="53" t="s">
        <v>233</v>
      </c>
      <c r="C26" s="189">
        <f ca="1">C9*(LOG(C10/C21)/LOG(2))</f>
        <v>117.90938938071127</v>
      </c>
      <c r="D26" t="s">
        <v>197</v>
      </c>
      <c r="F26" s="81" t="s">
        <v>258</v>
      </c>
    </row>
    <row r="27" spans="2:9" x14ac:dyDescent="0.25">
      <c r="B27" s="49" t="s">
        <v>229</v>
      </c>
      <c r="C27" s="188">
        <f ca="1">C7+C26</f>
        <v>44122.826468547384</v>
      </c>
      <c r="F27" t="s">
        <v>259</v>
      </c>
    </row>
    <row r="28" spans="2:9" x14ac:dyDescent="0.25">
      <c r="B28" s="16" t="s">
        <v>234</v>
      </c>
      <c r="C28" s="187">
        <f ca="1">C9*(LOG(C11/C21)/LOG(2))</f>
        <v>44.213898656405789</v>
      </c>
      <c r="D28" t="s">
        <v>197</v>
      </c>
    </row>
    <row r="29" spans="2:9" x14ac:dyDescent="0.25">
      <c r="B29" s="49" t="s">
        <v>230</v>
      </c>
      <c r="C29" s="188">
        <f ca="1">C7+C28</f>
        <v>44049.130977823072</v>
      </c>
      <c r="F29" t="s">
        <v>259</v>
      </c>
    </row>
    <row r="30" spans="2:9" x14ac:dyDescent="0.25">
      <c r="B30" s="16" t="s">
        <v>235</v>
      </c>
      <c r="C30" s="187">
        <f ca="1">C9*(LOG((C3*0.6)/C12)/LOG(2))</f>
        <v>158.26980730813665</v>
      </c>
      <c r="D30" t="s">
        <v>197</v>
      </c>
    </row>
    <row r="31" spans="2:9" x14ac:dyDescent="0.25">
      <c r="B31" s="49" t="s">
        <v>232</v>
      </c>
      <c r="C31" s="188">
        <f ca="1">C7+C30</f>
        <v>44163.186886474803</v>
      </c>
    </row>
    <row r="34" spans="2:6" x14ac:dyDescent="0.25">
      <c r="B34" s="16" t="s">
        <v>236</v>
      </c>
      <c r="C34" s="177">
        <f ca="1">C7+30</f>
        <v>44034.917079166669</v>
      </c>
      <c r="F34" t="s">
        <v>278</v>
      </c>
    </row>
    <row r="35" spans="2:6" x14ac:dyDescent="0.25">
      <c r="B35" s="53" t="s">
        <v>237</v>
      </c>
      <c r="C35" s="95">
        <f ca="1">C6*(2^((C34-C7)/C9))</f>
        <v>31826.906398407533</v>
      </c>
      <c r="F35" t="s">
        <v>244</v>
      </c>
    </row>
    <row r="36" spans="2:6" x14ac:dyDescent="0.25">
      <c r="B36" s="53" t="s">
        <v>231</v>
      </c>
      <c r="C36" s="95">
        <f ca="1">C35/Projections!B37</f>
        <v>31372.236307001709</v>
      </c>
    </row>
    <row r="37" spans="2:6" x14ac:dyDescent="0.25">
      <c r="B37" s="53" t="s">
        <v>172</v>
      </c>
      <c r="C37" s="95">
        <f ca="1">C35*Projections!B41</f>
        <v>29280.753886534931</v>
      </c>
    </row>
    <row r="38" spans="2:6" x14ac:dyDescent="0.25">
      <c r="B38" s="53" t="s">
        <v>224</v>
      </c>
      <c r="C38" s="95">
        <f ca="1">C35*Projections!B42</f>
        <v>1591.3453199203768</v>
      </c>
    </row>
    <row r="39" spans="2:6" x14ac:dyDescent="0.25">
      <c r="B39" s="53" t="s">
        <v>225</v>
      </c>
      <c r="C39" s="95">
        <f ca="1">C35*Projections!B43</f>
        <v>954.80719195222593</v>
      </c>
    </row>
    <row r="40" spans="2:6" x14ac:dyDescent="0.25">
      <c r="B40" s="49" t="s">
        <v>226</v>
      </c>
      <c r="C40" s="73">
        <f ca="1">C35*Projections!B44</f>
        <v>439.21130829802394</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2C88-CD5D-4DB8-876B-F718C1E8501B}">
  <dimension ref="A1:L108"/>
  <sheetViews>
    <sheetView workbookViewId="0">
      <selection activeCell="K15" sqref="A1:XFD1048576"/>
    </sheetView>
  </sheetViews>
  <sheetFormatPr defaultRowHeight="15" x14ac:dyDescent="0.25"/>
  <sheetData>
    <row r="1" spans="1:12" x14ac:dyDescent="0.25">
      <c r="A1" t="s">
        <v>129</v>
      </c>
      <c r="B1" t="s">
        <v>148</v>
      </c>
    </row>
    <row r="2" spans="1:12" x14ac:dyDescent="0.25">
      <c r="A2" s="6" t="s">
        <v>22</v>
      </c>
      <c r="B2" s="7">
        <v>302684</v>
      </c>
      <c r="L2" s="88"/>
    </row>
    <row r="3" spans="1:12" x14ac:dyDescent="0.25">
      <c r="A3" s="8" t="s">
        <v>23</v>
      </c>
      <c r="B3" s="9">
        <v>304818</v>
      </c>
      <c r="L3" s="88"/>
    </row>
    <row r="4" spans="1:12" x14ac:dyDescent="0.25">
      <c r="A4" s="8" t="s">
        <v>24</v>
      </c>
      <c r="B4" s="9">
        <v>311200</v>
      </c>
      <c r="L4" s="88"/>
    </row>
    <row r="5" spans="1:12" x14ac:dyDescent="0.25">
      <c r="A5" s="8" t="s">
        <v>25</v>
      </c>
      <c r="B5" s="9">
        <v>326896</v>
      </c>
      <c r="L5" s="88"/>
    </row>
    <row r="6" spans="1:12" x14ac:dyDescent="0.25">
      <c r="A6" s="8" t="s">
        <v>26</v>
      </c>
      <c r="B6" s="9">
        <v>321565</v>
      </c>
      <c r="L6" s="88"/>
    </row>
    <row r="7" spans="1:12" x14ac:dyDescent="0.25">
      <c r="A7" s="10" t="s">
        <v>27</v>
      </c>
      <c r="B7" s="11">
        <v>1567163</v>
      </c>
      <c r="L7" s="89"/>
    </row>
    <row r="8" spans="1:12" x14ac:dyDescent="0.25">
      <c r="A8" s="8" t="s">
        <v>28</v>
      </c>
      <c r="B8" s="9">
        <v>321643</v>
      </c>
      <c r="L8" s="88"/>
    </row>
    <row r="9" spans="1:12" x14ac:dyDescent="0.25">
      <c r="A9" s="8" t="s">
        <v>29</v>
      </c>
      <c r="B9" s="9">
        <v>326729</v>
      </c>
      <c r="L9" s="88"/>
    </row>
    <row r="10" spans="1:12" x14ac:dyDescent="0.25">
      <c r="A10" s="8" t="s">
        <v>30</v>
      </c>
      <c r="B10" s="9">
        <v>323562</v>
      </c>
      <c r="L10" s="88"/>
    </row>
    <row r="11" spans="1:12" x14ac:dyDescent="0.25">
      <c r="A11" s="8" t="s">
        <v>31</v>
      </c>
      <c r="B11" s="9">
        <v>322648</v>
      </c>
      <c r="L11" s="88"/>
    </row>
    <row r="12" spans="1:12" x14ac:dyDescent="0.25">
      <c r="A12" s="8" t="s">
        <v>32</v>
      </c>
      <c r="B12" s="9">
        <v>324065</v>
      </c>
      <c r="L12" s="88"/>
    </row>
    <row r="13" spans="1:12" x14ac:dyDescent="0.25">
      <c r="A13" s="12" t="s">
        <v>33</v>
      </c>
      <c r="B13" s="13">
        <v>1618647</v>
      </c>
      <c r="C13" s="2">
        <f>SUM(B7,B13)</f>
        <v>3185810</v>
      </c>
      <c r="D13" s="1">
        <f>C13/$B$108</f>
        <v>0.1255958322404806</v>
      </c>
      <c r="L13" s="89"/>
    </row>
    <row r="14" spans="1:12" x14ac:dyDescent="0.25">
      <c r="A14" s="6" t="s">
        <v>34</v>
      </c>
      <c r="B14" s="7">
        <v>319703</v>
      </c>
      <c r="L14" s="88"/>
    </row>
    <row r="15" spans="1:12" x14ac:dyDescent="0.25">
      <c r="A15" s="8" t="s">
        <v>35</v>
      </c>
      <c r="B15" s="9">
        <v>319972</v>
      </c>
      <c r="L15" s="88"/>
    </row>
    <row r="16" spans="1:12" x14ac:dyDescent="0.25">
      <c r="A16" s="8" t="s">
        <v>36</v>
      </c>
      <c r="B16" s="9">
        <v>316523</v>
      </c>
      <c r="L16" s="88"/>
    </row>
    <row r="17" spans="1:12" x14ac:dyDescent="0.25">
      <c r="A17" s="8" t="s">
        <v>37</v>
      </c>
      <c r="B17" s="9">
        <v>305472</v>
      </c>
      <c r="L17" s="88"/>
    </row>
    <row r="18" spans="1:12" x14ac:dyDescent="0.25">
      <c r="A18" s="8" t="s">
        <v>38</v>
      </c>
      <c r="B18" s="9">
        <v>294067</v>
      </c>
      <c r="L18" s="88"/>
    </row>
    <row r="19" spans="1:12" x14ac:dyDescent="0.25">
      <c r="A19" s="10" t="s">
        <v>39</v>
      </c>
      <c r="B19" s="11">
        <v>1555737</v>
      </c>
      <c r="L19" s="89"/>
    </row>
    <row r="20" spans="1:12" x14ac:dyDescent="0.25">
      <c r="A20" s="8" t="s">
        <v>40</v>
      </c>
      <c r="B20" s="9">
        <v>290601</v>
      </c>
      <c r="L20" s="88"/>
    </row>
    <row r="21" spans="1:12" x14ac:dyDescent="0.25">
      <c r="A21" s="8" t="s">
        <v>41</v>
      </c>
      <c r="B21" s="9">
        <v>288611</v>
      </c>
      <c r="L21" s="88"/>
    </row>
    <row r="22" spans="1:12" x14ac:dyDescent="0.25">
      <c r="A22" s="8" t="s">
        <v>42</v>
      </c>
      <c r="B22" s="9">
        <v>290316</v>
      </c>
      <c r="L22" s="88"/>
    </row>
    <row r="23" spans="1:12" x14ac:dyDescent="0.25">
      <c r="A23" s="8" t="s">
        <v>43</v>
      </c>
      <c r="B23" s="9">
        <v>307634</v>
      </c>
      <c r="L23" s="88"/>
    </row>
    <row r="24" spans="1:12" x14ac:dyDescent="0.25">
      <c r="A24" s="8" t="s">
        <v>44</v>
      </c>
      <c r="B24" s="9">
        <v>325295</v>
      </c>
      <c r="L24" s="88"/>
    </row>
    <row r="25" spans="1:12" x14ac:dyDescent="0.25">
      <c r="A25" s="12" t="s">
        <v>45</v>
      </c>
      <c r="B25" s="13">
        <v>1502457</v>
      </c>
      <c r="C25" s="2">
        <f>SUM(B25,B19)</f>
        <v>3058194</v>
      </c>
      <c r="D25" s="1">
        <f>C25/$B$108</f>
        <v>0.12056476079328157</v>
      </c>
      <c r="L25" s="89"/>
    </row>
    <row r="26" spans="1:12" x14ac:dyDescent="0.25">
      <c r="A26" s="6" t="s">
        <v>46</v>
      </c>
      <c r="B26" s="7">
        <v>330388</v>
      </c>
      <c r="L26" s="88"/>
    </row>
    <row r="27" spans="1:12" x14ac:dyDescent="0.25">
      <c r="A27" s="8" t="s">
        <v>47</v>
      </c>
      <c r="B27" s="9">
        <v>335483</v>
      </c>
      <c r="L27" s="88"/>
    </row>
    <row r="28" spans="1:12" x14ac:dyDescent="0.25">
      <c r="A28" s="8" t="s">
        <v>48</v>
      </c>
      <c r="B28" s="9">
        <v>347121</v>
      </c>
      <c r="L28" s="88"/>
    </row>
    <row r="29" spans="1:12" x14ac:dyDescent="0.25">
      <c r="A29" s="8" t="s">
        <v>49</v>
      </c>
      <c r="B29" s="9">
        <v>365323</v>
      </c>
      <c r="L29" s="88"/>
    </row>
    <row r="30" spans="1:12" x14ac:dyDescent="0.25">
      <c r="A30" s="8" t="s">
        <v>50</v>
      </c>
      <c r="B30" s="9">
        <v>380725</v>
      </c>
      <c r="L30" s="88"/>
    </row>
    <row r="31" spans="1:12" x14ac:dyDescent="0.25">
      <c r="A31" s="10" t="s">
        <v>51</v>
      </c>
      <c r="B31" s="11">
        <v>1759040</v>
      </c>
      <c r="L31" s="89"/>
    </row>
    <row r="32" spans="1:12" x14ac:dyDescent="0.25">
      <c r="A32" s="8" t="s">
        <v>52</v>
      </c>
      <c r="B32" s="9">
        <v>379564</v>
      </c>
      <c r="L32" s="88"/>
    </row>
    <row r="33" spans="1:12" x14ac:dyDescent="0.25">
      <c r="A33" s="8" t="s">
        <v>53</v>
      </c>
      <c r="B33" s="9">
        <v>376903</v>
      </c>
      <c r="L33" s="88"/>
    </row>
    <row r="34" spans="1:12" x14ac:dyDescent="0.25">
      <c r="A34" s="8" t="s">
        <v>54</v>
      </c>
      <c r="B34" s="9">
        <v>378326</v>
      </c>
      <c r="L34" s="88"/>
    </row>
    <row r="35" spans="1:12" x14ac:dyDescent="0.25">
      <c r="A35" s="8" t="s">
        <v>55</v>
      </c>
      <c r="B35" s="9">
        <v>384454</v>
      </c>
      <c r="L35" s="88"/>
    </row>
    <row r="36" spans="1:12" x14ac:dyDescent="0.25">
      <c r="A36" s="8" t="s">
        <v>56</v>
      </c>
      <c r="B36" s="9">
        <v>389152</v>
      </c>
      <c r="L36" s="88"/>
    </row>
    <row r="37" spans="1:12" x14ac:dyDescent="0.25">
      <c r="A37" s="12" t="s">
        <v>57</v>
      </c>
      <c r="B37" s="13">
        <v>1908399</v>
      </c>
      <c r="C37" s="2">
        <f>SUM(B31,B37)</f>
        <v>3667439</v>
      </c>
      <c r="D37" s="1">
        <f>C37/$B$108</f>
        <v>0.14458334093878666</v>
      </c>
      <c r="L37" s="89"/>
    </row>
    <row r="38" spans="1:12" x14ac:dyDescent="0.25">
      <c r="A38" s="6" t="s">
        <v>58</v>
      </c>
      <c r="B38" s="7">
        <v>381627</v>
      </c>
      <c r="L38" s="88"/>
    </row>
    <row r="39" spans="1:12" x14ac:dyDescent="0.25">
      <c r="A39" s="8" t="s">
        <v>59</v>
      </c>
      <c r="B39" s="9">
        <v>380703</v>
      </c>
      <c r="L39" s="88"/>
    </row>
    <row r="40" spans="1:12" x14ac:dyDescent="0.25">
      <c r="A40" s="8" t="s">
        <v>60</v>
      </c>
      <c r="B40" s="9">
        <v>376308</v>
      </c>
      <c r="L40" s="88"/>
    </row>
    <row r="41" spans="1:12" x14ac:dyDescent="0.25">
      <c r="A41" s="8" t="s">
        <v>61</v>
      </c>
      <c r="B41" s="9">
        <v>378900</v>
      </c>
      <c r="L41" s="88"/>
    </row>
    <row r="42" spans="1:12" x14ac:dyDescent="0.25">
      <c r="A42" s="8" t="s">
        <v>62</v>
      </c>
      <c r="B42" s="9">
        <v>374563</v>
      </c>
      <c r="L42" s="88"/>
    </row>
    <row r="43" spans="1:12" x14ac:dyDescent="0.25">
      <c r="A43" s="10" t="s">
        <v>63</v>
      </c>
      <c r="B43" s="11">
        <v>1892101</v>
      </c>
      <c r="L43" s="89"/>
    </row>
    <row r="44" spans="1:12" x14ac:dyDescent="0.25">
      <c r="A44" s="8" t="s">
        <v>64</v>
      </c>
      <c r="B44" s="9">
        <v>371946</v>
      </c>
      <c r="L44" s="88"/>
    </row>
    <row r="45" spans="1:12" x14ac:dyDescent="0.25">
      <c r="A45" s="8" t="s">
        <v>65</v>
      </c>
      <c r="B45" s="9">
        <v>368877</v>
      </c>
      <c r="L45" s="88"/>
    </row>
    <row r="46" spans="1:12" x14ac:dyDescent="0.25">
      <c r="A46" s="8" t="s">
        <v>66</v>
      </c>
      <c r="B46" s="9">
        <v>357736</v>
      </c>
      <c r="L46" s="88"/>
    </row>
    <row r="47" spans="1:12" x14ac:dyDescent="0.25">
      <c r="A47" s="8" t="s">
        <v>67</v>
      </c>
      <c r="B47" s="9">
        <v>348170</v>
      </c>
      <c r="L47" s="88"/>
    </row>
    <row r="48" spans="1:12" x14ac:dyDescent="0.25">
      <c r="A48" s="8" t="s">
        <v>68</v>
      </c>
      <c r="B48" s="9">
        <v>334445</v>
      </c>
      <c r="L48" s="88"/>
    </row>
    <row r="49" spans="1:12" x14ac:dyDescent="0.25">
      <c r="A49" s="12" t="s">
        <v>69</v>
      </c>
      <c r="B49" s="13">
        <v>1781174</v>
      </c>
      <c r="C49" s="2">
        <f>SUM(B43,B49)</f>
        <v>3673275</v>
      </c>
      <c r="D49" s="1">
        <f>C49/$B$108</f>
        <v>0.14481341657950456</v>
      </c>
      <c r="L49" s="89"/>
    </row>
    <row r="50" spans="1:12" x14ac:dyDescent="0.25">
      <c r="A50" s="6" t="s">
        <v>70</v>
      </c>
      <c r="B50" s="7">
        <v>324591</v>
      </c>
      <c r="L50" s="88"/>
    </row>
    <row r="51" spans="1:12" x14ac:dyDescent="0.25">
      <c r="A51" s="8" t="s">
        <v>71</v>
      </c>
      <c r="B51" s="9">
        <v>318448</v>
      </c>
      <c r="L51" s="88"/>
    </row>
    <row r="52" spans="1:12" x14ac:dyDescent="0.25">
      <c r="A52" s="8" t="s">
        <v>72</v>
      </c>
      <c r="B52" s="9">
        <v>315770</v>
      </c>
      <c r="L52" s="88"/>
    </row>
    <row r="53" spans="1:12" x14ac:dyDescent="0.25">
      <c r="A53" s="8" t="s">
        <v>73</v>
      </c>
      <c r="B53" s="9">
        <v>318107</v>
      </c>
      <c r="L53" s="88"/>
    </row>
    <row r="54" spans="1:12" x14ac:dyDescent="0.25">
      <c r="A54" s="8" t="s">
        <v>74</v>
      </c>
      <c r="B54" s="9">
        <v>318926</v>
      </c>
      <c r="L54" s="88"/>
    </row>
    <row r="55" spans="1:12" x14ac:dyDescent="0.25">
      <c r="A55" s="10" t="s">
        <v>75</v>
      </c>
      <c r="B55" s="11">
        <v>1595842</v>
      </c>
      <c r="L55" s="89"/>
    </row>
    <row r="56" spans="1:12" x14ac:dyDescent="0.25">
      <c r="A56" s="8" t="s">
        <v>76</v>
      </c>
      <c r="B56" s="9">
        <v>327436</v>
      </c>
      <c r="L56" s="88"/>
    </row>
    <row r="57" spans="1:12" x14ac:dyDescent="0.25">
      <c r="A57" s="8" t="s">
        <v>77</v>
      </c>
      <c r="B57" s="9">
        <v>332934</v>
      </c>
      <c r="L57" s="88"/>
    </row>
    <row r="58" spans="1:12" x14ac:dyDescent="0.25">
      <c r="A58" s="8" t="s">
        <v>78</v>
      </c>
      <c r="B58" s="9">
        <v>344168</v>
      </c>
      <c r="L58" s="88"/>
    </row>
    <row r="59" spans="1:12" x14ac:dyDescent="0.25">
      <c r="A59" s="8" t="s">
        <v>79</v>
      </c>
      <c r="B59" s="9">
        <v>347705</v>
      </c>
      <c r="L59" s="88"/>
    </row>
    <row r="60" spans="1:12" x14ac:dyDescent="0.25">
      <c r="A60" s="8" t="s">
        <v>80</v>
      </c>
      <c r="B60" s="9">
        <v>326172</v>
      </c>
      <c r="L60" s="88"/>
    </row>
    <row r="61" spans="1:12" x14ac:dyDescent="0.25">
      <c r="A61" s="12" t="s">
        <v>81</v>
      </c>
      <c r="B61" s="13">
        <v>1678415</v>
      </c>
      <c r="C61" s="2">
        <f>SUM(B55,B61)</f>
        <v>3274257</v>
      </c>
      <c r="D61" s="1">
        <f>C61/$B$108</f>
        <v>0.12908272398046944</v>
      </c>
      <c r="L61" s="89"/>
    </row>
    <row r="62" spans="1:12" x14ac:dyDescent="0.25">
      <c r="A62" s="6" t="s">
        <v>82</v>
      </c>
      <c r="B62" s="7">
        <v>320460</v>
      </c>
      <c r="L62" s="88"/>
    </row>
    <row r="63" spans="1:12" x14ac:dyDescent="0.25">
      <c r="A63" s="8" t="s">
        <v>83</v>
      </c>
      <c r="B63" s="9">
        <v>310043</v>
      </c>
      <c r="L63" s="88"/>
    </row>
    <row r="64" spans="1:12" x14ac:dyDescent="0.25">
      <c r="A64" s="8" t="s">
        <v>84</v>
      </c>
      <c r="B64" s="9">
        <v>301380</v>
      </c>
      <c r="L64" s="88"/>
    </row>
    <row r="65" spans="1:12" x14ac:dyDescent="0.25">
      <c r="A65" s="8" t="s">
        <v>85</v>
      </c>
      <c r="B65" s="9">
        <v>301965</v>
      </c>
      <c r="L65" s="88"/>
    </row>
    <row r="66" spans="1:12" x14ac:dyDescent="0.25">
      <c r="A66" s="8" t="s">
        <v>86</v>
      </c>
      <c r="B66" s="9">
        <v>300916</v>
      </c>
      <c r="L66" s="88"/>
    </row>
    <row r="67" spans="1:12" x14ac:dyDescent="0.25">
      <c r="A67" s="10" t="s">
        <v>87</v>
      </c>
      <c r="B67" s="11">
        <v>1534764</v>
      </c>
      <c r="L67" s="89"/>
    </row>
    <row r="68" spans="1:12" x14ac:dyDescent="0.25">
      <c r="A68" s="8" t="s">
        <v>88</v>
      </c>
      <c r="B68" s="9">
        <v>311890</v>
      </c>
      <c r="L68" s="88"/>
    </row>
    <row r="69" spans="1:12" x14ac:dyDescent="0.25">
      <c r="A69" s="8" t="s">
        <v>89</v>
      </c>
      <c r="B69" s="9">
        <v>313933</v>
      </c>
      <c r="L69" s="88"/>
    </row>
    <row r="70" spans="1:12" x14ac:dyDescent="0.25">
      <c r="A70" s="8" t="s">
        <v>90</v>
      </c>
      <c r="B70" s="9">
        <v>311527</v>
      </c>
      <c r="L70" s="88"/>
    </row>
    <row r="71" spans="1:12" x14ac:dyDescent="0.25">
      <c r="A71" s="8" t="s">
        <v>91</v>
      </c>
      <c r="B71" s="9">
        <v>309248</v>
      </c>
      <c r="L71" s="88"/>
    </row>
    <row r="72" spans="1:12" x14ac:dyDescent="0.25">
      <c r="A72" s="8" t="s">
        <v>92</v>
      </c>
      <c r="B72" s="9">
        <v>298726</v>
      </c>
      <c r="L72" s="88"/>
    </row>
    <row r="73" spans="1:12" x14ac:dyDescent="0.25">
      <c r="A73" s="14" t="s">
        <v>93</v>
      </c>
      <c r="B73" s="15">
        <v>1545324</v>
      </c>
      <c r="C73" s="2">
        <f>SUM(B67,B73)</f>
        <v>3080088</v>
      </c>
      <c r="D73" s="1">
        <f>C73/$B$108</f>
        <v>0.12142789925761971</v>
      </c>
      <c r="L73" s="89"/>
    </row>
    <row r="74" spans="1:12" x14ac:dyDescent="0.25">
      <c r="A74" s="6" t="s">
        <v>94</v>
      </c>
      <c r="B74" s="7">
        <v>290624</v>
      </c>
      <c r="L74" s="88"/>
    </row>
    <row r="75" spans="1:12" x14ac:dyDescent="0.25">
      <c r="A75" s="8" t="s">
        <v>95</v>
      </c>
      <c r="B75" s="9">
        <v>285521</v>
      </c>
      <c r="L75" s="88"/>
    </row>
    <row r="76" spans="1:12" x14ac:dyDescent="0.25">
      <c r="A76" s="8" t="s">
        <v>96</v>
      </c>
      <c r="B76" s="9">
        <v>277305</v>
      </c>
      <c r="L76" s="88"/>
    </row>
    <row r="77" spans="1:12" x14ac:dyDescent="0.25">
      <c r="A77" s="8" t="s">
        <v>97</v>
      </c>
      <c r="B77" s="9">
        <v>272986</v>
      </c>
      <c r="L77" s="88"/>
    </row>
    <row r="78" spans="1:12" x14ac:dyDescent="0.25">
      <c r="A78" s="8" t="s">
        <v>98</v>
      </c>
      <c r="B78" s="9">
        <v>261893</v>
      </c>
      <c r="L78" s="88"/>
    </row>
    <row r="79" spans="1:12" x14ac:dyDescent="0.25">
      <c r="A79" s="10" t="s">
        <v>99</v>
      </c>
      <c r="B79" s="11">
        <v>1388329</v>
      </c>
      <c r="L79" s="89"/>
    </row>
    <row r="80" spans="1:12" x14ac:dyDescent="0.25">
      <c r="A80" s="8" t="s">
        <v>100</v>
      </c>
      <c r="B80" s="9">
        <v>254839</v>
      </c>
      <c r="L80" s="88"/>
    </row>
    <row r="81" spans="1:12" x14ac:dyDescent="0.25">
      <c r="A81" s="8" t="s">
        <v>101</v>
      </c>
      <c r="B81" s="9">
        <v>251416</v>
      </c>
      <c r="L81" s="88"/>
    </row>
    <row r="82" spans="1:12" x14ac:dyDescent="0.25">
      <c r="A82" s="8" t="s">
        <v>102</v>
      </c>
      <c r="B82" s="9">
        <v>243468</v>
      </c>
      <c r="L82" s="88"/>
    </row>
    <row r="83" spans="1:12" x14ac:dyDescent="0.25">
      <c r="A83" s="8" t="s">
        <v>103</v>
      </c>
      <c r="B83" s="9">
        <v>240724</v>
      </c>
      <c r="L83" s="88"/>
    </row>
    <row r="84" spans="1:12" x14ac:dyDescent="0.25">
      <c r="A84" s="8" t="s">
        <v>104</v>
      </c>
      <c r="B84" s="9">
        <v>234326</v>
      </c>
      <c r="L84" s="88"/>
    </row>
    <row r="85" spans="1:12" x14ac:dyDescent="0.25">
      <c r="A85" s="12" t="s">
        <v>105</v>
      </c>
      <c r="B85" s="13">
        <v>1224773</v>
      </c>
      <c r="C85" s="2">
        <f>SUM(B79,B85)</f>
        <v>2613102</v>
      </c>
      <c r="D85" s="1">
        <f>C85/$B$108</f>
        <v>0.10301766910746854</v>
      </c>
      <c r="L85" s="89"/>
    </row>
    <row r="86" spans="1:12" x14ac:dyDescent="0.25">
      <c r="A86" s="6" t="s">
        <v>106</v>
      </c>
      <c r="B86" s="7">
        <v>226082</v>
      </c>
      <c r="L86" s="88"/>
    </row>
    <row r="87" spans="1:12" x14ac:dyDescent="0.25">
      <c r="A87" s="8" t="s">
        <v>107</v>
      </c>
      <c r="B87" s="9">
        <v>226412</v>
      </c>
      <c r="L87" s="88"/>
    </row>
    <row r="88" spans="1:12" x14ac:dyDescent="0.25">
      <c r="A88" s="8" t="s">
        <v>108</v>
      </c>
      <c r="B88" s="9">
        <v>231019</v>
      </c>
      <c r="L88" s="88"/>
    </row>
    <row r="89" spans="1:12" x14ac:dyDescent="0.25">
      <c r="A89" s="8" t="s">
        <v>109</v>
      </c>
      <c r="B89" s="9">
        <v>192937</v>
      </c>
      <c r="L89" s="88"/>
    </row>
    <row r="90" spans="1:12" x14ac:dyDescent="0.25">
      <c r="A90" s="8" t="s">
        <v>110</v>
      </c>
      <c r="B90" s="9">
        <v>181454</v>
      </c>
      <c r="L90" s="88"/>
    </row>
    <row r="91" spans="1:12" x14ac:dyDescent="0.25">
      <c r="A91" s="10" t="s">
        <v>111</v>
      </c>
      <c r="B91" s="11">
        <v>1057904</v>
      </c>
      <c r="L91" s="89"/>
    </row>
    <row r="92" spans="1:12" x14ac:dyDescent="0.25">
      <c r="A92" s="8" t="s">
        <v>112</v>
      </c>
      <c r="B92" s="9">
        <v>171139</v>
      </c>
      <c r="L92" s="88"/>
    </row>
    <row r="93" spans="1:12" x14ac:dyDescent="0.25">
      <c r="A93" s="8" t="s">
        <v>113</v>
      </c>
      <c r="B93" s="9">
        <v>151876</v>
      </c>
      <c r="L93" s="88"/>
    </row>
    <row r="94" spans="1:12" x14ac:dyDescent="0.25">
      <c r="A94" s="8" t="s">
        <v>114</v>
      </c>
      <c r="B94" s="9">
        <v>148212</v>
      </c>
      <c r="L94" s="88"/>
    </row>
    <row r="95" spans="1:12" x14ac:dyDescent="0.25">
      <c r="A95" s="8" t="s">
        <v>115</v>
      </c>
      <c r="B95" s="9">
        <v>135541</v>
      </c>
      <c r="L95" s="88"/>
    </row>
    <row r="96" spans="1:12" x14ac:dyDescent="0.25">
      <c r="A96" s="8" t="s">
        <v>116</v>
      </c>
      <c r="B96" s="9">
        <v>127491</v>
      </c>
      <c r="L96" s="88"/>
    </row>
    <row r="97" spans="1:12" x14ac:dyDescent="0.25">
      <c r="A97" s="12" t="s">
        <v>117</v>
      </c>
      <c r="B97" s="13">
        <v>734259</v>
      </c>
      <c r="C97" s="2">
        <f>SUM(B91,B97)</f>
        <v>1792163</v>
      </c>
      <c r="D97" s="1">
        <f>C97/$B$108</f>
        <v>7.065336711718416E-2</v>
      </c>
      <c r="L97" s="89"/>
    </row>
    <row r="98" spans="1:12" x14ac:dyDescent="0.25">
      <c r="A98" s="6" t="s">
        <v>118</v>
      </c>
      <c r="B98" s="7">
        <v>118484</v>
      </c>
      <c r="L98" s="88"/>
    </row>
    <row r="99" spans="1:12" x14ac:dyDescent="0.25">
      <c r="A99" s="8" t="s">
        <v>119</v>
      </c>
      <c r="B99" s="9">
        <v>109564</v>
      </c>
      <c r="L99" s="88"/>
    </row>
    <row r="100" spans="1:12" x14ac:dyDescent="0.25">
      <c r="A100" s="8" t="s">
        <v>120</v>
      </c>
      <c r="B100" s="9">
        <v>101897</v>
      </c>
      <c r="L100" s="88"/>
    </row>
    <row r="101" spans="1:12" x14ac:dyDescent="0.25">
      <c r="A101" s="8" t="s">
        <v>121</v>
      </c>
      <c r="B101" s="9">
        <v>93053</v>
      </c>
      <c r="L101" s="88"/>
    </row>
    <row r="102" spans="1:12" x14ac:dyDescent="0.25">
      <c r="A102" s="8" t="s">
        <v>122</v>
      </c>
      <c r="B102" s="9">
        <v>82541</v>
      </c>
      <c r="L102" s="88"/>
    </row>
    <row r="103" spans="1:12" x14ac:dyDescent="0.25">
      <c r="A103" s="10" t="s">
        <v>123</v>
      </c>
      <c r="B103" s="11">
        <v>505539</v>
      </c>
      <c r="L103" s="89"/>
    </row>
    <row r="104" spans="1:12" x14ac:dyDescent="0.25">
      <c r="A104" s="10" t="s">
        <v>124</v>
      </c>
      <c r="B104" s="11">
        <v>313008</v>
      </c>
      <c r="L104" s="89"/>
    </row>
    <row r="105" spans="1:12" x14ac:dyDescent="0.25">
      <c r="A105" s="10" t="s">
        <v>125</v>
      </c>
      <c r="B105" s="11">
        <v>153468</v>
      </c>
      <c r="L105" s="89"/>
    </row>
    <row r="106" spans="1:12" x14ac:dyDescent="0.25">
      <c r="A106" s="10" t="s">
        <v>126</v>
      </c>
      <c r="B106" s="11">
        <v>44201</v>
      </c>
      <c r="L106" s="89"/>
    </row>
    <row r="107" spans="1:12" x14ac:dyDescent="0.25">
      <c r="A107" s="12" t="s">
        <v>127</v>
      </c>
      <c r="B107" s="13">
        <v>5027</v>
      </c>
      <c r="C107" s="2">
        <f>SUM(B103:B107)</f>
        <v>1021243</v>
      </c>
      <c r="D107" s="1">
        <f>C107/$B$108</f>
        <v>4.0260989985204748E-2</v>
      </c>
      <c r="L107" s="89"/>
    </row>
    <row r="108" spans="1:12" x14ac:dyDescent="0.25">
      <c r="A108" s="4" t="s">
        <v>128</v>
      </c>
      <c r="B108" s="5">
        <v>25365571</v>
      </c>
      <c r="L108" s="9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962B-7328-4DB7-BA18-91B67DBDE574}">
  <dimension ref="A1:J29"/>
  <sheetViews>
    <sheetView workbookViewId="0">
      <selection activeCell="F37" sqref="F37"/>
    </sheetView>
  </sheetViews>
  <sheetFormatPr defaultRowHeight="15" x14ac:dyDescent="0.25"/>
  <cols>
    <col min="1" max="1" width="9.7109375" bestFit="1" customWidth="1"/>
  </cols>
  <sheetData>
    <row r="1" spans="1:5" x14ac:dyDescent="0.25">
      <c r="A1" s="278">
        <v>43985</v>
      </c>
    </row>
    <row r="2" spans="1:5" x14ac:dyDescent="0.25">
      <c r="A2" t="s">
        <v>302</v>
      </c>
    </row>
    <row r="3" spans="1:5" x14ac:dyDescent="0.25">
      <c r="A3" t="s">
        <v>136</v>
      </c>
      <c r="B3" t="s">
        <v>300</v>
      </c>
      <c r="C3" t="s">
        <v>301</v>
      </c>
      <c r="D3" t="s">
        <v>137</v>
      </c>
      <c r="E3" t="s">
        <v>138</v>
      </c>
    </row>
    <row r="4" spans="1:5" x14ac:dyDescent="0.25">
      <c r="A4" s="53" t="s">
        <v>13</v>
      </c>
      <c r="B4" s="28">
        <v>128</v>
      </c>
      <c r="C4" s="28">
        <v>114</v>
      </c>
      <c r="D4">
        <f>SUM(B4:C4)</f>
        <v>242</v>
      </c>
      <c r="E4" s="3">
        <f t="shared" ref="E4:E12" si="0">D4/$D$14</f>
        <v>3.372352285395764E-2</v>
      </c>
    </row>
    <row r="5" spans="1:5" x14ac:dyDescent="0.25">
      <c r="A5" s="53" t="s">
        <v>14</v>
      </c>
      <c r="B5" s="28">
        <v>417</v>
      </c>
      <c r="C5" s="28">
        <v>338</v>
      </c>
      <c r="D5">
        <f t="shared" ref="D5:D12" si="1">SUM(B5:C5)</f>
        <v>755</v>
      </c>
      <c r="E5" s="3">
        <f t="shared" si="0"/>
        <v>0.10521181716833891</v>
      </c>
    </row>
    <row r="6" spans="1:5" x14ac:dyDescent="0.25">
      <c r="A6" s="53" t="s">
        <v>15</v>
      </c>
      <c r="B6" s="28">
        <v>587</v>
      </c>
      <c r="C6" s="28">
        <v>578</v>
      </c>
      <c r="D6">
        <f t="shared" si="1"/>
        <v>1165</v>
      </c>
      <c r="E6" s="3">
        <f t="shared" si="0"/>
        <v>0.16234671125975475</v>
      </c>
    </row>
    <row r="7" spans="1:5" x14ac:dyDescent="0.25">
      <c r="A7" s="53" t="s">
        <v>16</v>
      </c>
      <c r="B7" s="59">
        <v>555</v>
      </c>
      <c r="C7" s="59">
        <v>577</v>
      </c>
      <c r="D7">
        <f t="shared" si="1"/>
        <v>1132</v>
      </c>
      <c r="E7" s="3">
        <f t="shared" si="0"/>
        <v>0.15774804905239687</v>
      </c>
    </row>
    <row r="8" spans="1:5" x14ac:dyDescent="0.25">
      <c r="A8" s="53" t="s">
        <v>17</v>
      </c>
      <c r="B8" s="59">
        <v>518</v>
      </c>
      <c r="C8" s="59">
        <v>396</v>
      </c>
      <c r="D8">
        <f t="shared" si="1"/>
        <v>914</v>
      </c>
      <c r="E8" s="3">
        <f t="shared" si="0"/>
        <v>0.1273690078037904</v>
      </c>
    </row>
    <row r="9" spans="1:5" x14ac:dyDescent="0.25">
      <c r="A9" s="53" t="s">
        <v>18</v>
      </c>
      <c r="B9" s="59">
        <v>599</v>
      </c>
      <c r="C9" s="59">
        <v>542</v>
      </c>
      <c r="D9">
        <f t="shared" si="1"/>
        <v>1141</v>
      </c>
      <c r="E9" s="3">
        <f t="shared" si="0"/>
        <v>0.15900222965440355</v>
      </c>
    </row>
    <row r="10" spans="1:5" x14ac:dyDescent="0.25">
      <c r="A10" s="53" t="s">
        <v>19</v>
      </c>
      <c r="B10" s="59">
        <v>675</v>
      </c>
      <c r="C10" s="59">
        <v>817</v>
      </c>
      <c r="D10">
        <f t="shared" si="1"/>
        <v>1492</v>
      </c>
      <c r="E10" s="3">
        <f t="shared" si="0"/>
        <v>0.20791527313266445</v>
      </c>
    </row>
    <row r="11" spans="1:5" ht="15.75" customHeight="1" x14ac:dyDescent="0.25">
      <c r="A11" s="54" t="s">
        <v>20</v>
      </c>
      <c r="B11" s="286">
        <v>118</v>
      </c>
      <c r="C11" s="286">
        <v>115</v>
      </c>
      <c r="D11">
        <f t="shared" si="1"/>
        <v>233</v>
      </c>
      <c r="E11" s="3">
        <f t="shared" si="0"/>
        <v>3.2469342251950944E-2</v>
      </c>
    </row>
    <row r="12" spans="1:5" x14ac:dyDescent="0.25">
      <c r="A12" s="54" t="s">
        <v>21</v>
      </c>
      <c r="B12" s="286">
        <v>52</v>
      </c>
      <c r="C12" s="286">
        <v>50</v>
      </c>
      <c r="D12">
        <f t="shared" si="1"/>
        <v>102</v>
      </c>
      <c r="E12" s="3">
        <f t="shared" si="0"/>
        <v>1.4214046822742474E-2</v>
      </c>
    </row>
    <row r="14" spans="1:5" x14ac:dyDescent="0.25">
      <c r="A14" t="s">
        <v>139</v>
      </c>
      <c r="D14">
        <f>SUM(D4:D12)</f>
        <v>7176</v>
      </c>
    </row>
    <row r="16" spans="1:5" x14ac:dyDescent="0.25">
      <c r="A16" t="s">
        <v>226</v>
      </c>
    </row>
    <row r="17" spans="1:10" x14ac:dyDescent="0.25">
      <c r="A17" t="s">
        <v>136</v>
      </c>
      <c r="B17" t="s">
        <v>300</v>
      </c>
      <c r="C17" t="s">
        <v>301</v>
      </c>
      <c r="D17" t="s">
        <v>226</v>
      </c>
      <c r="E17" t="s">
        <v>138</v>
      </c>
      <c r="F17" t="s">
        <v>3</v>
      </c>
      <c r="H17" s="287" t="s">
        <v>303</v>
      </c>
      <c r="I17" s="194" t="s">
        <v>304</v>
      </c>
      <c r="J17" s="194" t="s">
        <v>305</v>
      </c>
    </row>
    <row r="18" spans="1:10" x14ac:dyDescent="0.25">
      <c r="A18" s="53" t="s">
        <v>13</v>
      </c>
      <c r="B18" s="28">
        <v>27</v>
      </c>
      <c r="C18" s="28">
        <v>28</v>
      </c>
      <c r="D18">
        <f>SUM(B18:C18)</f>
        <v>55</v>
      </c>
      <c r="E18" s="3">
        <f>D18/$D$28</f>
        <v>0.53921568627450978</v>
      </c>
      <c r="F18" s="3">
        <f>D18/D4</f>
        <v>0.22727272727272727</v>
      </c>
      <c r="H18" s="288">
        <v>0.14799999999999999</v>
      </c>
      <c r="I18" s="288">
        <v>0.20200000000000001</v>
      </c>
      <c r="J18" s="288">
        <v>0.156</v>
      </c>
    </row>
    <row r="19" spans="1:10" x14ac:dyDescent="0.25">
      <c r="A19" s="53" t="s">
        <v>14</v>
      </c>
      <c r="B19" s="28">
        <v>22</v>
      </c>
      <c r="C19" s="28">
        <v>12</v>
      </c>
      <c r="D19">
        <f t="shared" ref="D19:D26" si="2">SUM(B19:C19)</f>
        <v>34</v>
      </c>
      <c r="E19" s="3">
        <f t="shared" ref="E19:E26" si="3">D19/$D$28</f>
        <v>0.33333333333333331</v>
      </c>
      <c r="F19" s="3">
        <f t="shared" ref="F19:F26" si="4">D19/D5</f>
        <v>4.5033112582781455E-2</v>
      </c>
      <c r="H19" s="289">
        <v>0.08</v>
      </c>
      <c r="I19" s="289">
        <v>0.128</v>
      </c>
      <c r="J19" s="289">
        <v>4.8000000000000001E-2</v>
      </c>
    </row>
    <row r="20" spans="1:10" x14ac:dyDescent="0.25">
      <c r="A20" s="53" t="s">
        <v>15</v>
      </c>
      <c r="B20" s="28">
        <v>6</v>
      </c>
      <c r="C20" s="28">
        <v>4</v>
      </c>
      <c r="D20">
        <f t="shared" si="2"/>
        <v>10</v>
      </c>
      <c r="E20" s="3">
        <f t="shared" si="3"/>
        <v>9.8039215686274508E-2</v>
      </c>
      <c r="F20" s="3">
        <f t="shared" si="4"/>
        <v>8.5836909871244635E-3</v>
      </c>
      <c r="H20" s="289">
        <v>3.5999999999999997E-2</v>
      </c>
      <c r="I20" s="289">
        <v>3.5000000000000003E-2</v>
      </c>
      <c r="J20" s="289">
        <v>1.9E-2</v>
      </c>
    </row>
    <row r="21" spans="1:10" x14ac:dyDescent="0.25">
      <c r="A21" s="53" t="s">
        <v>16</v>
      </c>
      <c r="B21" s="59">
        <v>1</v>
      </c>
      <c r="C21" s="59">
        <v>1</v>
      </c>
      <c r="D21">
        <f t="shared" si="2"/>
        <v>2</v>
      </c>
      <c r="E21" s="3">
        <f t="shared" si="3"/>
        <v>1.9607843137254902E-2</v>
      </c>
      <c r="F21" s="3">
        <f>D21/D7</f>
        <v>1.7667844522968198E-3</v>
      </c>
      <c r="H21" s="289">
        <v>1.2999999999999999E-2</v>
      </c>
      <c r="I21" s="289">
        <v>0.01</v>
      </c>
      <c r="J21" s="289">
        <v>4.0000000000000001E-3</v>
      </c>
    </row>
    <row r="22" spans="1:10" x14ac:dyDescent="0.25">
      <c r="A22" s="53" t="s">
        <v>17</v>
      </c>
      <c r="B22" s="59">
        <v>1</v>
      </c>
      <c r="C22" s="59">
        <v>0</v>
      </c>
      <c r="D22">
        <f t="shared" si="2"/>
        <v>1</v>
      </c>
      <c r="E22" s="3">
        <f t="shared" si="3"/>
        <v>9.8039215686274508E-3</v>
      </c>
      <c r="F22" s="3">
        <f t="shared" si="4"/>
        <v>1.0940919037199124E-3</v>
      </c>
      <c r="H22" s="289">
        <v>4.0000000000000001E-3</v>
      </c>
      <c r="I22" s="289">
        <v>4.0000000000000001E-3</v>
      </c>
      <c r="J22" s="289">
        <v>3.0000000000000001E-3</v>
      </c>
    </row>
    <row r="23" spans="1:10" x14ac:dyDescent="0.25">
      <c r="A23" s="53" t="s">
        <v>18</v>
      </c>
      <c r="B23" s="59">
        <v>0</v>
      </c>
      <c r="C23" s="59">
        <v>0</v>
      </c>
      <c r="D23">
        <f t="shared" si="2"/>
        <v>0</v>
      </c>
      <c r="E23" s="3">
        <f t="shared" si="3"/>
        <v>0</v>
      </c>
      <c r="F23" s="3">
        <f t="shared" si="4"/>
        <v>0</v>
      </c>
      <c r="H23" s="289">
        <v>2E-3</v>
      </c>
      <c r="I23" s="289">
        <v>3.0000000000000001E-3</v>
      </c>
      <c r="J23" s="289">
        <v>1.4E-3</v>
      </c>
    </row>
    <row r="24" spans="1:10" x14ac:dyDescent="0.25">
      <c r="A24" s="53" t="s">
        <v>19</v>
      </c>
      <c r="B24" s="59">
        <v>0</v>
      </c>
      <c r="C24" s="59">
        <v>0</v>
      </c>
      <c r="D24">
        <f t="shared" si="2"/>
        <v>0</v>
      </c>
      <c r="E24" s="3">
        <f t="shared" si="3"/>
        <v>0</v>
      </c>
      <c r="F24" s="3">
        <f t="shared" si="4"/>
        <v>0</v>
      </c>
      <c r="H24" s="289">
        <v>2E-3</v>
      </c>
      <c r="I24" s="289">
        <v>0</v>
      </c>
      <c r="J24" s="289">
        <v>2.2000000000000001E-3</v>
      </c>
    </row>
    <row r="25" spans="1:10" x14ac:dyDescent="0.25">
      <c r="A25" s="54" t="s">
        <v>20</v>
      </c>
      <c r="B25" s="286">
        <v>0</v>
      </c>
      <c r="C25" s="286">
        <v>0</v>
      </c>
      <c r="D25">
        <f t="shared" si="2"/>
        <v>0</v>
      </c>
      <c r="E25" s="3">
        <f t="shared" si="3"/>
        <v>0</v>
      </c>
      <c r="F25" s="3">
        <f t="shared" si="4"/>
        <v>0</v>
      </c>
      <c r="H25" s="289">
        <v>2E-3</v>
      </c>
      <c r="I25" s="289">
        <v>0</v>
      </c>
      <c r="J25" s="289">
        <v>0</v>
      </c>
    </row>
    <row r="26" spans="1:10" x14ac:dyDescent="0.25">
      <c r="A26" s="54" t="s">
        <v>21</v>
      </c>
      <c r="B26" s="286">
        <v>0</v>
      </c>
      <c r="C26" s="286">
        <v>0</v>
      </c>
      <c r="D26">
        <f t="shared" si="2"/>
        <v>0</v>
      </c>
      <c r="E26" s="3">
        <f t="shared" si="3"/>
        <v>0</v>
      </c>
      <c r="F26" s="3">
        <f t="shared" si="4"/>
        <v>0</v>
      </c>
      <c r="H26" s="290">
        <v>0</v>
      </c>
      <c r="I26" s="290">
        <v>0</v>
      </c>
      <c r="J26" s="290">
        <v>0</v>
      </c>
    </row>
    <row r="28" spans="1:10" x14ac:dyDescent="0.25">
      <c r="A28" t="s">
        <v>139</v>
      </c>
      <c r="B28">
        <f t="shared" ref="B28:C28" si="5">SUM(B18:B26)</f>
        <v>57</v>
      </c>
      <c r="C28">
        <f t="shared" si="5"/>
        <v>45</v>
      </c>
      <c r="D28">
        <f>SUM(D18:D26)</f>
        <v>102</v>
      </c>
    </row>
    <row r="29" spans="1:10" x14ac:dyDescent="0.25">
      <c r="B29" s="3">
        <f>B28/D28</f>
        <v>0.55882352941176472</v>
      </c>
      <c r="C29" s="3">
        <f>C28/D28</f>
        <v>0.44117647058823528</v>
      </c>
    </row>
  </sheetData>
  <hyperlinks>
    <hyperlink ref="H17" r:id="rId1" location="case-fatality-rate-of-covid-19-by-age" display="Initial Chinese mortality" xr:uid="{0A2D38F3-CFFD-4A54-9984-E798414EC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Projections</vt:lpstr>
      <vt:lpstr>What if</vt:lpstr>
      <vt:lpstr>ABS Population by Age Range</vt:lpstr>
      <vt:lpstr>AU Infection Rate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2020-03-15T05:45:04Z</dcterms:created>
  <dcterms:modified xsi:type="dcterms:W3CDTF">2020-06-22T12:00:36Z</dcterms:modified>
</cp:coreProperties>
</file>