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D31BAE2A-FAFC-440B-B7A8-B905A4451BA7}"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95" i="1" l="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AH68" i="1" s="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F136" i="1"/>
  <c r="AH135" i="1"/>
  <c r="AH124" i="1"/>
  <c r="AH136" i="1" s="1"/>
  <c r="AE135" i="1"/>
  <c r="AE124" i="1"/>
  <c r="AE136" i="1" s="1"/>
  <c r="AH119" i="1"/>
  <c r="AK123" i="1"/>
  <c r="AF119" i="1"/>
  <c r="AF75" i="1"/>
  <c r="AF74" i="1"/>
  <c r="AF124" i="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<sst xmlns="http://schemas.openxmlformats.org/spreadsheetml/2006/main" count="445" uniqueCount="350">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</sst>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9" fillId="8" borderId="14" xfId="0" applyNumberFormat="1" applyFon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57.446808510638306</c:v>
                </c:pt>
                <c:pt idx="1">
                  <c:v>114.89361702127661</c:v>
                </c:pt>
                <c:pt idx="2">
                  <c:v>229.78723404255322</c:v>
                </c:pt>
                <c:pt idx="3">
                  <c:v>459.57446808510645</c:v>
                </c:pt>
                <c:pt idx="4">
                  <c:v>919.14893617021289</c:v>
                </c:pt>
                <c:pt idx="5">
                  <c:v>1838.2978723404258</c:v>
                </c:pt>
                <c:pt idx="6">
                  <c:v>3676.5957446808516</c:v>
                </c:pt>
                <c:pt idx="7">
                  <c:v>7353.1914893617031</c:v>
                </c:pt>
                <c:pt idx="8">
                  <c:v>14706.382978723406</c:v>
                </c:pt>
                <c:pt idx="9">
                  <c:v>29412.765957446813</c:v>
                </c:pt>
                <c:pt idx="10">
                  <c:v>58825.531914893625</c:v>
                </c:pt>
                <c:pt idx="11">
                  <c:v>117651.06382978725</c:v>
                </c:pt>
                <c:pt idx="12">
                  <c:v>235302.1276595745</c:v>
                </c:pt>
                <c:pt idx="13">
                  <c:v>470604.255319149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42.553191489361694</c:v>
                </c:pt>
                <c:pt idx="4">
                  <c:v>85.106382978723389</c:v>
                </c:pt>
                <c:pt idx="5">
                  <c:v>170.21276595744678</c:v>
                </c:pt>
                <c:pt idx="6">
                  <c:v>340.42553191489355</c:v>
                </c:pt>
                <c:pt idx="7">
                  <c:v>680.85106382978711</c:v>
                </c:pt>
                <c:pt idx="8">
                  <c:v>1361.7021276595742</c:v>
                </c:pt>
                <c:pt idx="9">
                  <c:v>2723.4042553191484</c:v>
                </c:pt>
                <c:pt idx="10">
                  <c:v>5446.8085106382969</c:v>
                </c:pt>
                <c:pt idx="11">
                  <c:v>10893.617021276594</c:v>
                </c:pt>
                <c:pt idx="12">
                  <c:v>21787.234042553187</c:v>
                </c:pt>
                <c:pt idx="13">
                  <c:v>43574.468085106375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0.734375</c:v>
                </c:pt>
                <c:pt idx="1">
                  <c:v>1.46875</c:v>
                </c:pt>
                <c:pt idx="2">
                  <c:v>2.9375</c:v>
                </c:pt>
                <c:pt idx="3">
                  <c:v>5.875</c:v>
                </c:pt>
                <c:pt idx="4">
                  <c:v>11.75</c:v>
                </c:pt>
                <c:pt idx="5">
                  <c:v>23.5</c:v>
                </c:pt>
                <c:pt idx="6">
                  <c:v>47</c:v>
                </c:pt>
                <c:pt idx="7">
                  <c:v>94</c:v>
                </c:pt>
                <c:pt idx="8">
                  <c:v>141</c:v>
                </c:pt>
                <c:pt idx="9">
                  <c:v>155.1</c:v>
                </c:pt>
                <c:pt idx="10">
                  <c:v>164.5</c:v>
                </c:pt>
                <c:pt idx="11">
                  <c:v>173.9</c:v>
                </c:pt>
                <c:pt idx="12">
                  <c:v>183.3</c:v>
                </c:pt>
                <c:pt idx="13">
                  <c:v>188</c:v>
                </c:pt>
                <c:pt idx="14">
                  <c:v>225.6</c:v>
                </c:pt>
                <c:pt idx="15">
                  <c:v>263.2</c:v>
                </c:pt>
                <c:pt idx="16">
                  <c:v>300.8</c:v>
                </c:pt>
                <c:pt idx="17">
                  <c:v>338.4</c:v>
                </c:pt>
                <c:pt idx="18">
                  <c:v>376</c:v>
                </c:pt>
                <c:pt idx="19">
                  <c:v>451.2</c:v>
                </c:pt>
                <c:pt idx="20">
                  <c:v>526.4</c:v>
                </c:pt>
                <c:pt idx="21">
                  <c:v>601.6</c:v>
                </c:pt>
                <c:pt idx="22">
                  <c:v>676.8</c:v>
                </c:pt>
                <c:pt idx="23">
                  <c:v>752</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0.734375</c:v>
                </c:pt>
                <c:pt idx="1">
                  <c:v>1.46875</c:v>
                </c:pt>
                <c:pt idx="2">
                  <c:v>2.9375</c:v>
                </c:pt>
                <c:pt idx="3">
                  <c:v>5.875</c:v>
                </c:pt>
                <c:pt idx="4">
                  <c:v>11.75</c:v>
                </c:pt>
                <c:pt idx="5">
                  <c:v>23.5</c:v>
                </c:pt>
                <c:pt idx="6">
                  <c:v>47</c:v>
                </c:pt>
                <c:pt idx="7">
                  <c:v>94</c:v>
                </c:pt>
                <c:pt idx="8">
                  <c:v>141</c:v>
                </c:pt>
                <c:pt idx="9">
                  <c:v>155.1</c:v>
                </c:pt>
                <c:pt idx="10">
                  <c:v>164.5</c:v>
                </c:pt>
                <c:pt idx="11">
                  <c:v>173.9</c:v>
                </c:pt>
                <c:pt idx="12">
                  <c:v>183.3</c:v>
                </c:pt>
                <c:pt idx="13">
                  <c:v>188</c:v>
                </c:pt>
                <c:pt idx="14">
                  <c:v>225.6</c:v>
                </c:pt>
                <c:pt idx="15">
                  <c:v>263.2</c:v>
                </c:pt>
                <c:pt idx="16">
                  <c:v>300.8</c:v>
                </c:pt>
                <c:pt idx="17">
                  <c:v>338.4</c:v>
                </c:pt>
                <c:pt idx="18">
                  <c:v>376</c:v>
                </c:pt>
                <c:pt idx="19">
                  <c:v>451.2</c:v>
                </c:pt>
                <c:pt idx="20">
                  <c:v>526.4</c:v>
                </c:pt>
                <c:pt idx="21">
                  <c:v>601.6</c:v>
                </c:pt>
                <c:pt idx="22">
                  <c:v>676.8</c:v>
                </c:pt>
                <c:pt idx="23">
                  <c:v>752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0.734375</c:v>
                </c:pt>
                <c:pt idx="1">
                  <c:v>1.46875</c:v>
                </c:pt>
                <c:pt idx="2">
                  <c:v>2.9375</c:v>
                </c:pt>
                <c:pt idx="3">
                  <c:v>5.875</c:v>
                </c:pt>
                <c:pt idx="4">
                  <c:v>11.75</c:v>
                </c:pt>
                <c:pt idx="5">
                  <c:v>23.5</c:v>
                </c:pt>
                <c:pt idx="6">
                  <c:v>47</c:v>
                </c:pt>
                <c:pt idx="7">
                  <c:v>94</c:v>
                </c:pt>
                <c:pt idx="8">
                  <c:v>141</c:v>
                </c:pt>
                <c:pt idx="9">
                  <c:v>155.1</c:v>
                </c:pt>
                <c:pt idx="10">
                  <c:v>164.5</c:v>
                </c:pt>
                <c:pt idx="11">
                  <c:v>173.9</c:v>
                </c:pt>
                <c:pt idx="12">
                  <c:v>183.3</c:v>
                </c:pt>
                <c:pt idx="13">
                  <c:v>188</c:v>
                </c:pt>
                <c:pt idx="14">
                  <c:v>225.6</c:v>
                </c:pt>
                <c:pt idx="15">
                  <c:v>263.2</c:v>
                </c:pt>
                <c:pt idx="16">
                  <c:v>300.8</c:v>
                </c:pt>
                <c:pt idx="17">
                  <c:v>338.4</c:v>
                </c:pt>
                <c:pt idx="18">
                  <c:v>376</c:v>
                </c:pt>
                <c:pt idx="19">
                  <c:v>451.2</c:v>
                </c:pt>
                <c:pt idx="20">
                  <c:v>526.4</c:v>
                </c:pt>
                <c:pt idx="21">
                  <c:v>601.6</c:v>
                </c:pt>
                <c:pt idx="22">
                  <c:v>676.8</c:v>
                </c:pt>
                <c:pt idx="23">
                  <c:v>752</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42.553191489361694</c:v>
                </c:pt>
                <c:pt idx="4">
                  <c:v>85.106382978723389</c:v>
                </c:pt>
                <c:pt idx="5">
                  <c:v>170.21276595744678</c:v>
                </c:pt>
                <c:pt idx="6">
                  <c:v>340.42553191489355</c:v>
                </c:pt>
                <c:pt idx="7">
                  <c:v>680.85106382978711</c:v>
                </c:pt>
                <c:pt idx="8">
                  <c:v>1361.7021276595742</c:v>
                </c:pt>
                <c:pt idx="9">
                  <c:v>2723.4042553191484</c:v>
                </c:pt>
                <c:pt idx="10">
                  <c:v>5446.8085106382969</c:v>
                </c:pt>
                <c:pt idx="11">
                  <c:v>10893.617021276594</c:v>
                </c:pt>
                <c:pt idx="12">
                  <c:v>21787.234042553187</c:v>
                </c:pt>
                <c:pt idx="13">
                  <c:v>43574.468085106375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42.553191489361694</c:v>
                </c:pt>
                <c:pt idx="3">
                  <c:v>85.106382978723389</c:v>
                </c:pt>
                <c:pt idx="4">
                  <c:v>156.59574468085106</c:v>
                </c:pt>
                <c:pt idx="5">
                  <c:v>313.19148936170211</c:v>
                </c:pt>
                <c:pt idx="6">
                  <c:v>626.38297872340422</c:v>
                </c:pt>
                <c:pt idx="7">
                  <c:v>1213.6170212765958</c:v>
                </c:pt>
                <c:pt idx="8">
                  <c:v>2427.2340425531916</c:v>
                </c:pt>
                <c:pt idx="9">
                  <c:v>4854.4680851063831</c:v>
                </c:pt>
                <c:pt idx="10">
                  <c:v>9708.9361702127662</c:v>
                </c:pt>
                <c:pt idx="11">
                  <c:v>19417.872340425532</c:v>
                </c:pt>
                <c:pt idx="12">
                  <c:v>38874.893617021276</c:v>
                </c:pt>
                <c:pt idx="13">
                  <c:v>77749.787234042553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13.617021276595743</c:v>
                </c:pt>
                <c:pt idx="5">
                  <c:v>27.234042553191486</c:v>
                </c:pt>
                <c:pt idx="6">
                  <c:v>34.042553191489354</c:v>
                </c:pt>
                <c:pt idx="7">
                  <c:v>68.085106382978708</c:v>
                </c:pt>
                <c:pt idx="8">
                  <c:v>136.17021276595742</c:v>
                </c:pt>
                <c:pt idx="9">
                  <c:v>272.34042553191483</c:v>
                </c:pt>
                <c:pt idx="10">
                  <c:v>544.68085106382966</c:v>
                </c:pt>
                <c:pt idx="11">
                  <c:v>1089.3617021276593</c:v>
                </c:pt>
                <c:pt idx="12">
                  <c:v>2178.7234042553187</c:v>
                </c:pt>
                <c:pt idx="13">
                  <c:v>4357.4468085106373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20.425531914893611</c:v>
                </c:pt>
                <c:pt idx="7">
                  <c:v>40.851063829787222</c:v>
                </c:pt>
                <c:pt idx="8">
                  <c:v>81.702127659574444</c:v>
                </c:pt>
                <c:pt idx="9">
                  <c:v>163.40425531914889</c:v>
                </c:pt>
                <c:pt idx="10">
                  <c:v>326.80851063829778</c:v>
                </c:pt>
                <c:pt idx="11">
                  <c:v>653.61702127659555</c:v>
                </c:pt>
                <c:pt idx="12">
                  <c:v>1307.2340425531911</c:v>
                </c:pt>
                <c:pt idx="13">
                  <c:v>2614.4680851063822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57.446808510638306</c:v>
                </c:pt>
                <c:pt idx="1">
                  <c:v>114.89361702127661</c:v>
                </c:pt>
                <c:pt idx="2">
                  <c:v>229.78723404255322</c:v>
                </c:pt>
                <c:pt idx="3">
                  <c:v>459.57446808510645</c:v>
                </c:pt>
                <c:pt idx="4">
                  <c:v>919.14893617021289</c:v>
                </c:pt>
                <c:pt idx="5">
                  <c:v>1838.2978723404258</c:v>
                </c:pt>
                <c:pt idx="6">
                  <c:v>3676.5957446808516</c:v>
                </c:pt>
                <c:pt idx="7">
                  <c:v>7353.1914893617031</c:v>
                </c:pt>
                <c:pt idx="8">
                  <c:v>14706.382978723406</c:v>
                </c:pt>
                <c:pt idx="9">
                  <c:v>29412.765957446813</c:v>
                </c:pt>
                <c:pt idx="10">
                  <c:v>58825.531914893625</c:v>
                </c:pt>
                <c:pt idx="11">
                  <c:v>117651.06382978725</c:v>
                </c:pt>
                <c:pt idx="12">
                  <c:v>235302.1276595745</c:v>
                </c:pt>
                <c:pt idx="13">
                  <c:v>470604.255319149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42.553191489361694</c:v>
                </c:pt>
                <c:pt idx="4">
                  <c:v>85.106382978723389</c:v>
                </c:pt>
                <c:pt idx="5">
                  <c:v>170.21276595744678</c:v>
                </c:pt>
                <c:pt idx="6">
                  <c:v>340.42553191489355</c:v>
                </c:pt>
                <c:pt idx="7">
                  <c:v>680.85106382978711</c:v>
                </c:pt>
                <c:pt idx="8">
                  <c:v>1361.7021276595742</c:v>
                </c:pt>
                <c:pt idx="9">
                  <c:v>2723.4042553191484</c:v>
                </c:pt>
                <c:pt idx="10">
                  <c:v>5446.8085106382969</c:v>
                </c:pt>
                <c:pt idx="11">
                  <c:v>10893.617021276594</c:v>
                </c:pt>
                <c:pt idx="12">
                  <c:v>21787.234042553187</c:v>
                </c:pt>
                <c:pt idx="13">
                  <c:v>43574.468085106375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42.553191489361694</c:v>
                </c:pt>
                <c:pt idx="4">
                  <c:v>85.106382978723389</c:v>
                </c:pt>
                <c:pt idx="5">
                  <c:v>170.21276595744678</c:v>
                </c:pt>
                <c:pt idx="6">
                  <c:v>340.42553191489355</c:v>
                </c:pt>
                <c:pt idx="7">
                  <c:v>680.85106382978711</c:v>
                </c:pt>
                <c:pt idx="8">
                  <c:v>1361.7021276595742</c:v>
                </c:pt>
                <c:pt idx="9">
                  <c:v>2723.4042553191484</c:v>
                </c:pt>
                <c:pt idx="10">
                  <c:v>5446.8085106382969</c:v>
                </c:pt>
                <c:pt idx="11">
                  <c:v>10893.617021276594</c:v>
                </c:pt>
                <c:pt idx="12">
                  <c:v>21787.234042553187</c:v>
                </c:pt>
                <c:pt idx="13">
                  <c:v>43574.468085106375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42.553191489361694</c:v>
                </c:pt>
                <c:pt idx="3">
                  <c:v>85.106382978723389</c:v>
                </c:pt>
                <c:pt idx="4">
                  <c:v>156.59574468085106</c:v>
                </c:pt>
                <c:pt idx="5">
                  <c:v>313.19148936170211</c:v>
                </c:pt>
                <c:pt idx="6">
                  <c:v>626.38297872340422</c:v>
                </c:pt>
                <c:pt idx="7">
                  <c:v>1213.6170212765958</c:v>
                </c:pt>
                <c:pt idx="8">
                  <c:v>2427.2340425531916</c:v>
                </c:pt>
                <c:pt idx="9">
                  <c:v>4854.4680851063831</c:v>
                </c:pt>
                <c:pt idx="10">
                  <c:v>9708.9361702127662</c:v>
                </c:pt>
                <c:pt idx="11">
                  <c:v>19417.872340425532</c:v>
                </c:pt>
                <c:pt idx="12">
                  <c:v>38874.893617021276</c:v>
                </c:pt>
                <c:pt idx="13">
                  <c:v>77749.787234042553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13.617021276595743</c:v>
                </c:pt>
                <c:pt idx="5">
                  <c:v>27.234042553191486</c:v>
                </c:pt>
                <c:pt idx="6">
                  <c:v>34.042553191489354</c:v>
                </c:pt>
                <c:pt idx="7">
                  <c:v>68.085106382978708</c:v>
                </c:pt>
                <c:pt idx="8">
                  <c:v>136.17021276595742</c:v>
                </c:pt>
                <c:pt idx="9">
                  <c:v>272.34042553191483</c:v>
                </c:pt>
                <c:pt idx="10">
                  <c:v>544.68085106382966</c:v>
                </c:pt>
                <c:pt idx="11">
                  <c:v>1089.3617021276593</c:v>
                </c:pt>
                <c:pt idx="12">
                  <c:v>2178.7234042553187</c:v>
                </c:pt>
                <c:pt idx="13">
                  <c:v>4357.4468085106373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44096.695180092589</c:v>
                </c:pt>
                <c:pt idx="1">
                  <c:v>44099.695180092589</c:v>
                </c:pt>
                <c:pt idx="2">
                  <c:v>44102.695180092589</c:v>
                </c:pt>
                <c:pt idx="3">
                  <c:v>44105.695180092589</c:v>
                </c:pt>
                <c:pt idx="4">
                  <c:v>44108.695180092589</c:v>
                </c:pt>
                <c:pt idx="5">
                  <c:v>44111.695180092589</c:v>
                </c:pt>
                <c:pt idx="6">
                  <c:v>44114.695180092589</c:v>
                </c:pt>
                <c:pt idx="7">
                  <c:v>44117.695180092589</c:v>
                </c:pt>
                <c:pt idx="8">
                  <c:v>44120.695180092589</c:v>
                </c:pt>
                <c:pt idx="9">
                  <c:v>44123.695180092589</c:v>
                </c:pt>
                <c:pt idx="10">
                  <c:v>44126.695180092589</c:v>
                </c:pt>
                <c:pt idx="11">
                  <c:v>44129.695180092589</c:v>
                </c:pt>
                <c:pt idx="12">
                  <c:v>44132.695180092589</c:v>
                </c:pt>
                <c:pt idx="13">
                  <c:v>44135.695180092589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20.425531914893611</c:v>
                </c:pt>
                <c:pt idx="7">
                  <c:v>40.851063829787222</c:v>
                </c:pt>
                <c:pt idx="8">
                  <c:v>81.702127659574444</c:v>
                </c:pt>
                <c:pt idx="9">
                  <c:v>163.40425531914889</c:v>
                </c:pt>
                <c:pt idx="10">
                  <c:v>326.80851063829778</c:v>
                </c:pt>
                <c:pt idx="11">
                  <c:v>653.61702127659555</c:v>
                </c:pt>
                <c:pt idx="12">
                  <c:v>1307.2340425531911</c:v>
                </c:pt>
                <c:pt idx="13">
                  <c:v>2614.4680851063822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0.734375</c:v>
                </c:pt>
                <c:pt idx="1">
                  <c:v>1.46875</c:v>
                </c:pt>
                <c:pt idx="2">
                  <c:v>2.9375</c:v>
                </c:pt>
                <c:pt idx="3">
                  <c:v>5.875</c:v>
                </c:pt>
                <c:pt idx="4">
                  <c:v>11.75</c:v>
                </c:pt>
                <c:pt idx="5">
                  <c:v>23.5</c:v>
                </c:pt>
                <c:pt idx="6">
                  <c:v>47</c:v>
                </c:pt>
                <c:pt idx="7">
                  <c:v>94</c:v>
                </c:pt>
                <c:pt idx="8">
                  <c:v>141</c:v>
                </c:pt>
                <c:pt idx="9">
                  <c:v>155.1</c:v>
                </c:pt>
                <c:pt idx="10">
                  <c:v>164.5</c:v>
                </c:pt>
                <c:pt idx="11">
                  <c:v>173.9</c:v>
                </c:pt>
                <c:pt idx="12">
                  <c:v>183.3</c:v>
                </c:pt>
                <c:pt idx="13">
                  <c:v>188</c:v>
                </c:pt>
                <c:pt idx="14">
                  <c:v>225.6</c:v>
                </c:pt>
                <c:pt idx="15">
                  <c:v>263.2</c:v>
                </c:pt>
                <c:pt idx="16">
                  <c:v>300.8</c:v>
                </c:pt>
                <c:pt idx="17">
                  <c:v>338.4</c:v>
                </c:pt>
                <c:pt idx="18">
                  <c:v>376</c:v>
                </c:pt>
                <c:pt idx="19">
                  <c:v>451.2</c:v>
                </c:pt>
                <c:pt idx="20">
                  <c:v>526.4</c:v>
                </c:pt>
                <c:pt idx="21">
                  <c:v>601.6</c:v>
                </c:pt>
                <c:pt idx="22">
                  <c:v>676.8</c:v>
                </c:pt>
                <c:pt idx="23">
                  <c:v>752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44466</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v>
      </c>
      <c r="C17" s="116"/>
      <c r="D17" s="117"/>
      <c r="E17" s="111">
        <f>B17*2</f>
        <v>200</v>
      </c>
      <c r="F17" s="116"/>
      <c r="G17" s="111"/>
      <c r="H17" s="111">
        <f>E17*2</f>
        <v>400</v>
      </c>
      <c r="I17" s="116"/>
      <c r="J17" s="117"/>
      <c r="K17" s="108">
        <f>H17*2</f>
        <v>800</v>
      </c>
      <c r="L17" s="106"/>
      <c r="M17" s="107"/>
      <c r="N17" s="108">
        <f>K17*2</f>
        <v>1600</v>
      </c>
      <c r="O17" s="106"/>
      <c r="P17" s="107"/>
      <c r="Q17" s="108">
        <f>N17*2</f>
        <v>3200</v>
      </c>
      <c r="R17" s="106"/>
      <c r="S17" s="107"/>
      <c r="T17" s="108">
        <f>Q17*2</f>
        <v>6400</v>
      </c>
      <c r="U17" s="106"/>
      <c r="V17" s="107"/>
      <c r="W17" s="108">
        <f>T17*2</f>
        <v>12800</v>
      </c>
      <c r="X17" s="106"/>
      <c r="Y17" s="107"/>
      <c r="Z17" s="108">
        <f>W17*2</f>
        <v>25600</v>
      </c>
      <c r="AA17" s="106"/>
      <c r="AB17" s="107"/>
      <c r="AC17" s="108">
        <f>Z17*2</f>
        <v>51200</v>
      </c>
      <c r="AD17" s="106"/>
      <c r="AE17" s="107"/>
      <c r="AF17" s="108">
        <f>AC17*2</f>
        <v>102400</v>
      </c>
      <c r="AG17" s="106"/>
      <c r="AH17" s="107"/>
      <c r="AI17" s="108">
        <f>AF17*2</f>
        <v>204800</v>
      </c>
      <c r="AJ17" s="106"/>
      <c r="AK17" s="107"/>
      <c r="AL17" s="108">
        <f>AI17*2</f>
        <v>409600</v>
      </c>
      <c r="AM17" s="106"/>
      <c r="AN17" s="107"/>
      <c r="AO17" s="108">
        <f>AL17*2</f>
        <v>819200</v>
      </c>
      <c r="AP17" s="111"/>
      <c r="AQ17" t="s">
        <v>189</v>
      </c>
    </row>
    <row r="18" spans="1:43" s="81" customFormat="1" x14ac:dyDescent="0.25">
      <c r="A18" s="81" t="s">
        <v>272</v>
      </c>
      <c r="B18" s="100">
        <f>B17*$E$34</f>
        <v>57.446808510638306</v>
      </c>
      <c r="C18" s="118"/>
      <c r="D18" s="118"/>
      <c r="E18" s="118">
        <f>E17*$E$34</f>
        <v>114.89361702127661</v>
      </c>
      <c r="F18" s="118"/>
      <c r="G18" s="45"/>
      <c r="H18" s="118">
        <f>H17*$E$34</f>
        <v>229.78723404255322</v>
      </c>
      <c r="I18" s="118"/>
      <c r="J18" s="118"/>
      <c r="K18" s="118">
        <f>K17*$E$34</f>
        <v>459.57446808510645</v>
      </c>
      <c r="L18" s="118"/>
      <c r="M18" s="118"/>
      <c r="N18" s="118">
        <f>N17*$E$34</f>
        <v>919.14893617021289</v>
      </c>
      <c r="O18" s="118"/>
      <c r="P18" s="118"/>
      <c r="Q18" s="118">
        <f>Q17*$E$34</f>
        <v>1838.2978723404258</v>
      </c>
      <c r="R18" s="118"/>
      <c r="S18" s="118"/>
      <c r="T18" s="118">
        <f>T17*$E$34</f>
        <v>3676.5957446808516</v>
      </c>
      <c r="U18" s="118"/>
      <c r="V18" s="118"/>
      <c r="W18" s="118">
        <f>W17*$E$34</f>
        <v>7353.1914893617031</v>
      </c>
      <c r="X18" s="118"/>
      <c r="Y18" s="118"/>
      <c r="Z18" s="118">
        <f>Z17*$E$34</f>
        <v>14706.382978723406</v>
      </c>
      <c r="AA18" s="118"/>
      <c r="AB18" s="118"/>
      <c r="AC18" s="118">
        <f>AC17*$E$34</f>
        <v>29412.765957446813</v>
      </c>
      <c r="AD18" s="118"/>
      <c r="AE18" s="118"/>
      <c r="AF18" s="118">
        <f>AF17*$E$34</f>
        <v>58825.531914893625</v>
      </c>
      <c r="AG18" s="118"/>
      <c r="AH18" s="118"/>
      <c r="AI18" s="118">
        <f>AI17*$E$34</f>
        <v>117651.06382978725</v>
      </c>
      <c r="AJ18" s="118"/>
      <c r="AK18" s="118"/>
      <c r="AL18" s="118">
        <f>AL17*$E$34</f>
        <v>235302.1276595745</v>
      </c>
      <c r="AM18" s="118"/>
      <c r="AN18" s="118"/>
      <c r="AO18" s="118">
        <f>AO17*$E$34</f>
        <v>470604.255319149</v>
      </c>
      <c r="AP18" s="45"/>
      <c r="AQ18" s="81" t="s">
        <v>272</v>
      </c>
    </row>
    <row r="19" spans="1:43" s="81" customFormat="1" x14ac:dyDescent="0.25">
      <c r="A19" s="59" t="s">
        <v>274</v>
      </c>
      <c r="B19" s="98">
        <f>B18</f>
        <v>57.446808510638306</v>
      </c>
      <c r="C19" s="99"/>
      <c r="D19" s="99"/>
      <c r="E19" s="99">
        <f>E18</f>
        <v>114.89361702127661</v>
      </c>
      <c r="F19" s="99"/>
      <c r="G19" s="46"/>
      <c r="H19" s="99">
        <f>H18</f>
        <v>229.78723404255322</v>
      </c>
      <c r="I19" s="99"/>
      <c r="J19" s="99"/>
      <c r="K19" s="99">
        <f>K18</f>
        <v>459.57446808510645</v>
      </c>
      <c r="L19" s="99"/>
      <c r="M19" s="99"/>
      <c r="N19" s="99">
        <f>N18</f>
        <v>919.14893617021289</v>
      </c>
      <c r="O19" s="99"/>
      <c r="P19" s="99"/>
      <c r="Q19" s="99">
        <f>Q18</f>
        <v>1838.2978723404258</v>
      </c>
      <c r="R19" s="99"/>
      <c r="S19" s="99"/>
      <c r="T19" s="99">
        <f>T18</f>
        <v>3676.5957446808516</v>
      </c>
      <c r="U19" s="99"/>
      <c r="V19" s="99"/>
      <c r="W19" s="135">
        <f>W18-B18</f>
        <v>7295.7446808510649</v>
      </c>
      <c r="X19" s="135"/>
      <c r="Y19" s="135"/>
      <c r="Z19" s="135">
        <f>Z18-E18</f>
        <v>14591.48936170213</v>
      </c>
      <c r="AA19" s="135"/>
      <c r="AB19" s="135"/>
      <c r="AC19" s="135">
        <f>AC18-H18</f>
        <v>29182.97872340426</v>
      </c>
      <c r="AD19" s="135"/>
      <c r="AE19" s="135"/>
      <c r="AF19" s="135">
        <f>AF18-K18</f>
        <v>58365.957446808519</v>
      </c>
      <c r="AG19" s="135"/>
      <c r="AH19" s="135"/>
      <c r="AI19" s="135">
        <f>AI18-N18</f>
        <v>116731.91489361704</v>
      </c>
      <c r="AJ19" s="135"/>
      <c r="AK19" s="135"/>
      <c r="AL19" s="135">
        <f>AL18-Q18</f>
        <v>233463.82978723408</v>
      </c>
      <c r="AM19" s="135"/>
      <c r="AN19" s="135"/>
      <c r="AO19" s="135">
        <f>AO18-T18</f>
        <v>466927.65957446815</v>
      </c>
      <c r="AP19" s="136"/>
      <c r="AQ19" s="59" t="s">
        <v>274</v>
      </c>
    </row>
    <row r="20" spans="1:43" s="81" customFormat="1" x14ac:dyDescent="0.25">
      <c r="A20" t="s">
        <v>190</v>
      </c>
      <c r="B20" s="100"/>
      <c r="C20" s="118"/>
      <c r="D20" s="118"/>
      <c r="E20" s="118"/>
      <c r="F20" s="118"/>
      <c r="G20" s="45"/>
      <c r="H20" s="119"/>
      <c r="I20" s="120"/>
      <c r="J20" s="121"/>
      <c r="K20" s="145">
        <f>B17*(1-E34)</f>
        <v>42.553191489361694</v>
      </c>
      <c r="L20" s="142"/>
      <c r="M20" s="143"/>
      <c r="N20" s="144">
        <f>E17*(1-E34)</f>
        <v>85.106382978723389</v>
      </c>
      <c r="O20" s="142"/>
      <c r="P20" s="143"/>
      <c r="Q20" s="144">
        <f>H17*(1-E34)</f>
        <v>170.21276595744678</v>
      </c>
      <c r="R20" s="142"/>
      <c r="S20" s="143"/>
      <c r="T20" s="144">
        <f>K17*(1-E34)</f>
        <v>340.42553191489355</v>
      </c>
      <c r="U20" s="142"/>
      <c r="V20" s="143"/>
      <c r="W20" s="144">
        <f>N17*(1-E34)</f>
        <v>680.85106382978711</v>
      </c>
      <c r="X20" s="142"/>
      <c r="Y20" s="143"/>
      <c r="Z20" s="144">
        <f>Q17*(1-E34)</f>
        <v>1361.7021276595742</v>
      </c>
      <c r="AA20" s="142"/>
      <c r="AB20" s="143"/>
      <c r="AC20" s="144">
        <f>T17*(1-E34)</f>
        <v>2723.4042553191484</v>
      </c>
      <c r="AD20" s="142"/>
      <c r="AE20" s="143"/>
      <c r="AF20" s="144">
        <f>W17*(1-E34)</f>
        <v>5446.8085106382969</v>
      </c>
      <c r="AG20" s="142"/>
      <c r="AH20" s="143"/>
      <c r="AI20" s="144">
        <f>Z17*(1-E34)</f>
        <v>10893.617021276594</v>
      </c>
      <c r="AJ20" s="142"/>
      <c r="AK20" s="143"/>
      <c r="AL20" s="144">
        <f>AC17*(1-E34)</f>
        <v>21787.234042553187</v>
      </c>
      <c r="AM20" s="142"/>
      <c r="AN20" s="143"/>
      <c r="AO20" s="144">
        <f>AF17*(1-E34)</f>
        <v>43574.468085106375</v>
      </c>
      <c r="AP20" s="91"/>
      <c r="AQ20" t="s">
        <v>190</v>
      </c>
    </row>
    <row r="21" spans="1:43" s="81" customFormat="1" x14ac:dyDescent="0.25">
      <c r="A21" s="81" t="s">
        <v>171</v>
      </c>
      <c r="B21" s="92"/>
      <c r="C21" s="93"/>
      <c r="D21" s="93"/>
      <c r="E21" s="93"/>
      <c r="F21" s="93"/>
      <c r="G21" s="94"/>
      <c r="H21" s="137">
        <f>B17-B18</f>
        <v>42.553191489361694</v>
      </c>
      <c r="I21" s="137"/>
      <c r="J21" s="137"/>
      <c r="K21" s="137">
        <f>E17-E18</f>
        <v>85.106382978723389</v>
      </c>
      <c r="L21" s="137"/>
      <c r="M21" s="137"/>
      <c r="N21" s="137">
        <f>(H17-H18)*$E$35</f>
        <v>156.59574468085106</v>
      </c>
      <c r="O21" s="137"/>
      <c r="P21" s="137"/>
      <c r="Q21" s="137">
        <f>(K17-K18)*$E$35</f>
        <v>313.19148936170211</v>
      </c>
      <c r="R21" s="137"/>
      <c r="S21" s="137"/>
      <c r="T21" s="137">
        <f>(N17-N18)*$E$35</f>
        <v>626.38297872340422</v>
      </c>
      <c r="U21" s="137"/>
      <c r="V21" s="137"/>
      <c r="W21" s="137">
        <f>((Q17-Q18)*$E$35)-(H21*$E$35)</f>
        <v>1213.6170212765958</v>
      </c>
      <c r="X21" s="137"/>
      <c r="Y21" s="137"/>
      <c r="Z21" s="137">
        <f>((T17-T18)*$E$35)-(K21*$E$35)</f>
        <v>2427.2340425531916</v>
      </c>
      <c r="AA21" s="137"/>
      <c r="AB21" s="137"/>
      <c r="AC21" s="137">
        <f>((W17-W18)*$E$35)-N21</f>
        <v>4854.4680851063831</v>
      </c>
      <c r="AD21" s="137"/>
      <c r="AE21" s="137"/>
      <c r="AF21" s="137">
        <f>((Z17-Z18)*$E$35)-Q21</f>
        <v>9708.9361702127662</v>
      </c>
      <c r="AG21" s="137"/>
      <c r="AH21" s="137"/>
      <c r="AI21" s="137">
        <f>((AC17-AC18)*$E$35)-T21</f>
        <v>19417.872340425532</v>
      </c>
      <c r="AJ21" s="137"/>
      <c r="AK21" s="137"/>
      <c r="AL21" s="137">
        <f>((AF17-AF18)*$E$35)-W21</f>
        <v>38874.893617021276</v>
      </c>
      <c r="AM21" s="137"/>
      <c r="AN21" s="137"/>
      <c r="AO21" s="137">
        <f>((AI17-AI18)*$E$35)-Z21</f>
        <v>77749.787234042553</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13.617021276595743</v>
      </c>
      <c r="O22" s="139"/>
      <c r="P22" s="139"/>
      <c r="Q22" s="139">
        <f>(K17-K18)*($E$36+$E$37)</f>
        <v>27.234042553191486</v>
      </c>
      <c r="R22" s="139"/>
      <c r="S22" s="139"/>
      <c r="T22" s="139">
        <f>(N17-N18)*$E$36</f>
        <v>34.042553191489354</v>
      </c>
      <c r="U22" s="139"/>
      <c r="V22" s="139"/>
      <c r="W22" s="139">
        <f>(Q17-Q18)*$E$36</f>
        <v>68.085106382978708</v>
      </c>
      <c r="X22" s="139"/>
      <c r="Y22" s="139"/>
      <c r="Z22" s="139">
        <f>(T17-T18)*$E$36</f>
        <v>136.17021276595742</v>
      </c>
      <c r="AA22" s="139"/>
      <c r="AB22" s="139"/>
      <c r="AC22" s="139">
        <f>(W17-W18)*$E$36</f>
        <v>272.34042553191483</v>
      </c>
      <c r="AD22" s="139"/>
      <c r="AE22" s="139"/>
      <c r="AF22" s="139">
        <f>(Z17-Z18)*$E$36</f>
        <v>544.68085106382966</v>
      </c>
      <c r="AG22" s="139"/>
      <c r="AH22" s="139"/>
      <c r="AI22" s="139">
        <f>(AC17-AC18)*$E$36</f>
        <v>1089.3617021276593</v>
      </c>
      <c r="AJ22" s="139"/>
      <c r="AK22" s="139"/>
      <c r="AL22" s="139">
        <f>(AF17-AF18)*$E$36</f>
        <v>2178.7234042553187</v>
      </c>
      <c r="AM22" s="139"/>
      <c r="AN22" s="139"/>
      <c r="AO22" s="139">
        <f>(AI17-AI18)*$E$36</f>
        <v>4357.4468085106373</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20.425531914893611</v>
      </c>
      <c r="U23" s="52"/>
      <c r="V23" s="52"/>
      <c r="W23" s="52">
        <f>(Q17-Q18)*$E$37</f>
        <v>40.851063829787222</v>
      </c>
      <c r="X23" s="52"/>
      <c r="Y23" s="52"/>
      <c r="Z23" s="52">
        <f>(T17-T18)*$E$37</f>
        <v>81.702127659574444</v>
      </c>
      <c r="AA23" s="52"/>
      <c r="AB23" s="52"/>
      <c r="AC23" s="52">
        <f>(W17-W18)*$E$37</f>
        <v>163.40425531914889</v>
      </c>
      <c r="AD23" s="52"/>
      <c r="AE23" s="52"/>
      <c r="AF23" s="52">
        <f>(Z17-Z18)*$E$37</f>
        <v>326.80851063829778</v>
      </c>
      <c r="AG23" s="52"/>
      <c r="AH23" s="52"/>
      <c r="AI23" s="52">
        <f>(AC17-AC18)*$E$37</f>
        <v>653.61702127659555</v>
      </c>
      <c r="AJ23" s="52"/>
      <c r="AK23" s="52"/>
      <c r="AL23" s="52">
        <f>(AF17-AF18)*$E$37</f>
        <v>1307.2340425531911</v>
      </c>
      <c r="AM23" s="52"/>
      <c r="AN23" s="52"/>
      <c r="AO23" s="52">
        <f>(AI17-AI18)*$E$37</f>
        <v>2614.4680851063822</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39.148936170212764</v>
      </c>
      <c r="W24" s="122"/>
      <c r="X24" s="122"/>
      <c r="Y24" s="122">
        <f>K21*$E$35</f>
        <v>78.297872340425528</v>
      </c>
      <c r="Z24" s="122"/>
      <c r="AA24" s="122"/>
      <c r="AB24" s="122">
        <f>N21</f>
        <v>156.59574468085106</v>
      </c>
      <c r="AC24" s="122"/>
      <c r="AD24" s="122"/>
      <c r="AE24" s="122">
        <f>Q21</f>
        <v>313.19148936170211</v>
      </c>
      <c r="AF24" s="122"/>
      <c r="AG24" s="122"/>
      <c r="AH24" s="122">
        <f>T21</f>
        <v>626.38297872340422</v>
      </c>
      <c r="AI24" s="122"/>
      <c r="AJ24" s="122"/>
      <c r="AK24" s="122">
        <f>W21</f>
        <v>1213.6170212765958</v>
      </c>
      <c r="AL24" s="122"/>
      <c r="AM24" s="122"/>
      <c r="AN24" s="122">
        <f>Z21</f>
        <v>2427.2340425531916</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44096.695180092589</v>
      </c>
      <c r="C26" s="103">
        <f t="shared" ca="1" si="0"/>
        <v>44097.695180092589</v>
      </c>
      <c r="D26" s="103">
        <f t="shared" ca="1" si="0"/>
        <v>44098.695180092589</v>
      </c>
      <c r="E26" s="103">
        <f t="shared" ca="1" si="0"/>
        <v>44099.695180092589</v>
      </c>
      <c r="F26" s="103">
        <f t="shared" ca="1" si="0"/>
        <v>44100.695180092589</v>
      </c>
      <c r="G26" s="104">
        <f t="shared" ca="1" si="0"/>
        <v>44101.695180092589</v>
      </c>
      <c r="H26" s="103">
        <f t="shared" ref="H26:U26" ca="1" si="1">I26-1</f>
        <v>44102.695180092589</v>
      </c>
      <c r="I26" s="103">
        <f t="shared" ca="1" si="1"/>
        <v>44103.695180092589</v>
      </c>
      <c r="J26" s="103">
        <f t="shared" ca="1" si="1"/>
        <v>44104.695180092589</v>
      </c>
      <c r="K26" s="103">
        <f t="shared" ca="1" si="1"/>
        <v>44105.695180092589</v>
      </c>
      <c r="L26" s="103">
        <f t="shared" ca="1" si="1"/>
        <v>44106.695180092589</v>
      </c>
      <c r="M26" s="103">
        <f t="shared" ca="1" si="1"/>
        <v>44107.695180092589</v>
      </c>
      <c r="N26" s="104">
        <f t="shared" ca="1" si="1"/>
        <v>44108.695180092589</v>
      </c>
      <c r="O26" s="102">
        <f t="shared" ca="1" si="1"/>
        <v>44109.695180092589</v>
      </c>
      <c r="P26" s="103">
        <f t="shared" ca="1" si="1"/>
        <v>44110.695180092589</v>
      </c>
      <c r="Q26" s="103">
        <f t="shared" ca="1" si="1"/>
        <v>44111.695180092589</v>
      </c>
      <c r="R26" s="103">
        <f t="shared" ca="1" si="1"/>
        <v>44112.695180092589</v>
      </c>
      <c r="S26" s="103">
        <f t="shared" ca="1" si="1"/>
        <v>44113.695180092589</v>
      </c>
      <c r="T26" s="103">
        <f t="shared" ca="1" si="1"/>
        <v>44114.695180092589</v>
      </c>
      <c r="U26" s="104">
        <f t="shared" ca="1" si="1"/>
        <v>44115.695180092589</v>
      </c>
      <c r="V26" s="102">
        <f t="shared" ref="V26:AN26" ca="1" si="2">W26-1</f>
        <v>44116.695180092589</v>
      </c>
      <c r="W26" s="103">
        <f t="shared" ca="1" si="2"/>
        <v>44117.695180092589</v>
      </c>
      <c r="X26" s="103">
        <f t="shared" ca="1" si="2"/>
        <v>44118.695180092589</v>
      </c>
      <c r="Y26" s="103">
        <f t="shared" ca="1" si="2"/>
        <v>44119.695180092589</v>
      </c>
      <c r="Z26" s="103">
        <f t="shared" ca="1" si="2"/>
        <v>44120.695180092589</v>
      </c>
      <c r="AA26" s="103">
        <f t="shared" ca="1" si="2"/>
        <v>44121.695180092589</v>
      </c>
      <c r="AB26" s="104">
        <f t="shared" ca="1" si="2"/>
        <v>44122.695180092589</v>
      </c>
      <c r="AC26" s="102">
        <f t="shared" ca="1" si="2"/>
        <v>44123.695180092589</v>
      </c>
      <c r="AD26" s="103">
        <f t="shared" ca="1" si="2"/>
        <v>44124.695180092589</v>
      </c>
      <c r="AE26" s="103">
        <f t="shared" ca="1" si="2"/>
        <v>44125.695180092589</v>
      </c>
      <c r="AF26" s="103">
        <f t="shared" ca="1" si="2"/>
        <v>44126.695180092589</v>
      </c>
      <c r="AG26" s="103">
        <f t="shared" ca="1" si="2"/>
        <v>44127.695180092589</v>
      </c>
      <c r="AH26" s="103">
        <f t="shared" ca="1" si="2"/>
        <v>44128.695180092589</v>
      </c>
      <c r="AI26" s="104">
        <f t="shared" ca="1" si="2"/>
        <v>44129.695180092589</v>
      </c>
      <c r="AJ26" s="102">
        <f t="shared" ca="1" si="2"/>
        <v>44130.695180092589</v>
      </c>
      <c r="AK26" s="103">
        <f t="shared" ca="1" si="2"/>
        <v>44131.695180092589</v>
      </c>
      <c r="AL26" s="103">
        <f t="shared" ca="1" si="2"/>
        <v>44132.695180092589</v>
      </c>
      <c r="AM26" s="103">
        <f t="shared" ca="1" si="2"/>
        <v>44133.695180092589</v>
      </c>
      <c r="AN26" s="103">
        <f t="shared" ca="1" si="2"/>
        <v>44134.695180092589</v>
      </c>
      <c r="AO26" s="103">
        <f ca="1">AP26-1</f>
        <v>44135.695180092589</v>
      </c>
      <c r="AP26" s="124">
        <f ca="1">NOW()</f>
        <v>44136.695180092589</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9" t="s">
        <v>165</v>
      </c>
      <c r="C28" s="320"/>
      <c r="D28" s="320"/>
      <c r="E28" s="320"/>
      <c r="F28" s="320"/>
      <c r="G28" s="321"/>
      <c r="H28" s="325" t="s">
        <v>153</v>
      </c>
      <c r="I28" s="325"/>
      <c r="J28" s="325"/>
      <c r="K28" s="325"/>
      <c r="L28" s="325"/>
      <c r="M28" s="325"/>
      <c r="N28" s="326"/>
      <c r="O28" s="324" t="s">
        <v>154</v>
      </c>
      <c r="P28" s="325"/>
      <c r="Q28" s="325"/>
      <c r="R28" s="325"/>
      <c r="S28" s="325"/>
      <c r="T28" s="325"/>
      <c r="U28" s="326"/>
      <c r="V28" s="324" t="s">
        <v>155</v>
      </c>
      <c r="W28" s="325"/>
      <c r="X28" s="325"/>
      <c r="Y28" s="325"/>
      <c r="Z28" s="325"/>
      <c r="AA28" s="325"/>
      <c r="AB28" s="326"/>
      <c r="AC28" s="324" t="s">
        <v>156</v>
      </c>
      <c r="AD28" s="325"/>
      <c r="AE28" s="325"/>
      <c r="AF28" s="325"/>
      <c r="AG28" s="325"/>
      <c r="AH28" s="325"/>
      <c r="AI28" s="326"/>
      <c r="AJ28" s="324" t="s">
        <v>157</v>
      </c>
      <c r="AK28" s="325"/>
      <c r="AL28" s="325"/>
      <c r="AM28" s="325"/>
      <c r="AN28" s="325"/>
      <c r="AO28" s="325"/>
      <c r="AP28" s="326"/>
    </row>
    <row r="29" spans="1:43" x14ac:dyDescent="0.25">
      <c r="B29" s="63" t="s">
        <v>177</v>
      </c>
      <c r="C29" s="109"/>
      <c r="D29" s="109"/>
      <c r="E29" s="109"/>
      <c r="F29" s="109"/>
      <c r="G29" s="110"/>
      <c r="H29" s="322" t="s">
        <v>164</v>
      </c>
      <c r="I29" s="322"/>
      <c r="J29" s="322"/>
      <c r="K29" s="322"/>
      <c r="L29" s="322"/>
      <c r="M29" s="322"/>
      <c r="N29" s="322"/>
      <c r="O29" s="322"/>
      <c r="P29" s="322"/>
      <c r="Q29" s="322"/>
      <c r="R29" s="322"/>
      <c r="S29" s="322"/>
      <c r="T29" s="322"/>
      <c r="U29" s="322"/>
      <c r="V29" s="322"/>
      <c r="W29" s="322"/>
      <c r="X29" s="322"/>
      <c r="Y29" s="322"/>
      <c r="Z29" s="322"/>
      <c r="AA29" s="322"/>
      <c r="AB29" s="322"/>
      <c r="AC29" s="322"/>
      <c r="AD29" s="322"/>
      <c r="AE29" s="322"/>
      <c r="AF29" s="322"/>
      <c r="AG29" s="322"/>
      <c r="AH29" s="322"/>
      <c r="AI29" s="322"/>
      <c r="AJ29" s="322"/>
      <c r="AK29" s="322"/>
      <c r="AL29" s="322"/>
      <c r="AM29" s="322"/>
      <c r="AN29" s="322"/>
      <c r="AO29" s="322"/>
      <c r="AP29" s="323"/>
    </row>
    <row r="31" spans="1:43" x14ac:dyDescent="0.25">
      <c r="B31" s="69" t="s">
        <v>166</v>
      </c>
      <c r="C31" s="152" t="s">
        <v>286</v>
      </c>
      <c r="D31" s="21"/>
      <c r="E31" s="97">
        <f>VLOOKUP(C31,B43:C54,2,FALSE)</f>
        <v>2.35E-2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0.57446808510638303</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2.35E-2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E38" zoomScale="85" zoomScaleNormal="85" workbookViewId="0">
      <selection activeCell="AC58" sqref="AC58"/>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0.42553191489361702</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2.35E-2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318">
        <f>$AD$68+(($AI$68-$AD$68)*0.058)</f>
        <v>44072.74</v>
      </c>
      <c r="AH68" s="317">
        <f>$AD$68+(($AI$68-$AD$68)*0.8)</f>
        <v>44466</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73.4375</v>
      </c>
      <c r="M73" s="226">
        <f t="shared" si="18"/>
        <v>146.875</v>
      </c>
      <c r="N73" s="226">
        <f t="shared" si="18"/>
        <v>293.75</v>
      </c>
      <c r="O73" s="226">
        <f t="shared" si="18"/>
        <v>587.5</v>
      </c>
      <c r="P73" s="226">
        <f t="shared" si="18"/>
        <v>1175</v>
      </c>
      <c r="Q73" s="225">
        <f t="shared" si="18"/>
        <v>2350</v>
      </c>
      <c r="R73" s="226">
        <f t="shared" si="18"/>
        <v>4700</v>
      </c>
      <c r="S73" s="226">
        <f t="shared" si="18"/>
        <v>9400</v>
      </c>
      <c r="T73" s="225">
        <f t="shared" ref="T73:U73" si="19">T69/$B$57</f>
        <v>14100</v>
      </c>
      <c r="U73" s="226">
        <f t="shared" si="19"/>
        <v>15510</v>
      </c>
      <c r="V73" s="226">
        <f t="shared" ref="V73:W73" si="20">V69/$B$57</f>
        <v>16450</v>
      </c>
      <c r="W73" s="226">
        <f t="shared" si="20"/>
        <v>17390</v>
      </c>
      <c r="X73" s="226">
        <f>X69/$B$57</f>
        <v>18330</v>
      </c>
      <c r="Y73" s="234">
        <f t="shared" si="18"/>
        <v>18800</v>
      </c>
      <c r="Z73" s="226">
        <f t="shared" ref="Z73:AC73" si="21">Z69/$B$57</f>
        <v>22560</v>
      </c>
      <c r="AA73" s="226">
        <f t="shared" si="21"/>
        <v>26320</v>
      </c>
      <c r="AB73" s="226">
        <f t="shared" si="21"/>
        <v>30080</v>
      </c>
      <c r="AC73" s="226">
        <f t="shared" si="21"/>
        <v>33840</v>
      </c>
      <c r="AD73" s="226">
        <f t="shared" si="18"/>
        <v>37600</v>
      </c>
      <c r="AE73" s="226">
        <f t="shared" ref="AE73:AH73" si="22">AE69/$B$57</f>
        <v>45120</v>
      </c>
      <c r="AF73" s="226">
        <f t="shared" si="22"/>
        <v>52640</v>
      </c>
      <c r="AG73" s="226">
        <f t="shared" si="22"/>
        <v>60160</v>
      </c>
      <c r="AH73" s="226">
        <f t="shared" si="22"/>
        <v>67680</v>
      </c>
      <c r="AI73" s="226">
        <f t="shared" si="18"/>
        <v>75200</v>
      </c>
      <c r="AJ73" s="226">
        <f t="shared" si="18"/>
        <v>150400</v>
      </c>
      <c r="AK73" s="226">
        <f t="shared" si="18"/>
        <v>300800</v>
      </c>
      <c r="AL73" s="226">
        <f t="shared" si="18"/>
        <v>601600</v>
      </c>
      <c r="AM73" s="226">
        <f t="shared" si="18"/>
        <v>1203200</v>
      </c>
      <c r="AN73" s="226">
        <f t="shared" si="18"/>
        <v>2406400</v>
      </c>
      <c r="AO73" s="226">
        <f t="shared" si="18"/>
        <v>4812800</v>
      </c>
      <c r="AP73" s="226">
        <f t="shared" si="18"/>
        <v>9625600</v>
      </c>
      <c r="AQ73" s="234">
        <f t="shared" si="18"/>
        <v>19251200</v>
      </c>
      <c r="AR73" s="258">
        <f>AR69/$B$57</f>
        <v>38502400</v>
      </c>
      <c r="AS73" s="215">
        <f>AS69</f>
        <v>25634000</v>
      </c>
      <c r="AT73" s="237">
        <f>($B$55*$B$58)/$B$57</f>
        <v>12047980</v>
      </c>
      <c r="AU73" s="37"/>
      <c r="AV73" s="37"/>
      <c r="AW73" s="81"/>
    </row>
    <row r="74" spans="1:49" x14ac:dyDescent="0.25">
      <c r="A74" s="53" t="s">
        <v>211</v>
      </c>
      <c r="B74" s="28"/>
      <c r="C74" s="28"/>
      <c r="D74" s="28"/>
      <c r="E74" s="28"/>
      <c r="F74" s="28"/>
      <c r="G74" s="28"/>
      <c r="H74" s="28"/>
      <c r="I74" s="28"/>
      <c r="J74" s="28"/>
      <c r="K74" s="28"/>
      <c r="L74" s="210">
        <f>L73/$B$55</f>
        <v>2.8648474682062884E-6</v>
      </c>
      <c r="M74" s="78">
        <f t="shared" ref="M74:AQ74" si="23">M73/$B$55</f>
        <v>5.7296949364125768E-6</v>
      </c>
      <c r="N74" s="78">
        <f t="shared" si="23"/>
        <v>1.1459389872825154E-5</v>
      </c>
      <c r="O74" s="48">
        <f t="shared" si="23"/>
        <v>2.2918779745650307E-5</v>
      </c>
      <c r="P74" s="48">
        <f t="shared" si="23"/>
        <v>4.5837559491300615E-5</v>
      </c>
      <c r="Q74" s="101">
        <f t="shared" si="23"/>
        <v>9.167511898260123E-5</v>
      </c>
      <c r="R74" s="48">
        <f t="shared" si="23"/>
        <v>1.8335023796520246E-4</v>
      </c>
      <c r="S74" s="26">
        <f t="shared" si="23"/>
        <v>3.6670047593040492E-4</v>
      </c>
      <c r="T74" s="18">
        <f t="shared" ref="T74:X74" si="24">T73/$B$55</f>
        <v>5.500507138956074E-4</v>
      </c>
      <c r="U74" s="26">
        <f t="shared" si="24"/>
        <v>6.0505578528516812E-4</v>
      </c>
      <c r="V74" s="26">
        <f t="shared" ref="V74:W74" si="25">V73/$B$55</f>
        <v>6.4172583287820867E-4</v>
      </c>
      <c r="W74" s="26">
        <f t="shared" si="25"/>
        <v>6.7839588047124912E-4</v>
      </c>
      <c r="X74" s="26">
        <f t="shared" si="24"/>
        <v>7.1506592806428967E-4</v>
      </c>
      <c r="Y74" s="291">
        <f t="shared" si="23"/>
        <v>7.3340095186080984E-4</v>
      </c>
      <c r="Z74" s="27">
        <f t="shared" ref="Z74:AC74" si="26">Z73/$B$55</f>
        <v>8.8008114223297183E-4</v>
      </c>
      <c r="AA74" s="27">
        <f t="shared" si="26"/>
        <v>1.0267613326051337E-3</v>
      </c>
      <c r="AB74" s="27">
        <f t="shared" si="26"/>
        <v>1.1734415229772957E-3</v>
      </c>
      <c r="AC74" s="27">
        <f t="shared" si="26"/>
        <v>1.3201217133494577E-3</v>
      </c>
      <c r="AD74" s="27">
        <f t="shared" si="23"/>
        <v>1.4668019037216197E-3</v>
      </c>
      <c r="AE74" s="27">
        <f t="shared" ref="AE74:AH74" si="27">AE73/$B$55</f>
        <v>1.7601622844659437E-3</v>
      </c>
      <c r="AF74" s="27">
        <f t="shared" si="27"/>
        <v>2.0535226652102674E-3</v>
      </c>
      <c r="AG74" s="27">
        <f t="shared" si="27"/>
        <v>2.3468830459545914E-3</v>
      </c>
      <c r="AH74" s="27">
        <f t="shared" si="27"/>
        <v>2.6402434266989154E-3</v>
      </c>
      <c r="AI74" s="27">
        <f t="shared" si="23"/>
        <v>2.9336038074432393E-3</v>
      </c>
      <c r="AJ74" s="27">
        <f t="shared" si="23"/>
        <v>5.8672076148864787E-3</v>
      </c>
      <c r="AK74" s="27">
        <f t="shared" si="23"/>
        <v>1.1734415229772957E-2</v>
      </c>
      <c r="AL74" s="87">
        <f t="shared" si="23"/>
        <v>2.3468830459545915E-2</v>
      </c>
      <c r="AM74" s="87">
        <f t="shared" si="23"/>
        <v>4.693766091909183E-2</v>
      </c>
      <c r="AN74" s="87">
        <f t="shared" si="23"/>
        <v>9.3875321838183659E-2</v>
      </c>
      <c r="AO74" s="87">
        <f t="shared" si="23"/>
        <v>0.18775064367636732</v>
      </c>
      <c r="AP74" s="87">
        <f t="shared" si="23"/>
        <v>0.37550128735273464</v>
      </c>
      <c r="AQ74" s="260">
        <f t="shared" si="23"/>
        <v>0.75100257470546927</v>
      </c>
      <c r="AR74" s="257">
        <f>AR73/$B$55</f>
        <v>1.5020051494109385</v>
      </c>
      <c r="AS74" s="193">
        <v>1</v>
      </c>
      <c r="AT74" s="236">
        <f>AT73/B55</f>
        <v>0.47</v>
      </c>
      <c r="AU74" s="37"/>
      <c r="AV74" s="37"/>
      <c r="AW74" s="81"/>
    </row>
    <row r="75" spans="1:49" x14ac:dyDescent="0.25">
      <c r="A75" s="53" t="s">
        <v>269</v>
      </c>
      <c r="B75" s="28"/>
      <c r="C75" s="28"/>
      <c r="D75" s="28"/>
      <c r="E75" s="28"/>
      <c r="F75" s="28"/>
      <c r="G75" s="28"/>
      <c r="H75" s="28"/>
      <c r="I75" s="28"/>
      <c r="J75" s="28"/>
      <c r="K75" s="28"/>
      <c r="L75" s="212">
        <f t="shared" ref="L75:AQ75" si="28">L73-L69</f>
        <v>42.1875</v>
      </c>
      <c r="M75" s="213">
        <f t="shared" si="28"/>
        <v>84.375</v>
      </c>
      <c r="N75" s="213">
        <f t="shared" si="28"/>
        <v>168.75</v>
      </c>
      <c r="O75" s="213">
        <f t="shared" si="28"/>
        <v>337.5</v>
      </c>
      <c r="P75" s="213">
        <f t="shared" si="28"/>
        <v>675</v>
      </c>
      <c r="Q75" s="212">
        <f t="shared" si="28"/>
        <v>1350</v>
      </c>
      <c r="R75" s="213">
        <f t="shared" si="28"/>
        <v>2700</v>
      </c>
      <c r="S75" s="213">
        <f t="shared" si="28"/>
        <v>5400</v>
      </c>
      <c r="T75" s="212">
        <f t="shared" ref="T75:U75" si="29">T73-T69</f>
        <v>8100</v>
      </c>
      <c r="U75" s="213">
        <f t="shared" si="29"/>
        <v>8910</v>
      </c>
      <c r="V75" s="213">
        <f t="shared" ref="V75:W75" si="30">V73-V69</f>
        <v>9450</v>
      </c>
      <c r="W75" s="213">
        <f t="shared" si="30"/>
        <v>9990</v>
      </c>
      <c r="X75" s="213">
        <f>X73-X69</f>
        <v>10530</v>
      </c>
      <c r="Y75" s="214">
        <f t="shared" si="28"/>
        <v>10800</v>
      </c>
      <c r="Z75" s="213">
        <f t="shared" ref="Z75:AC75" si="31">Z73-Z69</f>
        <v>12960</v>
      </c>
      <c r="AA75" s="213">
        <f t="shared" si="31"/>
        <v>15120</v>
      </c>
      <c r="AB75" s="213">
        <f t="shared" si="31"/>
        <v>17280</v>
      </c>
      <c r="AC75" s="213">
        <f t="shared" si="31"/>
        <v>19440</v>
      </c>
      <c r="AD75" s="213">
        <f t="shared" si="28"/>
        <v>21600</v>
      </c>
      <c r="AE75" s="213">
        <f t="shared" ref="AE75:AH75" si="32">AE73-AE69</f>
        <v>25920</v>
      </c>
      <c r="AF75" s="213">
        <f t="shared" si="32"/>
        <v>30240</v>
      </c>
      <c r="AG75" s="213">
        <f t="shared" si="32"/>
        <v>34560</v>
      </c>
      <c r="AH75" s="213">
        <f t="shared" si="32"/>
        <v>38880</v>
      </c>
      <c r="AI75" s="213">
        <f t="shared" si="28"/>
        <v>43200</v>
      </c>
      <c r="AJ75" s="213">
        <f t="shared" si="28"/>
        <v>86400</v>
      </c>
      <c r="AK75" s="213">
        <f>AK73-AK69</f>
        <v>172800</v>
      </c>
      <c r="AL75" s="213">
        <f t="shared" si="28"/>
        <v>345600</v>
      </c>
      <c r="AM75" s="213">
        <f t="shared" si="28"/>
        <v>691200</v>
      </c>
      <c r="AN75" s="213">
        <f t="shared" si="28"/>
        <v>1382400</v>
      </c>
      <c r="AO75" s="213">
        <f t="shared" si="28"/>
        <v>2764800</v>
      </c>
      <c r="AP75" s="213">
        <f t="shared" si="28"/>
        <v>5529600</v>
      </c>
      <c r="AQ75" s="214">
        <f t="shared" si="28"/>
        <v>11059200</v>
      </c>
      <c r="AR75" s="258">
        <f>AR73</f>
        <v>38502400</v>
      </c>
      <c r="AS75" s="215">
        <f>AS73</f>
        <v>25634000</v>
      </c>
      <c r="AT75" s="239">
        <f>AT73-AT69</f>
        <v>6921180</v>
      </c>
      <c r="AU75" s="37"/>
      <c r="AV75" s="37"/>
      <c r="AW75" s="81"/>
    </row>
    <row r="76" spans="1:49" x14ac:dyDescent="0.25">
      <c r="A76" s="49" t="s">
        <v>270</v>
      </c>
      <c r="B76" s="51"/>
      <c r="C76" s="51"/>
      <c r="D76" s="51"/>
      <c r="E76" s="51"/>
      <c r="F76" s="51"/>
      <c r="G76" s="51"/>
      <c r="H76" s="51"/>
      <c r="I76" s="51"/>
      <c r="J76" s="51"/>
      <c r="K76" s="51"/>
      <c r="L76" s="216">
        <f>MIN((1/$B$57)*(2^(((L68 - 14) - $B$65)/$L$93)),L75)</f>
        <v>20.654227676036832</v>
      </c>
      <c r="M76" s="217">
        <f>MIN((1/$B$57)*(2^(((M68 - 14) - $B$65)/$L$93)),M75)</f>
        <v>30.142039123903544</v>
      </c>
      <c r="N76" s="217">
        <f>MIN((1/$B$57)*(2^(((N68 - 14) - $B$65)/$L$93)),N75)</f>
        <v>43.988210878542283</v>
      </c>
      <c r="O76" s="217">
        <f>MIN((1/$B$57)*(2^(((O68 - 14) - $B$65)/$L$93)),O75)</f>
        <v>64.194817355957198</v>
      </c>
      <c r="P76" s="219">
        <f t="shared" ref="P76:AD76" si="33">MIN(($L$69/$B$57)*(2^(((P68 - 14) - $L$68)/HLOOKUP((P68-14)-$B$65,$L$91:$AT$93,3,TRUE))),P75)</f>
        <v>88.715543708475153</v>
      </c>
      <c r="Q76" s="220">
        <f t="shared" si="33"/>
        <v>164.797699905652</v>
      </c>
      <c r="R76" s="219">
        <f t="shared" si="33"/>
        <v>258.14393939393938</v>
      </c>
      <c r="S76" s="219">
        <f t="shared" si="33"/>
        <v>652.90566473901549</v>
      </c>
      <c r="T76" s="220">
        <f t="shared" si="33"/>
        <v>6823.7847729487321</v>
      </c>
      <c r="U76" s="219">
        <f t="shared" si="33"/>
        <v>8910</v>
      </c>
      <c r="V76" s="219">
        <f t="shared" si="33"/>
        <v>9450</v>
      </c>
      <c r="W76" s="219">
        <f t="shared" si="33"/>
        <v>9990</v>
      </c>
      <c r="X76" s="219">
        <f t="shared" si="33"/>
        <v>10530</v>
      </c>
      <c r="Y76" s="218">
        <f t="shared" si="33"/>
        <v>10800</v>
      </c>
      <c r="Z76" s="219">
        <f t="shared" si="33"/>
        <v>12960</v>
      </c>
      <c r="AA76" s="219">
        <f t="shared" si="33"/>
        <v>15120</v>
      </c>
      <c r="AB76" s="219">
        <f t="shared" si="33"/>
        <v>17280</v>
      </c>
      <c r="AC76" s="219">
        <f t="shared" si="33"/>
        <v>19440</v>
      </c>
      <c r="AD76" s="219">
        <f t="shared" si="33"/>
        <v>21600</v>
      </c>
      <c r="AE76" s="219">
        <f t="shared" ref="AE76:AH76" si="34">MIN(($L$69/$B$57)*(2^(((AE68 - 14) - $L$68)/HLOOKUP((AE68-14)-$B$65,$L$91:$AT$93,3,TRUE))),AE75)</f>
        <v>25920</v>
      </c>
      <c r="AF76" s="219">
        <f t="shared" si="34"/>
        <v>30240</v>
      </c>
      <c r="AG76" s="219">
        <f t="shared" si="34"/>
        <v>34560</v>
      </c>
      <c r="AH76" s="219">
        <f t="shared" si="34"/>
        <v>38880</v>
      </c>
      <c r="AI76" s="219">
        <f t="shared" ref="AI76:AS76" si="35">MIN(($L$69/$B$57)*(2^(((AI68 - 14) - $L$68)/HLOOKUP((AI68-14)-$B$65,$L$91:$AT$93,3,TRUE))),AI75)</f>
        <v>43200</v>
      </c>
      <c r="AJ76" s="219">
        <f t="shared" si="35"/>
        <v>86400</v>
      </c>
      <c r="AK76" s="219">
        <f t="shared" si="35"/>
        <v>172800</v>
      </c>
      <c r="AL76" s="219">
        <f t="shared" si="35"/>
        <v>345600</v>
      </c>
      <c r="AM76" s="219">
        <f t="shared" si="35"/>
        <v>691200</v>
      </c>
      <c r="AN76" s="219">
        <f t="shared" si="35"/>
        <v>1382400</v>
      </c>
      <c r="AO76" s="219">
        <f t="shared" si="35"/>
        <v>2764800</v>
      </c>
      <c r="AP76" s="219">
        <f t="shared" si="35"/>
        <v>5529600</v>
      </c>
      <c r="AQ76" s="218">
        <f t="shared" si="35"/>
        <v>11059200</v>
      </c>
      <c r="AR76" s="258">
        <f t="shared" si="35"/>
        <v>38502400</v>
      </c>
      <c r="AS76" s="221">
        <f t="shared" si="35"/>
        <v>25634000</v>
      </c>
      <c r="AT76" s="239"/>
      <c r="AU76" s="37"/>
      <c r="AV76" s="37"/>
      <c r="AW76" s="81"/>
    </row>
    <row r="77" spans="1:49" x14ac:dyDescent="0.25">
      <c r="A77" s="53" t="s">
        <v>262</v>
      </c>
      <c r="B77" s="28"/>
      <c r="C77" s="28"/>
      <c r="D77" s="28"/>
      <c r="E77" s="28"/>
      <c r="F77" s="28"/>
      <c r="G77" s="28"/>
      <c r="H77" s="28"/>
      <c r="I77" s="28"/>
      <c r="J77" s="28"/>
      <c r="K77" s="28"/>
      <c r="L77" s="230">
        <f t="shared" ref="L77:AS77" si="36">L69*$B$61</f>
        <v>25.3125</v>
      </c>
      <c r="M77" s="231">
        <f t="shared" si="36"/>
        <v>50.625</v>
      </c>
      <c r="N77" s="231">
        <f>N69*$B$61</f>
        <v>101.25</v>
      </c>
      <c r="O77" s="231">
        <f t="shared" si="36"/>
        <v>202.5</v>
      </c>
      <c r="P77" s="231">
        <f t="shared" si="36"/>
        <v>405</v>
      </c>
      <c r="Q77" s="230">
        <f t="shared" si="36"/>
        <v>810</v>
      </c>
      <c r="R77" s="231">
        <f t="shared" si="36"/>
        <v>1620</v>
      </c>
      <c r="S77" s="231">
        <f t="shared" si="36"/>
        <v>3240</v>
      </c>
      <c r="T77" s="230">
        <f t="shared" ref="T77:X77" si="37">T69*$B$61</f>
        <v>4860</v>
      </c>
      <c r="U77" s="231">
        <f t="shared" si="37"/>
        <v>5346</v>
      </c>
      <c r="V77" s="231">
        <f t="shared" ref="V77:W77" si="38">V69*$B$61</f>
        <v>5670</v>
      </c>
      <c r="W77" s="231">
        <f t="shared" si="38"/>
        <v>5994</v>
      </c>
      <c r="X77" s="231">
        <f t="shared" si="37"/>
        <v>6318</v>
      </c>
      <c r="Y77" s="262">
        <f t="shared" si="36"/>
        <v>6480</v>
      </c>
      <c r="Z77" s="231">
        <f t="shared" ref="Z77:AC77" si="39">Z69*$B$61</f>
        <v>7776.0000000000009</v>
      </c>
      <c r="AA77" s="231">
        <f t="shared" si="39"/>
        <v>9072</v>
      </c>
      <c r="AB77" s="231">
        <f t="shared" si="39"/>
        <v>10368</v>
      </c>
      <c r="AC77" s="231">
        <f t="shared" si="39"/>
        <v>11664</v>
      </c>
      <c r="AD77" s="231">
        <f t="shared" si="36"/>
        <v>12960</v>
      </c>
      <c r="AE77" s="231">
        <f t="shared" ref="AE77:AH77" si="40">AE69*$B$61</f>
        <v>15552.000000000002</v>
      </c>
      <c r="AF77" s="231">
        <f t="shared" si="40"/>
        <v>18144</v>
      </c>
      <c r="AG77" s="231">
        <f t="shared" si="40"/>
        <v>20736</v>
      </c>
      <c r="AH77" s="231">
        <f t="shared" si="40"/>
        <v>23328</v>
      </c>
      <c r="AI77" s="231">
        <f t="shared" si="36"/>
        <v>25920</v>
      </c>
      <c r="AJ77" s="231">
        <f t="shared" si="36"/>
        <v>51840</v>
      </c>
      <c r="AK77" s="231">
        <f t="shared" si="36"/>
        <v>103680</v>
      </c>
      <c r="AL77" s="231">
        <f t="shared" si="36"/>
        <v>207360</v>
      </c>
      <c r="AM77" s="231">
        <f t="shared" si="36"/>
        <v>414720</v>
      </c>
      <c r="AN77" s="231">
        <f t="shared" si="36"/>
        <v>829440</v>
      </c>
      <c r="AO77" s="231">
        <f t="shared" si="36"/>
        <v>1658880</v>
      </c>
      <c r="AP77" s="231">
        <f t="shared" si="36"/>
        <v>3317760</v>
      </c>
      <c r="AQ77" s="262">
        <f t="shared" si="36"/>
        <v>6635520</v>
      </c>
      <c r="AR77" s="256">
        <f t="shared" si="36"/>
        <v>13271040</v>
      </c>
      <c r="AS77" s="215">
        <f t="shared" si="36"/>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D78" si="41">MAX(P77-(($L$69*$B$61)*(2^(((P68 -14) - $L$68)/HLOOKUP((P68-14)-$B$65,$L$91:$AT$93,3,TRUE)))),0)</f>
        <v>374.42145089197237</v>
      </c>
      <c r="Q78" s="224">
        <f t="shared" si="41"/>
        <v>753.19738854315824</v>
      </c>
      <c r="R78" s="223">
        <f t="shared" si="41"/>
        <v>1531.0227272727273</v>
      </c>
      <c r="S78" s="223">
        <f t="shared" si="41"/>
        <v>3014.9559198133607</v>
      </c>
      <c r="T78" s="309">
        <f t="shared" si="41"/>
        <v>2507.9720569836286</v>
      </c>
      <c r="U78" s="308">
        <f t="shared" si="41"/>
        <v>0</v>
      </c>
      <c r="V78" s="308">
        <f t="shared" si="41"/>
        <v>0</v>
      </c>
      <c r="W78" s="308">
        <f t="shared" si="41"/>
        <v>0</v>
      </c>
      <c r="X78" s="308">
        <f t="shared" si="41"/>
        <v>0</v>
      </c>
      <c r="Y78" s="316">
        <f t="shared" si="41"/>
        <v>0</v>
      </c>
      <c r="Z78" s="223">
        <f t="shared" si="41"/>
        <v>0</v>
      </c>
      <c r="AA78" s="223">
        <f t="shared" si="41"/>
        <v>2535.7300342326562</v>
      </c>
      <c r="AB78" s="223">
        <f t="shared" si="41"/>
        <v>2270.1513285104102</v>
      </c>
      <c r="AC78" s="223">
        <f t="shared" si="41"/>
        <v>4065.6991668501269</v>
      </c>
      <c r="AD78" s="223">
        <f t="shared" si="41"/>
        <v>3959.9971997141674</v>
      </c>
      <c r="AE78" s="223">
        <f t="shared" ref="AE78:AH78" si="42">MAX(AE77-(($L$69*$B$61)*(2^(((AE68 -14) - $L$68)/HLOOKUP((AE68-14)-$B$65,$L$91:$AT$93,3,TRUE)))),0)</f>
        <v>5352.335285813786</v>
      </c>
      <c r="AF78" s="223">
        <f t="shared" si="42"/>
        <v>5196.8658077538894</v>
      </c>
      <c r="AG78" s="223">
        <f t="shared" si="42"/>
        <v>2248.2459396598024</v>
      </c>
      <c r="AH78" s="223">
        <f t="shared" si="42"/>
        <v>0</v>
      </c>
      <c r="AI78" s="223">
        <f t="shared" ref="AI78:AS78" si="43">MAX(AI77-(($L$69*$B$61)*(2^(((AI68 -14) - $L$68)/HLOOKUP((AI68-14)-$B$65,$L$91:$AT$93,3,TRUE)))),0)</f>
        <v>0</v>
      </c>
      <c r="AJ78" s="223">
        <f t="shared" si="43"/>
        <v>0</v>
      </c>
      <c r="AK78" s="223">
        <f t="shared" si="43"/>
        <v>0</v>
      </c>
      <c r="AL78" s="223">
        <f t="shared" si="43"/>
        <v>0</v>
      </c>
      <c r="AM78" s="223">
        <f t="shared" si="43"/>
        <v>0</v>
      </c>
      <c r="AN78" s="223">
        <f t="shared" si="43"/>
        <v>0</v>
      </c>
      <c r="AO78" s="223">
        <f t="shared" si="43"/>
        <v>0</v>
      </c>
      <c r="AP78" s="223">
        <f t="shared" si="43"/>
        <v>0</v>
      </c>
      <c r="AQ78" s="232">
        <f t="shared" si="43"/>
        <v>0</v>
      </c>
      <c r="AR78" s="259">
        <f t="shared" si="43"/>
        <v>0</v>
      </c>
      <c r="AS78" s="221">
        <f t="shared" si="43"/>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4">M69*$B$62</f>
        <v>8.75</v>
      </c>
      <c r="N79" s="231">
        <f t="shared" si="44"/>
        <v>17.5</v>
      </c>
      <c r="O79" s="231">
        <f t="shared" si="44"/>
        <v>35</v>
      </c>
      <c r="P79" s="262">
        <f t="shared" si="44"/>
        <v>70</v>
      </c>
      <c r="Q79" s="225">
        <f>Q69*$B$62</f>
        <v>140</v>
      </c>
      <c r="R79" s="226">
        <f t="shared" ref="R79:AS79" si="45">R69*$B$62</f>
        <v>280</v>
      </c>
      <c r="S79" s="226">
        <f t="shared" si="45"/>
        <v>560</v>
      </c>
      <c r="T79" s="225">
        <f t="shared" si="45"/>
        <v>840.00000000000011</v>
      </c>
      <c r="U79" s="226">
        <f t="shared" si="45"/>
        <v>924.00000000000011</v>
      </c>
      <c r="V79" s="226">
        <f t="shared" si="45"/>
        <v>980.00000000000011</v>
      </c>
      <c r="W79" s="226">
        <f t="shared" si="45"/>
        <v>1036</v>
      </c>
      <c r="X79" s="226">
        <f t="shared" si="45"/>
        <v>1092</v>
      </c>
      <c r="Y79" s="234">
        <f t="shared" si="45"/>
        <v>1120</v>
      </c>
      <c r="Z79" s="226">
        <f t="shared" si="45"/>
        <v>1344.0000000000002</v>
      </c>
      <c r="AA79" s="226">
        <f t="shared" si="45"/>
        <v>1568.0000000000002</v>
      </c>
      <c r="AB79" s="226">
        <f t="shared" si="45"/>
        <v>1792.0000000000002</v>
      </c>
      <c r="AC79" s="226">
        <f t="shared" si="45"/>
        <v>2016.0000000000002</v>
      </c>
      <c r="AD79" s="226">
        <f t="shared" si="45"/>
        <v>2240</v>
      </c>
      <c r="AE79" s="226">
        <f t="shared" ref="AE79:AH79" si="46">AE69*$B$62</f>
        <v>2688.0000000000005</v>
      </c>
      <c r="AF79" s="226">
        <f t="shared" si="46"/>
        <v>3136.0000000000005</v>
      </c>
      <c r="AG79" s="226">
        <f t="shared" si="46"/>
        <v>3584.0000000000005</v>
      </c>
      <c r="AH79" s="226">
        <f t="shared" si="46"/>
        <v>4032.0000000000005</v>
      </c>
      <c r="AI79" s="226">
        <f t="shared" si="45"/>
        <v>4480</v>
      </c>
      <c r="AJ79" s="226">
        <f t="shared" si="45"/>
        <v>8960</v>
      </c>
      <c r="AK79" s="226">
        <f t="shared" si="45"/>
        <v>17920</v>
      </c>
      <c r="AL79" s="226">
        <f t="shared" si="45"/>
        <v>35840</v>
      </c>
      <c r="AM79" s="226">
        <f t="shared" si="45"/>
        <v>71680</v>
      </c>
      <c r="AN79" s="226">
        <f t="shared" si="45"/>
        <v>143360</v>
      </c>
      <c r="AO79" s="226">
        <f t="shared" si="45"/>
        <v>286720</v>
      </c>
      <c r="AP79" s="226">
        <f t="shared" si="45"/>
        <v>573440</v>
      </c>
      <c r="AQ79" s="234">
        <f t="shared" si="45"/>
        <v>1146880</v>
      </c>
      <c r="AR79" s="256">
        <f t="shared" si="45"/>
        <v>2293760</v>
      </c>
      <c r="AS79" s="256">
        <f t="shared" si="45"/>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7">L79</f>
        <v>4.375</v>
      </c>
      <c r="M80" s="307">
        <f t="shared" si="47"/>
        <v>8.75</v>
      </c>
      <c r="N80" s="213">
        <f t="shared" si="47"/>
        <v>17.5</v>
      </c>
      <c r="O80" s="213">
        <f t="shared" si="47"/>
        <v>35</v>
      </c>
      <c r="P80" s="214">
        <f>P79-P82</f>
        <v>65</v>
      </c>
      <c r="Q80" s="212">
        <f t="shared" ref="Q80:R80" si="48">Q79-Q82</f>
        <v>130</v>
      </c>
      <c r="R80" s="213">
        <f t="shared" si="48"/>
        <v>260</v>
      </c>
      <c r="S80" s="213">
        <f>S79-S82</f>
        <v>520</v>
      </c>
      <c r="T80" s="220">
        <f t="shared" ref="T80" si="49">T79-T82</f>
        <v>780.39391295948042</v>
      </c>
      <c r="U80" s="219">
        <f t="shared" ref="U80:AD80" si="50">MAX(U79-($L$69*$B$62)*(2^(((U68 - 42) - $L$68)/HLOOKUP((U68-42)-$B$65,$L$91:$AT$93,3,TRUE)))-U82,0)</f>
        <v>847.96482898450097</v>
      </c>
      <c r="V80" s="219">
        <f t="shared" si="50"/>
        <v>0</v>
      </c>
      <c r="W80" s="219">
        <f t="shared" si="50"/>
        <v>0</v>
      </c>
      <c r="X80" s="219">
        <f t="shared" si="50"/>
        <v>0</v>
      </c>
      <c r="Y80" s="218">
        <f t="shared" si="50"/>
        <v>0</v>
      </c>
      <c r="Z80" s="213">
        <f t="shared" si="50"/>
        <v>0</v>
      </c>
      <c r="AA80" s="213">
        <f t="shared" si="50"/>
        <v>0</v>
      </c>
      <c r="AB80" s="213">
        <f t="shared" si="50"/>
        <v>0</v>
      </c>
      <c r="AC80" s="213">
        <f t="shared" si="50"/>
        <v>0</v>
      </c>
      <c r="AD80" s="213">
        <f t="shared" si="50"/>
        <v>0</v>
      </c>
      <c r="AE80" s="213">
        <f t="shared" ref="AE80:AH80" si="51">MAX(AE79-($L$69*$B$62)*(2^(((AE68 - 42) - $L$68)/HLOOKUP((AE68-42)-$B$65,$L$91:$AT$93,3,TRUE)))-AE82,0)</f>
        <v>1307.1034302747123</v>
      </c>
      <c r="AF80" s="213">
        <f t="shared" si="51"/>
        <v>1918.2174861529272</v>
      </c>
      <c r="AG80" s="213">
        <f t="shared" si="51"/>
        <v>1893.2913526195023</v>
      </c>
      <c r="AH80" s="213">
        <f t="shared" si="51"/>
        <v>0</v>
      </c>
      <c r="AI80" s="213">
        <f t="shared" ref="AI80:AS80" si="52">MAX(AI79-($L$69*$B$62)*(2^(((AI68 - 42) - $L$68)/HLOOKUP((AI68-42)-$B$65,$L$91:$AT$93,3,TRUE)))-AI82,0)</f>
        <v>0</v>
      </c>
      <c r="AJ80" s="213">
        <f t="shared" si="52"/>
        <v>0</v>
      </c>
      <c r="AK80" s="213">
        <f t="shared" si="52"/>
        <v>0</v>
      </c>
      <c r="AL80" s="213">
        <f t="shared" si="52"/>
        <v>0</v>
      </c>
      <c r="AM80" s="213">
        <f t="shared" si="52"/>
        <v>0</v>
      </c>
      <c r="AN80" s="213">
        <f t="shared" si="52"/>
        <v>0</v>
      </c>
      <c r="AO80" s="213">
        <f t="shared" si="52"/>
        <v>0</v>
      </c>
      <c r="AP80" s="213">
        <f t="shared" si="52"/>
        <v>0</v>
      </c>
      <c r="AQ80" s="214">
        <f t="shared" si="52"/>
        <v>0</v>
      </c>
      <c r="AR80" s="259">
        <f t="shared" si="52"/>
        <v>0</v>
      </c>
      <c r="AS80" s="221">
        <f t="shared" si="52"/>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53">M69*$B$63</f>
        <v>0.625</v>
      </c>
      <c r="N81" s="231">
        <f t="shared" si="53"/>
        <v>1.25</v>
      </c>
      <c r="O81" s="231">
        <f t="shared" si="53"/>
        <v>2.5</v>
      </c>
      <c r="P81" s="231">
        <f t="shared" si="53"/>
        <v>5</v>
      </c>
      <c r="Q81" s="230">
        <f t="shared" si="53"/>
        <v>10</v>
      </c>
      <c r="R81" s="231">
        <f t="shared" si="53"/>
        <v>20</v>
      </c>
      <c r="S81" s="231">
        <f t="shared" si="53"/>
        <v>40</v>
      </c>
      <c r="T81" s="309">
        <f t="shared" si="53"/>
        <v>60</v>
      </c>
      <c r="U81" s="308">
        <f t="shared" si="53"/>
        <v>66</v>
      </c>
      <c r="V81" s="308">
        <f t="shared" si="53"/>
        <v>70</v>
      </c>
      <c r="W81" s="308">
        <f t="shared" si="53"/>
        <v>74</v>
      </c>
      <c r="X81" s="308">
        <f t="shared" si="53"/>
        <v>78</v>
      </c>
      <c r="Y81" s="308">
        <f t="shared" si="53"/>
        <v>80</v>
      </c>
      <c r="Z81" s="230">
        <f t="shared" si="53"/>
        <v>96</v>
      </c>
      <c r="AA81" s="231">
        <f t="shared" si="53"/>
        <v>112</v>
      </c>
      <c r="AB81" s="231">
        <f t="shared" si="53"/>
        <v>128</v>
      </c>
      <c r="AC81" s="231">
        <f t="shared" si="53"/>
        <v>144</v>
      </c>
      <c r="AD81" s="231">
        <f t="shared" si="53"/>
        <v>160</v>
      </c>
      <c r="AE81" s="231">
        <f t="shared" ref="AE81:AH81" si="54">AE69*$B$63</f>
        <v>192</v>
      </c>
      <c r="AF81" s="231">
        <f t="shared" si="54"/>
        <v>224</v>
      </c>
      <c r="AG81" s="231">
        <f t="shared" si="54"/>
        <v>256</v>
      </c>
      <c r="AH81" s="231">
        <f t="shared" si="54"/>
        <v>288</v>
      </c>
      <c r="AI81" s="231">
        <f t="shared" si="53"/>
        <v>320</v>
      </c>
      <c r="AJ81" s="231">
        <f t="shared" si="53"/>
        <v>640</v>
      </c>
      <c r="AK81" s="231">
        <f t="shared" si="53"/>
        <v>1280</v>
      </c>
      <c r="AL81" s="231">
        <f t="shared" si="53"/>
        <v>2560</v>
      </c>
      <c r="AM81" s="231">
        <f t="shared" si="53"/>
        <v>5120</v>
      </c>
      <c r="AN81" s="231">
        <f t="shared" si="53"/>
        <v>10240</v>
      </c>
      <c r="AO81" s="231">
        <f t="shared" si="53"/>
        <v>20480</v>
      </c>
      <c r="AP81" s="231">
        <f t="shared" si="53"/>
        <v>40960</v>
      </c>
      <c r="AQ81" s="262">
        <f t="shared" si="53"/>
        <v>81920</v>
      </c>
      <c r="AR81" s="215">
        <f t="shared" si="53"/>
        <v>163840</v>
      </c>
      <c r="AS81" s="310">
        <f t="shared" si="53"/>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55">L81</f>
        <v>0.3125</v>
      </c>
      <c r="M82" s="217">
        <f t="shared" si="55"/>
        <v>0.625</v>
      </c>
      <c r="N82" s="217">
        <f t="shared" si="55"/>
        <v>1.25</v>
      </c>
      <c r="O82" s="217">
        <f t="shared" si="55"/>
        <v>2.5</v>
      </c>
      <c r="P82" s="219">
        <f>P81</f>
        <v>5</v>
      </c>
      <c r="Q82" s="220">
        <f t="shared" ref="Q82:S82" si="56">Q81</f>
        <v>10</v>
      </c>
      <c r="R82" s="219">
        <f t="shared" si="56"/>
        <v>20</v>
      </c>
      <c r="S82" s="219">
        <f t="shared" si="56"/>
        <v>40</v>
      </c>
      <c r="T82" s="224">
        <f t="shared" ref="T82:AD82" si="57">MAX(T81-($L$69*$B$63)*(2^(((T68 - 35) - $L$68)/HLOOKUP((T68-35)-$B$65,$L$91:$AT$93,3,TRUE))),0)</f>
        <v>59.606087040519746</v>
      </c>
      <c r="U82" s="223">
        <f t="shared" si="57"/>
        <v>62.794999036915641</v>
      </c>
      <c r="V82" s="223">
        <f t="shared" si="57"/>
        <v>0</v>
      </c>
      <c r="W82" s="223">
        <f t="shared" si="57"/>
        <v>6.8110132162080248</v>
      </c>
      <c r="X82" s="223">
        <f t="shared" si="57"/>
        <v>0</v>
      </c>
      <c r="Y82" s="223">
        <f t="shared" si="57"/>
        <v>0</v>
      </c>
      <c r="Z82" s="224">
        <f t="shared" si="57"/>
        <v>0</v>
      </c>
      <c r="AA82" s="223">
        <f t="shared" si="57"/>
        <v>0</v>
      </c>
      <c r="AB82" s="223">
        <f t="shared" si="57"/>
        <v>0</v>
      </c>
      <c r="AC82" s="223">
        <f t="shared" si="57"/>
        <v>68.70616176806584</v>
      </c>
      <c r="AD82" s="223">
        <f t="shared" si="57"/>
        <v>68.627241382759635</v>
      </c>
      <c r="AE82" s="223">
        <f t="shared" ref="AE82:AH82" si="58">MAX(AE81-($L$69*$B$63)*(2^(((AE68 - 35) - $L$68)/HLOOKUP((AE68-35)-$B$65,$L$91:$AT$93,3,TRUE))),0)</f>
        <v>108.60683921156712</v>
      </c>
      <c r="AF82" s="223">
        <f t="shared" si="58"/>
        <v>116.17432881892364</v>
      </c>
      <c r="AG82" s="223">
        <f t="shared" si="58"/>
        <v>114.07343886024699</v>
      </c>
      <c r="AH82" s="223">
        <f t="shared" si="58"/>
        <v>0</v>
      </c>
      <c r="AI82" s="223">
        <f t="shared" ref="AI82:AS82" si="59">MAX(AI81-($L$69*$B$63)*(2^(((AI68 - 35) - $L$68)/HLOOKUP((AI68-35)-$B$65,$L$91:$AT$93,3,TRUE))),0)</f>
        <v>0</v>
      </c>
      <c r="AJ82" s="223">
        <f t="shared" si="59"/>
        <v>0</v>
      </c>
      <c r="AK82" s="223">
        <f t="shared" si="59"/>
        <v>0</v>
      </c>
      <c r="AL82" s="223">
        <f t="shared" si="59"/>
        <v>0</v>
      </c>
      <c r="AM82" s="223">
        <f t="shared" si="59"/>
        <v>0</v>
      </c>
      <c r="AN82" s="223">
        <f t="shared" si="59"/>
        <v>0</v>
      </c>
      <c r="AO82" s="223">
        <f t="shared" si="59"/>
        <v>0</v>
      </c>
      <c r="AP82" s="223">
        <f t="shared" si="59"/>
        <v>0</v>
      </c>
      <c r="AQ82" s="232">
        <f t="shared" si="59"/>
        <v>0</v>
      </c>
      <c r="AR82" s="259">
        <f t="shared" si="59"/>
        <v>0</v>
      </c>
      <c r="AS82" s="221">
        <f t="shared" si="59"/>
        <v>0</v>
      </c>
      <c r="AT82" s="237"/>
      <c r="AU82" s="57"/>
      <c r="AV82" s="57"/>
      <c r="AW82" s="81"/>
    </row>
    <row r="83" spans="1:49" x14ac:dyDescent="0.25">
      <c r="A83" s="16" t="s">
        <v>152</v>
      </c>
      <c r="B83" s="97"/>
      <c r="C83" s="21"/>
      <c r="D83" s="21"/>
      <c r="E83" s="21"/>
      <c r="F83" s="21"/>
      <c r="G83" s="21"/>
      <c r="H83" s="21"/>
      <c r="I83" s="21"/>
      <c r="J83" s="21"/>
      <c r="K83" s="21"/>
      <c r="L83" s="312">
        <f t="shared" ref="L83:AS83" si="60">L69*$B$64</f>
        <v>0.734375</v>
      </c>
      <c r="M83" s="313">
        <f t="shared" si="60"/>
        <v>1.46875</v>
      </c>
      <c r="N83" s="313">
        <f t="shared" si="60"/>
        <v>2.9375</v>
      </c>
      <c r="O83" s="313">
        <f t="shared" si="60"/>
        <v>5.875</v>
      </c>
      <c r="P83" s="313">
        <f t="shared" si="60"/>
        <v>11.75</v>
      </c>
      <c r="Q83" s="312">
        <f t="shared" si="60"/>
        <v>23.5</v>
      </c>
      <c r="R83" s="313">
        <f t="shared" si="60"/>
        <v>47</v>
      </c>
      <c r="S83" s="313">
        <f t="shared" si="60"/>
        <v>94</v>
      </c>
      <c r="T83" s="312">
        <f t="shared" ref="T83:X83" si="61">T69*$B$64</f>
        <v>141</v>
      </c>
      <c r="U83" s="313">
        <f t="shared" si="61"/>
        <v>155.1</v>
      </c>
      <c r="V83" s="313">
        <f t="shared" ref="V83:W83" si="62">V69*$B$64</f>
        <v>164.5</v>
      </c>
      <c r="W83" s="313">
        <f t="shared" si="62"/>
        <v>173.9</v>
      </c>
      <c r="X83" s="313">
        <f t="shared" si="61"/>
        <v>183.3</v>
      </c>
      <c r="Y83" s="314">
        <f t="shared" si="60"/>
        <v>188</v>
      </c>
      <c r="Z83" s="313">
        <f t="shared" ref="Z83:AC83" si="63">Z69*$B$64</f>
        <v>225.6</v>
      </c>
      <c r="AA83" s="313">
        <f t="shared" si="63"/>
        <v>263.2</v>
      </c>
      <c r="AB83" s="313">
        <f t="shared" si="63"/>
        <v>300.8</v>
      </c>
      <c r="AC83" s="313">
        <f t="shared" si="63"/>
        <v>338.4</v>
      </c>
      <c r="AD83" s="313">
        <f t="shared" si="60"/>
        <v>376</v>
      </c>
      <c r="AE83" s="313">
        <f t="shared" ref="AE83:AH83" si="64">AE69*$B$64</f>
        <v>451.2</v>
      </c>
      <c r="AF83" s="313">
        <f t="shared" si="64"/>
        <v>526.4</v>
      </c>
      <c r="AG83" s="313">
        <f t="shared" si="64"/>
        <v>601.6</v>
      </c>
      <c r="AH83" s="313">
        <f t="shared" si="64"/>
        <v>676.8</v>
      </c>
      <c r="AI83" s="313">
        <f t="shared" si="60"/>
        <v>752</v>
      </c>
      <c r="AJ83" s="313">
        <f t="shared" si="60"/>
        <v>1504</v>
      </c>
      <c r="AK83" s="313">
        <f t="shared" si="60"/>
        <v>3008</v>
      </c>
      <c r="AL83" s="313">
        <f t="shared" si="60"/>
        <v>6016</v>
      </c>
      <c r="AM83" s="313">
        <f t="shared" si="60"/>
        <v>12032</v>
      </c>
      <c r="AN83" s="313">
        <f t="shared" si="60"/>
        <v>24064</v>
      </c>
      <c r="AO83" s="313">
        <f t="shared" si="60"/>
        <v>48128</v>
      </c>
      <c r="AP83" s="313">
        <f t="shared" si="60"/>
        <v>96256</v>
      </c>
      <c r="AQ83" s="314">
        <f t="shared" si="60"/>
        <v>192512</v>
      </c>
      <c r="AR83" s="315">
        <f t="shared" si="60"/>
        <v>385024</v>
      </c>
      <c r="AS83" s="315">
        <f t="shared" si="60"/>
        <v>602399</v>
      </c>
      <c r="AT83" s="311">
        <f>AT69*B64</f>
        <v>120479.8</v>
      </c>
      <c r="AU83" s="57"/>
      <c r="AV83" s="57"/>
      <c r="AW83" s="81"/>
    </row>
    <row r="84" spans="1:49" s="81" customFormat="1" hidden="1" x14ac:dyDescent="0.25">
      <c r="A84" s="60" t="s">
        <v>204</v>
      </c>
      <c r="B84" s="37"/>
      <c r="C84" s="59"/>
      <c r="D84" s="59"/>
      <c r="E84" s="59"/>
      <c r="F84" s="59"/>
      <c r="G84" s="59"/>
      <c r="H84" s="59"/>
      <c r="I84" s="59"/>
      <c r="J84" s="59"/>
      <c r="K84" s="59"/>
      <c r="L84" s="164">
        <f t="shared" ref="L84:S84" si="65">L68-7</f>
        <v>43885</v>
      </c>
      <c r="M84" s="164">
        <f t="shared" si="65"/>
        <v>43889</v>
      </c>
      <c r="N84" s="164">
        <f t="shared" si="65"/>
        <v>43893</v>
      </c>
      <c r="O84" s="164">
        <f t="shared" si="65"/>
        <v>43897</v>
      </c>
      <c r="P84" s="164">
        <f t="shared" si="65"/>
        <v>43901</v>
      </c>
      <c r="Q84" s="164">
        <f t="shared" si="65"/>
        <v>43904</v>
      </c>
      <c r="R84" s="164">
        <f t="shared" si="65"/>
        <v>43907</v>
      </c>
      <c r="S84" s="164">
        <f t="shared" si="65"/>
        <v>43912</v>
      </c>
      <c r="T84" s="164"/>
      <c r="U84" s="164"/>
      <c r="V84" s="164"/>
      <c r="W84" s="164"/>
      <c r="X84" s="164"/>
      <c r="Y84" s="164">
        <f>Y68-7</f>
        <v>44007</v>
      </c>
      <c r="Z84" s="164"/>
      <c r="AA84" s="164"/>
      <c r="AB84" s="164"/>
      <c r="AC84" s="164"/>
      <c r="AD84" s="164">
        <f t="shared" ref="AD84:AS84" si="66">AD68-7</f>
        <v>44035</v>
      </c>
      <c r="AE84" s="164"/>
      <c r="AF84" s="164"/>
      <c r="AG84" s="164"/>
      <c r="AH84" s="164"/>
      <c r="AI84" s="164">
        <f t="shared" si="66"/>
        <v>44565</v>
      </c>
      <c r="AJ84" s="164">
        <f t="shared" si="66"/>
        <v>45095</v>
      </c>
      <c r="AK84" s="164">
        <f t="shared" si="66"/>
        <v>45625</v>
      </c>
      <c r="AL84" s="164">
        <f t="shared" si="66"/>
        <v>46155</v>
      </c>
      <c r="AM84" s="164">
        <f t="shared" si="66"/>
        <v>46685</v>
      </c>
      <c r="AN84" s="164">
        <f t="shared" si="66"/>
        <v>47215</v>
      </c>
      <c r="AO84" s="164">
        <f t="shared" si="66"/>
        <v>47745</v>
      </c>
      <c r="AP84" s="164">
        <f t="shared" si="66"/>
        <v>48275</v>
      </c>
      <c r="AQ84" s="164">
        <f t="shared" si="66"/>
        <v>48805</v>
      </c>
      <c r="AR84" s="164">
        <f t="shared" si="66"/>
        <v>49335</v>
      </c>
      <c r="AS84" s="164">
        <f t="shared" si="66"/>
        <v>49865</v>
      </c>
      <c r="AT84" s="164"/>
      <c r="AU84" s="57"/>
      <c r="AV84" s="57"/>
    </row>
    <row r="85" spans="1:49" s="81" customFormat="1" hidden="1" x14ac:dyDescent="0.25">
      <c r="A85" s="60" t="s">
        <v>202</v>
      </c>
      <c r="B85" s="37"/>
      <c r="C85" s="59"/>
      <c r="D85" s="59"/>
      <c r="E85" s="59"/>
      <c r="F85" s="59"/>
      <c r="G85" s="59"/>
      <c r="H85" s="59"/>
      <c r="I85" s="59"/>
      <c r="J85" s="59"/>
      <c r="K85" s="59"/>
      <c r="L85" s="164">
        <f t="shared" ref="L85:S85" si="67">L68-14</f>
        <v>43878</v>
      </c>
      <c r="M85" s="164">
        <f t="shared" si="67"/>
        <v>43882</v>
      </c>
      <c r="N85" s="164">
        <f t="shared" si="67"/>
        <v>43886</v>
      </c>
      <c r="O85" s="164">
        <f t="shared" si="67"/>
        <v>43890</v>
      </c>
      <c r="P85" s="164">
        <f t="shared" si="67"/>
        <v>43894</v>
      </c>
      <c r="Q85" s="164">
        <f t="shared" si="67"/>
        <v>43897</v>
      </c>
      <c r="R85" s="164">
        <f t="shared" si="67"/>
        <v>43900</v>
      </c>
      <c r="S85" s="164">
        <f t="shared" si="67"/>
        <v>43905</v>
      </c>
      <c r="T85" s="164"/>
      <c r="U85" s="164"/>
      <c r="V85" s="164"/>
      <c r="W85" s="164"/>
      <c r="X85" s="164"/>
      <c r="Y85" s="164">
        <f>Y68-14</f>
        <v>44000</v>
      </c>
      <c r="Z85" s="164"/>
      <c r="AA85" s="164"/>
      <c r="AB85" s="164"/>
      <c r="AC85" s="164"/>
      <c r="AD85" s="164">
        <f t="shared" ref="AD85:AS85" si="68">AD68-14</f>
        <v>44028</v>
      </c>
      <c r="AE85" s="164"/>
      <c r="AF85" s="164"/>
      <c r="AG85" s="164"/>
      <c r="AH85" s="164"/>
      <c r="AI85" s="164">
        <f t="shared" si="68"/>
        <v>44558</v>
      </c>
      <c r="AJ85" s="164">
        <f t="shared" si="68"/>
        <v>45088</v>
      </c>
      <c r="AK85" s="164">
        <f t="shared" si="68"/>
        <v>45618</v>
      </c>
      <c r="AL85" s="164">
        <f t="shared" si="68"/>
        <v>46148</v>
      </c>
      <c r="AM85" s="164">
        <f t="shared" si="68"/>
        <v>46678</v>
      </c>
      <c r="AN85" s="164">
        <f t="shared" si="68"/>
        <v>47208</v>
      </c>
      <c r="AO85" s="164">
        <f t="shared" si="68"/>
        <v>47738</v>
      </c>
      <c r="AP85" s="164">
        <f t="shared" si="68"/>
        <v>48268</v>
      </c>
      <c r="AQ85" s="164">
        <f t="shared" si="68"/>
        <v>48798</v>
      </c>
      <c r="AR85" s="164">
        <f t="shared" si="68"/>
        <v>49328</v>
      </c>
      <c r="AS85" s="164">
        <f t="shared" si="68"/>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9">L68-(7*5)</f>
        <v>43857</v>
      </c>
      <c r="M86" s="164">
        <f t="shared" si="69"/>
        <v>43861</v>
      </c>
      <c r="N86" s="164">
        <f t="shared" si="69"/>
        <v>43865</v>
      </c>
      <c r="O86" s="164">
        <f t="shared" si="69"/>
        <v>43869</v>
      </c>
      <c r="P86" s="164">
        <f t="shared" si="69"/>
        <v>43873</v>
      </c>
      <c r="Q86" s="164">
        <f t="shared" si="69"/>
        <v>43876</v>
      </c>
      <c r="R86" s="164">
        <f t="shared" si="69"/>
        <v>43879</v>
      </c>
      <c r="S86" s="164">
        <f t="shared" si="69"/>
        <v>43884</v>
      </c>
      <c r="T86" s="164"/>
      <c r="U86" s="164"/>
      <c r="V86" s="164"/>
      <c r="W86" s="164"/>
      <c r="X86" s="164"/>
      <c r="Y86" s="164">
        <f>Y68-(7*5)</f>
        <v>43979</v>
      </c>
      <c r="Z86" s="164"/>
      <c r="AA86" s="164"/>
      <c r="AB86" s="164"/>
      <c r="AC86" s="164"/>
      <c r="AD86" s="164">
        <f t="shared" ref="AD86:AS86" si="70">AD68-(7*5)</f>
        <v>44007</v>
      </c>
      <c r="AE86" s="164"/>
      <c r="AF86" s="164"/>
      <c r="AG86" s="164"/>
      <c r="AH86" s="164"/>
      <c r="AI86" s="164">
        <f t="shared" si="70"/>
        <v>44537</v>
      </c>
      <c r="AJ86" s="164">
        <f t="shared" si="70"/>
        <v>45067</v>
      </c>
      <c r="AK86" s="164">
        <f t="shared" si="70"/>
        <v>45597</v>
      </c>
      <c r="AL86" s="164">
        <f t="shared" si="70"/>
        <v>46127</v>
      </c>
      <c r="AM86" s="164">
        <f t="shared" si="70"/>
        <v>46657</v>
      </c>
      <c r="AN86" s="164">
        <f t="shared" si="70"/>
        <v>47187</v>
      </c>
      <c r="AO86" s="164">
        <f t="shared" si="70"/>
        <v>47717</v>
      </c>
      <c r="AP86" s="164">
        <f t="shared" si="70"/>
        <v>48247</v>
      </c>
      <c r="AQ86" s="164">
        <f t="shared" si="70"/>
        <v>48777</v>
      </c>
      <c r="AR86" s="164">
        <f t="shared" si="70"/>
        <v>49307</v>
      </c>
      <c r="AS86" s="164">
        <f t="shared" si="70"/>
        <v>49837</v>
      </c>
      <c r="AT86" s="164"/>
      <c r="AU86" s="57"/>
      <c r="AV86" s="57"/>
    </row>
    <row r="87" spans="1:49" s="81" customFormat="1" hidden="1" x14ac:dyDescent="0.25">
      <c r="A87" s="60" t="s">
        <v>203</v>
      </c>
      <c r="B87" s="37"/>
      <c r="C87" s="59"/>
      <c r="D87" s="59"/>
      <c r="E87" s="59"/>
      <c r="F87" s="59"/>
      <c r="G87" s="59"/>
      <c r="H87" s="59"/>
      <c r="I87" s="59"/>
      <c r="J87" s="59"/>
      <c r="K87" s="59"/>
      <c r="L87" s="164">
        <f t="shared" ref="L87:S87" si="71">L68-(6*7)</f>
        <v>43850</v>
      </c>
      <c r="M87" s="164">
        <f t="shared" si="71"/>
        <v>43854</v>
      </c>
      <c r="N87" s="164">
        <f t="shared" si="71"/>
        <v>43858</v>
      </c>
      <c r="O87" s="164">
        <f t="shared" si="71"/>
        <v>43862</v>
      </c>
      <c r="P87" s="164">
        <f t="shared" si="71"/>
        <v>43866</v>
      </c>
      <c r="Q87" s="164">
        <f t="shared" si="71"/>
        <v>43869</v>
      </c>
      <c r="R87" s="164">
        <f t="shared" si="71"/>
        <v>43872</v>
      </c>
      <c r="S87" s="164">
        <f t="shared" si="71"/>
        <v>43877</v>
      </c>
      <c r="T87" s="164"/>
      <c r="U87" s="164"/>
      <c r="V87" s="164"/>
      <c r="W87" s="164"/>
      <c r="X87" s="164"/>
      <c r="Y87" s="164">
        <f>Y68-(6*7)</f>
        <v>43972</v>
      </c>
      <c r="Z87" s="164"/>
      <c r="AA87" s="164"/>
      <c r="AB87" s="164"/>
      <c r="AC87" s="164"/>
      <c r="AD87" s="164">
        <f t="shared" ref="AD87:AS87" si="72">AD68-(6*7)</f>
        <v>44000</v>
      </c>
      <c r="AE87" s="164"/>
      <c r="AF87" s="164"/>
      <c r="AG87" s="164"/>
      <c r="AH87" s="164"/>
      <c r="AI87" s="164">
        <f t="shared" si="72"/>
        <v>44530</v>
      </c>
      <c r="AJ87" s="164">
        <f t="shared" si="72"/>
        <v>45060</v>
      </c>
      <c r="AK87" s="164">
        <f t="shared" si="72"/>
        <v>45590</v>
      </c>
      <c r="AL87" s="164">
        <f t="shared" si="72"/>
        <v>46120</v>
      </c>
      <c r="AM87" s="164">
        <f t="shared" si="72"/>
        <v>46650</v>
      </c>
      <c r="AN87" s="164">
        <f t="shared" si="72"/>
        <v>47180</v>
      </c>
      <c r="AO87" s="164">
        <f t="shared" si="72"/>
        <v>47710</v>
      </c>
      <c r="AP87" s="164">
        <f t="shared" si="72"/>
        <v>48240</v>
      </c>
      <c r="AQ87" s="164">
        <f t="shared" si="72"/>
        <v>48770</v>
      </c>
      <c r="AR87" s="164">
        <f t="shared" si="72"/>
        <v>49300</v>
      </c>
      <c r="AS87" s="164">
        <f t="shared" si="72"/>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73">(L68-$B$65)/7</f>
        <v>5.2857142857142856</v>
      </c>
      <c r="M90" s="155">
        <f t="shared" si="73"/>
        <v>5.8571428571428568</v>
      </c>
      <c r="N90" s="156">
        <f t="shared" si="73"/>
        <v>6.4285714285714288</v>
      </c>
      <c r="O90" s="158">
        <f t="shared" si="73"/>
        <v>7</v>
      </c>
      <c r="P90" s="155">
        <f t="shared" si="73"/>
        <v>7.5714285714285712</v>
      </c>
      <c r="Q90" s="159">
        <f t="shared" si="73"/>
        <v>8</v>
      </c>
      <c r="R90" s="156">
        <f t="shared" si="73"/>
        <v>8.4285714285714288</v>
      </c>
      <c r="S90" s="158">
        <f t="shared" si="73"/>
        <v>9.1428571428571423</v>
      </c>
      <c r="T90" s="158">
        <f t="shared" si="73"/>
        <v>10.63571428571387</v>
      </c>
      <c r="U90" s="155">
        <f t="shared" si="73"/>
        <v>12.264285714285506</v>
      </c>
      <c r="V90" s="155">
        <f t="shared" si="73"/>
        <v>15.928571428571429</v>
      </c>
      <c r="W90" s="155">
        <f t="shared" si="73"/>
        <v>20.950000000000209</v>
      </c>
      <c r="X90" s="155">
        <f t="shared" si="73"/>
        <v>22.307142857143067</v>
      </c>
      <c r="Y90" s="155">
        <f t="shared" si="73"/>
        <v>22.714285714285715</v>
      </c>
      <c r="Z90" s="155">
        <f t="shared" si="73"/>
        <v>24.034285714285424</v>
      </c>
      <c r="AA90" s="155">
        <f t="shared" si="73"/>
        <v>24.914285714285921</v>
      </c>
      <c r="AB90" s="155">
        <f t="shared" si="73"/>
        <v>25.594285714286212</v>
      </c>
      <c r="AC90" s="155">
        <f t="shared" si="73"/>
        <v>26.154285714285965</v>
      </c>
      <c r="AD90" s="158">
        <f t="shared" si="73"/>
        <v>26.714285714285715</v>
      </c>
      <c r="AE90" s="158">
        <f t="shared" ref="AE90:AH90" si="74">(AE68-$B$65)/7</f>
        <v>27.698571428571345</v>
      </c>
      <c r="AF90" s="158">
        <f t="shared" si="74"/>
        <v>28.834285714285215</v>
      </c>
      <c r="AG90" s="158">
        <f t="shared" si="74"/>
        <v>31.105714285713994</v>
      </c>
      <c r="AH90" s="158">
        <f t="shared" si="74"/>
        <v>87.285714285714292</v>
      </c>
      <c r="AI90" s="156">
        <f t="shared" si="73"/>
        <v>102.42857142857143</v>
      </c>
      <c r="AJ90" s="158">
        <f t="shared" si="73"/>
        <v>178.14285714285714</v>
      </c>
      <c r="AK90" s="158">
        <f t="shared" si="73"/>
        <v>253.85714285714286</v>
      </c>
      <c r="AL90" s="156">
        <f t="shared" si="73"/>
        <v>329.57142857142856</v>
      </c>
      <c r="AM90" s="158">
        <f t="shared" si="73"/>
        <v>405.28571428571428</v>
      </c>
      <c r="AN90" s="158">
        <f t="shared" si="73"/>
        <v>481</v>
      </c>
      <c r="AO90" s="158">
        <f t="shared" si="73"/>
        <v>556.71428571428567</v>
      </c>
      <c r="AP90" s="156">
        <f t="shared" si="73"/>
        <v>632.42857142857144</v>
      </c>
      <c r="AQ90" s="155">
        <f t="shared" si="73"/>
        <v>708.14285714285711</v>
      </c>
      <c r="AR90" s="158">
        <f t="shared" si="73"/>
        <v>783.85714285714289</v>
      </c>
      <c r="AS90" s="158">
        <f t="shared" si="73"/>
        <v>859.57142857142856</v>
      </c>
      <c r="AT90" s="158">
        <f t="shared" si="73"/>
        <v>867.57142857142856</v>
      </c>
    </row>
    <row r="91" spans="1:49" s="81" customFormat="1" x14ac:dyDescent="0.25">
      <c r="A91" s="157" t="s">
        <v>199</v>
      </c>
      <c r="B91" s="37"/>
      <c r="C91" s="59"/>
      <c r="D91" s="59"/>
      <c r="E91" s="59"/>
      <c r="F91" s="59"/>
      <c r="G91" s="59"/>
      <c r="H91" s="59"/>
      <c r="I91" s="59"/>
      <c r="J91" s="59"/>
      <c r="K91" s="59"/>
      <c r="L91" s="249">
        <f>L68-B65</f>
        <v>37</v>
      </c>
      <c r="M91" s="250">
        <f t="shared" ref="M91:AT91" si="75">M68-$B$65</f>
        <v>41</v>
      </c>
      <c r="N91" s="250">
        <f t="shared" si="75"/>
        <v>45</v>
      </c>
      <c r="O91" s="250">
        <f t="shared" si="75"/>
        <v>49</v>
      </c>
      <c r="P91" s="250">
        <f t="shared" si="75"/>
        <v>53</v>
      </c>
      <c r="Q91" s="250">
        <f t="shared" si="75"/>
        <v>56</v>
      </c>
      <c r="R91" s="250">
        <f t="shared" si="75"/>
        <v>59</v>
      </c>
      <c r="S91" s="250">
        <f t="shared" si="75"/>
        <v>64</v>
      </c>
      <c r="T91" s="250">
        <f t="shared" si="75"/>
        <v>74.44999999999709</v>
      </c>
      <c r="U91" s="250">
        <f t="shared" si="75"/>
        <v>85.849999999998545</v>
      </c>
      <c r="V91" s="250">
        <f t="shared" si="75"/>
        <v>111.5</v>
      </c>
      <c r="W91" s="250">
        <f t="shared" si="75"/>
        <v>146.65000000000146</v>
      </c>
      <c r="X91" s="250">
        <f t="shared" si="75"/>
        <v>156.15000000000146</v>
      </c>
      <c r="Y91" s="250">
        <f t="shared" si="75"/>
        <v>159</v>
      </c>
      <c r="Z91" s="250">
        <f t="shared" si="75"/>
        <v>168.23999999999796</v>
      </c>
      <c r="AA91" s="250">
        <f t="shared" si="75"/>
        <v>174.40000000000146</v>
      </c>
      <c r="AB91" s="250">
        <f t="shared" si="75"/>
        <v>179.16000000000349</v>
      </c>
      <c r="AC91" s="250">
        <f t="shared" si="75"/>
        <v>183.08000000000175</v>
      </c>
      <c r="AD91" s="250">
        <f t="shared" si="75"/>
        <v>187</v>
      </c>
      <c r="AE91" s="250">
        <f t="shared" ref="AE91:AH91" si="76">AE68-$B$65</f>
        <v>193.88999999999942</v>
      </c>
      <c r="AF91" s="250">
        <f t="shared" si="76"/>
        <v>201.83999999999651</v>
      </c>
      <c r="AG91" s="250">
        <f t="shared" si="76"/>
        <v>217.73999999999796</v>
      </c>
      <c r="AH91" s="250">
        <f t="shared" si="76"/>
        <v>611</v>
      </c>
      <c r="AI91" s="250">
        <f t="shared" si="75"/>
        <v>717</v>
      </c>
      <c r="AJ91" s="250">
        <f t="shared" si="75"/>
        <v>1247</v>
      </c>
      <c r="AK91" s="250">
        <f t="shared" si="75"/>
        <v>1777</v>
      </c>
      <c r="AL91" s="250">
        <f t="shared" si="75"/>
        <v>2307</v>
      </c>
      <c r="AM91" s="250">
        <f t="shared" si="75"/>
        <v>2837</v>
      </c>
      <c r="AN91" s="250">
        <f t="shared" si="75"/>
        <v>3367</v>
      </c>
      <c r="AO91" s="250">
        <f t="shared" si="75"/>
        <v>3897</v>
      </c>
      <c r="AP91" s="251">
        <f t="shared" si="75"/>
        <v>4427</v>
      </c>
      <c r="AQ91" s="250">
        <f t="shared" si="75"/>
        <v>4957</v>
      </c>
      <c r="AR91" s="255">
        <f t="shared" si="75"/>
        <v>5487</v>
      </c>
      <c r="AS91" s="248">
        <f t="shared" si="75"/>
        <v>6017</v>
      </c>
      <c r="AT91" s="248">
        <f t="shared" si="75"/>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98">
        <f t="shared" ref="AH92" si="77">AH69</f>
        <v>28800</v>
      </c>
      <c r="AI92" s="198">
        <f t="shared" ref="AI92:AQ92" si="78">AI69</f>
        <v>32000</v>
      </c>
      <c r="AJ92" s="198">
        <f t="shared" si="78"/>
        <v>64000</v>
      </c>
      <c r="AK92" s="198">
        <f t="shared" si="78"/>
        <v>128000</v>
      </c>
      <c r="AL92" s="198">
        <f t="shared" si="78"/>
        <v>256000</v>
      </c>
      <c r="AM92" s="198">
        <f t="shared" si="78"/>
        <v>512000</v>
      </c>
      <c r="AN92" s="198">
        <f t="shared" si="78"/>
        <v>1024000</v>
      </c>
      <c r="AO92" s="198">
        <f t="shared" si="78"/>
        <v>2048000</v>
      </c>
      <c r="AP92" s="198">
        <f t="shared" si="78"/>
        <v>4096000</v>
      </c>
      <c r="AQ92" s="198">
        <f t="shared" si="78"/>
        <v>8192000</v>
      </c>
      <c r="AR92" s="246">
        <f t="shared" ref="AR92" si="7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80">(M68-$L$68)/(LOG(M92/$L$92)/LOG(2))</f>
        <v>4.287770252524326</v>
      </c>
      <c r="N93" s="190">
        <f t="shared" si="80"/>
        <v>4.4111479339015975</v>
      </c>
      <c r="O93" s="190">
        <f t="shared" si="80"/>
        <v>4.1239916709798061</v>
      </c>
      <c r="P93" s="190">
        <f t="shared" si="80"/>
        <v>3.8325424233151351</v>
      </c>
      <c r="Q93" s="190">
        <f t="shared" si="80"/>
        <v>3.7835829796492675</v>
      </c>
      <c r="R93" s="190">
        <f t="shared" si="80"/>
        <v>3.5867723822019695</v>
      </c>
      <c r="S93" s="190">
        <f t="shared" si="80"/>
        <v>3.8687414968098568</v>
      </c>
      <c r="T93" s="190">
        <f t="shared" si="80"/>
        <v>4.9808465814944229</v>
      </c>
      <c r="U93" s="190">
        <f t="shared" si="80"/>
        <v>6.3885630863942993</v>
      </c>
      <c r="V93" s="190">
        <f t="shared" si="80"/>
        <v>9.6344649481670324</v>
      </c>
      <c r="W93" s="190">
        <f t="shared" si="80"/>
        <v>14.038490174645888</v>
      </c>
      <c r="X93" s="190">
        <f t="shared" si="80"/>
        <v>15.122961868611593</v>
      </c>
      <c r="Y93" s="190">
        <f t="shared" si="80"/>
        <v>15.400986476095756</v>
      </c>
      <c r="Z93" s="190">
        <f t="shared" si="80"/>
        <v>16.049220813005178</v>
      </c>
      <c r="AA93" s="190">
        <f t="shared" si="80"/>
        <v>16.335132462680878</v>
      </c>
      <c r="AB93" s="190">
        <f t="shared" si="80"/>
        <v>16.510569795792801</v>
      </c>
      <c r="AC93" s="190">
        <f t="shared" si="80"/>
        <v>16.657377848480287</v>
      </c>
      <c r="AD93" s="190">
        <f t="shared" si="80"/>
        <v>16.762668842280384</v>
      </c>
      <c r="AE93" s="190">
        <f t="shared" ref="AE93:AH93" si="81">(AE68-$L$68)/(LOG(AE92/$L$92)/LOG(2))</f>
        <v>17.048362616609818</v>
      </c>
      <c r="AF93" s="190">
        <f t="shared" si="81"/>
        <v>17.528507271306481</v>
      </c>
      <c r="AG93" s="190">
        <f t="shared" si="81"/>
        <v>18.83400454606134</v>
      </c>
      <c r="AH93" s="199">
        <f t="shared" si="81"/>
        <v>58.754965462822945</v>
      </c>
      <c r="AI93" s="199">
        <f t="shared" si="80"/>
        <v>68.538782234171862</v>
      </c>
      <c r="AJ93" s="199">
        <f t="shared" si="80"/>
        <v>110.79175651503336</v>
      </c>
      <c r="AK93" s="199">
        <f t="shared" si="80"/>
        <v>145.95613228599359</v>
      </c>
      <c r="AL93" s="199">
        <f t="shared" si="80"/>
        <v>175.67769187059901</v>
      </c>
      <c r="AM93" s="199">
        <f t="shared" si="80"/>
        <v>201.12933886290014</v>
      </c>
      <c r="AN93" s="199">
        <f t="shared" si="80"/>
        <v>223.16955478740664</v>
      </c>
      <c r="AO93" s="199">
        <f t="shared" si="80"/>
        <v>242.44114112672312</v>
      </c>
      <c r="AP93" s="199">
        <f t="shared" si="80"/>
        <v>259.43494932239372</v>
      </c>
      <c r="AQ93" s="199">
        <f t="shared" si="80"/>
        <v>274.53227426102649</v>
      </c>
      <c r="AR93" s="247">
        <f t="shared" si="80"/>
        <v>288.03380472507388</v>
      </c>
      <c r="AS93" s="204">
        <f t="shared" si="80"/>
        <v>305.61408219293753</v>
      </c>
      <c r="AT93" s="205">
        <f t="shared" si="8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4"/>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82">N92-N94-N96</f>
        <v>22</v>
      </c>
      <c r="O95" s="120">
        <f t="shared" si="82"/>
        <v>25</v>
      </c>
      <c r="P95" s="163">
        <f>P92-P94-P96</f>
        <v>43</v>
      </c>
      <c r="Q95" s="163">
        <f t="shared" ref="Q95:S95" si="83">Q92-Q94-Q96</f>
        <v>46</v>
      </c>
      <c r="R95" s="163">
        <f t="shared" si="83"/>
        <v>118</v>
      </c>
      <c r="S95" s="163">
        <f t="shared" si="83"/>
        <v>245</v>
      </c>
      <c r="T95" s="163">
        <f t="shared" ref="T95:U95" si="84">T92-T94-T96</f>
        <v>2813</v>
      </c>
      <c r="U95" s="163">
        <f t="shared" si="84"/>
        <v>4230</v>
      </c>
      <c r="V95" s="163">
        <f t="shared" ref="V95:W95" si="85">V92-V94-V96</f>
        <v>6337</v>
      </c>
      <c r="W95" s="163">
        <f t="shared" si="85"/>
        <v>6878</v>
      </c>
      <c r="X95" s="163">
        <f t="shared" ref="X95:Y95" si="86">X92-X94-X96</f>
        <v>7008</v>
      </c>
      <c r="Y95" s="163">
        <f t="shared" si="86"/>
        <v>7090</v>
      </c>
      <c r="Z95" s="163">
        <f t="shared" ref="Z95:AB95" si="87">Z92-Z94-Z96</f>
        <v>7730</v>
      </c>
      <c r="AA95" s="163">
        <f t="shared" si="87"/>
        <v>8117</v>
      </c>
      <c r="AB95" s="163">
        <f t="shared" si="87"/>
        <v>8653</v>
      </c>
      <c r="AC95" s="163">
        <f t="shared" ref="AC95:AD95" si="88">AC92-AC94-AC96</f>
        <v>9170</v>
      </c>
      <c r="AD95" s="163">
        <f t="shared" si="88"/>
        <v>9758</v>
      </c>
      <c r="AE95" s="163">
        <f t="shared" ref="AE95:AG95" si="89">AE92-AE94-AE96</f>
        <v>10799</v>
      </c>
      <c r="AF95" s="163">
        <f t="shared" si="89"/>
        <v>13001</v>
      </c>
      <c r="AG95" s="163">
        <f t="shared" si="89"/>
        <v>20856</v>
      </c>
      <c r="AH95" s="303">
        <v>25336</v>
      </c>
      <c r="AI95" s="303"/>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304">
        <v>907</v>
      </c>
      <c r="AI96" s="304"/>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90">L$69*$D$100</f>
        <v>2.3312458216996341</v>
      </c>
      <c r="M100" s="31">
        <f t="shared" si="90"/>
        <v>4.6624916433992682</v>
      </c>
      <c r="N100" s="31">
        <f t="shared" si="90"/>
        <v>9.3249832867985365</v>
      </c>
      <c r="O100" s="31">
        <f t="shared" si="90"/>
        <v>18.649966573597073</v>
      </c>
      <c r="P100" s="31">
        <f t="shared" si="90"/>
        <v>37.299933147194146</v>
      </c>
      <c r="Q100" s="31">
        <f t="shared" si="90"/>
        <v>74.599866294388292</v>
      </c>
      <c r="R100" s="31">
        <f t="shared" si="90"/>
        <v>149.19973258877658</v>
      </c>
      <c r="S100" s="31">
        <f t="shared" si="90"/>
        <v>298.39946517755317</v>
      </c>
      <c r="T100" s="31">
        <f t="shared" si="90"/>
        <v>447.59919776632978</v>
      </c>
      <c r="U100" s="31">
        <f t="shared" si="90"/>
        <v>492.35911754296274</v>
      </c>
      <c r="V100" s="31">
        <f t="shared" si="90"/>
        <v>522.199064060718</v>
      </c>
      <c r="W100" s="31">
        <f t="shared" si="90"/>
        <v>552.03901057847338</v>
      </c>
      <c r="X100" s="31">
        <f t="shared" si="90"/>
        <v>581.87895709622865</v>
      </c>
      <c r="Y100" s="31">
        <f t="shared" si="90"/>
        <v>596.79893035510634</v>
      </c>
      <c r="Z100" s="31">
        <f t="shared" si="90"/>
        <v>716.15871642612763</v>
      </c>
      <c r="AA100" s="31">
        <f t="shared" si="90"/>
        <v>835.51850249714892</v>
      </c>
      <c r="AB100" s="31">
        <f t="shared" si="90"/>
        <v>954.87828856817009</v>
      </c>
      <c r="AC100" s="31">
        <f t="shared" si="90"/>
        <v>1074.2380746391914</v>
      </c>
      <c r="AD100" s="31">
        <f t="shared" si="90"/>
        <v>1193.5978607102127</v>
      </c>
      <c r="AE100" s="31">
        <f t="shared" si="90"/>
        <v>1432.3174328522553</v>
      </c>
      <c r="AF100" s="31">
        <f t="shared" si="90"/>
        <v>1671.0370049942978</v>
      </c>
      <c r="AG100" s="31">
        <f t="shared" si="90"/>
        <v>1909.7565771363402</v>
      </c>
      <c r="AH100" s="31">
        <f t="shared" si="90"/>
        <v>2148.4761492783828</v>
      </c>
      <c r="AI100" s="31">
        <f t="shared" si="90"/>
        <v>2387.1957214204253</v>
      </c>
      <c r="AJ100" s="31">
        <f t="shared" si="90"/>
        <v>4774.3914428408507</v>
      </c>
      <c r="AK100" s="31">
        <f t="shared" si="90"/>
        <v>9548.7828856817014</v>
      </c>
      <c r="AL100" s="31">
        <f t="shared" si="90"/>
        <v>19097.565771363403</v>
      </c>
      <c r="AM100" s="31">
        <f t="shared" si="90"/>
        <v>38195.131542726805</v>
      </c>
      <c r="AN100" s="31">
        <f t="shared" si="90"/>
        <v>76390.263085453611</v>
      </c>
      <c r="AO100" s="31">
        <f t="shared" si="90"/>
        <v>152780.52617090722</v>
      </c>
      <c r="AP100" s="31">
        <f t="shared" si="90"/>
        <v>305561.05234181444</v>
      </c>
      <c r="AQ100" s="72">
        <f t="shared" si="90"/>
        <v>611122.10468362889</v>
      </c>
      <c r="AR100" s="31">
        <f t="shared" si="90"/>
        <v>1222244.2093672578</v>
      </c>
      <c r="AS100" s="72">
        <f t="shared" si="90"/>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91">L$69*$D$100*$J$101</f>
        <v>0.55423925439458877</v>
      </c>
      <c r="M101" s="42">
        <f t="shared" si="91"/>
        <v>1.1084785087891775</v>
      </c>
      <c r="N101" s="42">
        <f t="shared" si="91"/>
        <v>2.2169570175783551</v>
      </c>
      <c r="O101" s="42">
        <f t="shared" si="91"/>
        <v>4.4339140351567101</v>
      </c>
      <c r="P101" s="42">
        <f t="shared" si="91"/>
        <v>8.8678280703134202</v>
      </c>
      <c r="Q101" s="42">
        <f t="shared" si="91"/>
        <v>17.73565614062684</v>
      </c>
      <c r="R101" s="42">
        <f t="shared" si="91"/>
        <v>35.471312281253681</v>
      </c>
      <c r="S101" s="42">
        <f t="shared" si="91"/>
        <v>70.942624562507362</v>
      </c>
      <c r="T101" s="42">
        <f t="shared" si="91"/>
        <v>106.41393684376106</v>
      </c>
      <c r="U101" s="42">
        <f t="shared" si="91"/>
        <v>117.05533052813716</v>
      </c>
      <c r="V101" s="42">
        <f t="shared" si="91"/>
        <v>124.14959298438788</v>
      </c>
      <c r="W101" s="42">
        <f t="shared" si="91"/>
        <v>131.24385544063864</v>
      </c>
      <c r="X101" s="42">
        <f t="shared" si="91"/>
        <v>138.33811789688937</v>
      </c>
      <c r="Y101" s="42">
        <f t="shared" si="91"/>
        <v>141.88524912501472</v>
      </c>
      <c r="Z101" s="42">
        <f t="shared" si="91"/>
        <v>170.26229895001768</v>
      </c>
      <c r="AA101" s="42">
        <f t="shared" si="91"/>
        <v>198.63934877502064</v>
      </c>
      <c r="AB101" s="42">
        <f t="shared" si="91"/>
        <v>227.01639860002356</v>
      </c>
      <c r="AC101" s="42">
        <f t="shared" si="91"/>
        <v>255.39344842502652</v>
      </c>
      <c r="AD101" s="42">
        <f t="shared" si="91"/>
        <v>283.77049825002945</v>
      </c>
      <c r="AE101" s="42">
        <f t="shared" si="91"/>
        <v>340.52459790003536</v>
      </c>
      <c r="AF101" s="42">
        <f t="shared" si="91"/>
        <v>397.27869755004127</v>
      </c>
      <c r="AG101" s="42">
        <f t="shared" si="91"/>
        <v>454.03279720004713</v>
      </c>
      <c r="AH101" s="42">
        <f t="shared" si="91"/>
        <v>510.78689685005304</v>
      </c>
      <c r="AI101" s="42">
        <f t="shared" si="91"/>
        <v>567.5409965000589</v>
      </c>
      <c r="AJ101" s="42">
        <f t="shared" si="91"/>
        <v>1135.0819930001178</v>
      </c>
      <c r="AK101" s="42">
        <f t="shared" si="91"/>
        <v>2270.1639860002356</v>
      </c>
      <c r="AL101" s="42">
        <f t="shared" si="91"/>
        <v>4540.3279720004712</v>
      </c>
      <c r="AM101" s="42">
        <f t="shared" si="91"/>
        <v>9080.6559440009423</v>
      </c>
      <c r="AN101" s="42">
        <f t="shared" si="91"/>
        <v>18161.311888001885</v>
      </c>
      <c r="AO101" s="42">
        <f t="shared" si="91"/>
        <v>36322.623776003769</v>
      </c>
      <c r="AP101" s="42">
        <f t="shared" si="91"/>
        <v>72645.247552007539</v>
      </c>
      <c r="AQ101" s="83">
        <f t="shared" si="91"/>
        <v>145290.49510401508</v>
      </c>
      <c r="AR101" s="42">
        <f t="shared" si="91"/>
        <v>290580.99020803015</v>
      </c>
      <c r="AS101" s="83">
        <f t="shared" si="91"/>
        <v>454635.80950882845</v>
      </c>
      <c r="AT101" s="57"/>
    </row>
    <row r="102" spans="1:46" x14ac:dyDescent="0.25">
      <c r="A102" s="53" t="s">
        <v>14</v>
      </c>
      <c r="B102" s="18">
        <f>'ABS Population by Age Range'!D97</f>
        <v>7.065336711718416E-2</v>
      </c>
      <c r="C102" s="22">
        <f t="shared" ref="C102:C116" si="92">$B$55*B102</f>
        <v>1811128.4126818988</v>
      </c>
      <c r="D102" s="35">
        <f>'AU Infection Rate by Age'!E7</f>
        <v>5.9341696488261431E-2</v>
      </c>
      <c r="E102" s="36"/>
      <c r="F102" s="36"/>
      <c r="G102" s="36"/>
      <c r="H102" s="36"/>
      <c r="I102" s="36"/>
      <c r="J102" s="29"/>
      <c r="K102" s="28"/>
      <c r="L102" s="32">
        <f t="shared" ref="L102:AS102" si="93">L$69*$D$102</f>
        <v>1.8544280152581698</v>
      </c>
      <c r="M102" s="33">
        <f t="shared" si="93"/>
        <v>3.7088560305163396</v>
      </c>
      <c r="N102" s="33">
        <f t="shared" si="93"/>
        <v>7.4177120610326792</v>
      </c>
      <c r="O102" s="33">
        <f t="shared" si="93"/>
        <v>14.835424122065358</v>
      </c>
      <c r="P102" s="33">
        <f t="shared" si="93"/>
        <v>29.670848244130717</v>
      </c>
      <c r="Q102" s="33">
        <f t="shared" si="93"/>
        <v>59.341696488261434</v>
      </c>
      <c r="R102" s="33">
        <f t="shared" si="93"/>
        <v>118.68339297652287</v>
      </c>
      <c r="S102" s="33">
        <f t="shared" si="93"/>
        <v>237.36678595304573</v>
      </c>
      <c r="T102" s="33">
        <f t="shared" si="93"/>
        <v>356.05017892956857</v>
      </c>
      <c r="U102" s="33">
        <f t="shared" si="93"/>
        <v>391.65519682252545</v>
      </c>
      <c r="V102" s="33">
        <f t="shared" si="93"/>
        <v>415.39187541783002</v>
      </c>
      <c r="W102" s="33">
        <f t="shared" si="93"/>
        <v>439.12855401313459</v>
      </c>
      <c r="X102" s="33">
        <f t="shared" si="93"/>
        <v>462.86523260843916</v>
      </c>
      <c r="Y102" s="33">
        <f t="shared" si="93"/>
        <v>474.73357190609147</v>
      </c>
      <c r="Z102" s="33">
        <f t="shared" si="93"/>
        <v>569.68028628730974</v>
      </c>
      <c r="AA102" s="33">
        <f t="shared" si="93"/>
        <v>664.62700066852801</v>
      </c>
      <c r="AB102" s="33">
        <f t="shared" si="93"/>
        <v>759.57371504974628</v>
      </c>
      <c r="AC102" s="33">
        <f t="shared" si="93"/>
        <v>854.52042943096455</v>
      </c>
      <c r="AD102" s="33">
        <f t="shared" si="93"/>
        <v>949.46714381218294</v>
      </c>
      <c r="AE102" s="33">
        <f t="shared" si="93"/>
        <v>1139.3605725746195</v>
      </c>
      <c r="AF102" s="33">
        <f t="shared" si="93"/>
        <v>1329.254001337056</v>
      </c>
      <c r="AG102" s="33">
        <f t="shared" si="93"/>
        <v>1519.1474300994926</v>
      </c>
      <c r="AH102" s="33">
        <f t="shared" si="93"/>
        <v>1709.0408588619291</v>
      </c>
      <c r="AI102" s="33">
        <f t="shared" si="93"/>
        <v>1898.9342876243659</v>
      </c>
      <c r="AJ102" s="33">
        <f t="shared" si="93"/>
        <v>3797.8685752487318</v>
      </c>
      <c r="AK102" s="33">
        <f t="shared" si="93"/>
        <v>7595.7371504974635</v>
      </c>
      <c r="AL102" s="33">
        <f t="shared" si="93"/>
        <v>15191.474300994927</v>
      </c>
      <c r="AM102" s="33">
        <f t="shared" si="93"/>
        <v>30382.948601989854</v>
      </c>
      <c r="AN102" s="33">
        <f t="shared" si="93"/>
        <v>60765.897203979708</v>
      </c>
      <c r="AO102" s="33">
        <f t="shared" si="93"/>
        <v>121531.79440795942</v>
      </c>
      <c r="AP102" s="33">
        <f t="shared" si="93"/>
        <v>243063.58881591883</v>
      </c>
      <c r="AQ102" s="84">
        <f t="shared" si="93"/>
        <v>486127.17763183767</v>
      </c>
      <c r="AR102" s="33">
        <f t="shared" si="93"/>
        <v>972254.35526367533</v>
      </c>
      <c r="AS102" s="84">
        <f t="shared" si="93"/>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94">L$69*$D$102*$J$103</f>
        <v>0.14501160092807425</v>
      </c>
      <c r="M103" s="42">
        <f t="shared" si="94"/>
        <v>0.29002320185614849</v>
      </c>
      <c r="N103" s="42">
        <f t="shared" si="94"/>
        <v>0.58004640371229699</v>
      </c>
      <c r="O103" s="42">
        <f t="shared" si="94"/>
        <v>1.160092807424594</v>
      </c>
      <c r="P103" s="42">
        <f t="shared" si="94"/>
        <v>2.3201856148491879</v>
      </c>
      <c r="Q103" s="42">
        <f t="shared" si="94"/>
        <v>4.6403712296983759</v>
      </c>
      <c r="R103" s="42">
        <f t="shared" si="94"/>
        <v>9.2807424593967518</v>
      </c>
      <c r="S103" s="42">
        <f t="shared" si="94"/>
        <v>18.561484918793504</v>
      </c>
      <c r="T103" s="42">
        <f t="shared" si="94"/>
        <v>27.842227378190252</v>
      </c>
      <c r="U103" s="42">
        <f t="shared" si="94"/>
        <v>30.626450116009281</v>
      </c>
      <c r="V103" s="42">
        <f t="shared" si="94"/>
        <v>32.482598607888633</v>
      </c>
      <c r="W103" s="42">
        <f t="shared" si="94"/>
        <v>34.338747099767978</v>
      </c>
      <c r="X103" s="42">
        <f t="shared" si="94"/>
        <v>36.194895591647331</v>
      </c>
      <c r="Y103" s="42">
        <f t="shared" si="94"/>
        <v>37.122969837587007</v>
      </c>
      <c r="Z103" s="42">
        <f t="shared" si="94"/>
        <v>44.547563805104403</v>
      </c>
      <c r="AA103" s="42">
        <f t="shared" si="94"/>
        <v>51.972157772621806</v>
      </c>
      <c r="AB103" s="42">
        <f t="shared" si="94"/>
        <v>59.396751740139209</v>
      </c>
      <c r="AC103" s="42">
        <f t="shared" si="94"/>
        <v>66.821345707656604</v>
      </c>
      <c r="AD103" s="42">
        <f t="shared" si="94"/>
        <v>74.245939675174014</v>
      </c>
      <c r="AE103" s="42">
        <f t="shared" si="94"/>
        <v>89.095127610208806</v>
      </c>
      <c r="AF103" s="42">
        <f t="shared" si="94"/>
        <v>103.94431554524361</v>
      </c>
      <c r="AG103" s="42">
        <f t="shared" si="94"/>
        <v>118.79350348027842</v>
      </c>
      <c r="AH103" s="42">
        <f t="shared" si="94"/>
        <v>133.64269141531321</v>
      </c>
      <c r="AI103" s="42">
        <f t="shared" si="94"/>
        <v>148.49187935034803</v>
      </c>
      <c r="AJ103" s="42">
        <f t="shared" si="94"/>
        <v>296.98375870069606</v>
      </c>
      <c r="AK103" s="42">
        <f t="shared" si="94"/>
        <v>593.96751740139212</v>
      </c>
      <c r="AL103" s="42">
        <f t="shared" si="94"/>
        <v>1187.9350348027842</v>
      </c>
      <c r="AM103" s="42">
        <f t="shared" si="94"/>
        <v>2375.8700696055685</v>
      </c>
      <c r="AN103" s="42">
        <f t="shared" si="94"/>
        <v>4751.7401392111369</v>
      </c>
      <c r="AO103" s="42">
        <f t="shared" si="94"/>
        <v>9503.4802784222738</v>
      </c>
      <c r="AP103" s="42">
        <f t="shared" si="94"/>
        <v>19006.960556844548</v>
      </c>
      <c r="AQ103" s="83">
        <f t="shared" si="94"/>
        <v>38013.921113689095</v>
      </c>
      <c r="AR103" s="42">
        <f t="shared" si="94"/>
        <v>76027.842227378191</v>
      </c>
      <c r="AS103" s="83">
        <f t="shared" si="94"/>
        <v>118951.27610208816</v>
      </c>
      <c r="AT103" s="57"/>
    </row>
    <row r="104" spans="1:46" x14ac:dyDescent="0.25">
      <c r="A104" s="53" t="s">
        <v>15</v>
      </c>
      <c r="B104" s="18">
        <f>'ABS Population by Age Range'!D85</f>
        <v>0.10301766910746854</v>
      </c>
      <c r="C104" s="22">
        <f t="shared" si="92"/>
        <v>2640754.9299008488</v>
      </c>
      <c r="D104" s="35">
        <f>'AU Infection Rate by Age'!E8</f>
        <v>8.7852451924967559E-2</v>
      </c>
      <c r="E104" s="36"/>
      <c r="F104" s="36"/>
      <c r="G104" s="36"/>
      <c r="H104" s="36"/>
      <c r="I104" s="36"/>
      <c r="J104" s="29"/>
      <c r="K104" s="22"/>
      <c r="L104" s="32">
        <f t="shared" ref="L104:AS104" si="95">L$69*$D$104</f>
        <v>2.745389122655236</v>
      </c>
      <c r="M104" s="33">
        <f t="shared" si="95"/>
        <v>5.4907782453104721</v>
      </c>
      <c r="N104" s="33">
        <f t="shared" si="95"/>
        <v>10.981556490620944</v>
      </c>
      <c r="O104" s="33">
        <f t="shared" si="95"/>
        <v>21.963112981241888</v>
      </c>
      <c r="P104" s="33">
        <f t="shared" si="95"/>
        <v>43.926225962483777</v>
      </c>
      <c r="Q104" s="33">
        <f t="shared" si="95"/>
        <v>87.852451924967554</v>
      </c>
      <c r="R104" s="33">
        <f t="shared" si="95"/>
        <v>175.70490384993511</v>
      </c>
      <c r="S104" s="33">
        <f t="shared" si="95"/>
        <v>351.40980769987021</v>
      </c>
      <c r="T104" s="33">
        <f t="shared" si="95"/>
        <v>527.11471154980541</v>
      </c>
      <c r="U104" s="33">
        <f t="shared" si="95"/>
        <v>579.82618270478588</v>
      </c>
      <c r="V104" s="33">
        <f t="shared" si="95"/>
        <v>614.96716347477286</v>
      </c>
      <c r="W104" s="33">
        <f t="shared" si="95"/>
        <v>650.10814424475996</v>
      </c>
      <c r="X104" s="33">
        <f t="shared" si="95"/>
        <v>685.24912501474694</v>
      </c>
      <c r="Y104" s="33">
        <f t="shared" si="95"/>
        <v>702.81961539974043</v>
      </c>
      <c r="Z104" s="33">
        <f t="shared" si="95"/>
        <v>843.38353847968858</v>
      </c>
      <c r="AA104" s="33">
        <f t="shared" si="95"/>
        <v>983.94746155963662</v>
      </c>
      <c r="AB104" s="33">
        <f t="shared" si="95"/>
        <v>1124.5113846395848</v>
      </c>
      <c r="AC104" s="33">
        <f t="shared" si="95"/>
        <v>1265.0753077195329</v>
      </c>
      <c r="AD104" s="33">
        <f t="shared" si="95"/>
        <v>1405.6392307994809</v>
      </c>
      <c r="AE104" s="33">
        <f t="shared" si="95"/>
        <v>1686.7670769593772</v>
      </c>
      <c r="AF104" s="33">
        <f t="shared" si="95"/>
        <v>1967.8949231192732</v>
      </c>
      <c r="AG104" s="33">
        <f t="shared" si="95"/>
        <v>2249.0227692791696</v>
      </c>
      <c r="AH104" s="33">
        <f t="shared" si="95"/>
        <v>2530.1506154390659</v>
      </c>
      <c r="AI104" s="33">
        <f t="shared" si="95"/>
        <v>2811.2784615989617</v>
      </c>
      <c r="AJ104" s="33">
        <f t="shared" si="95"/>
        <v>5622.5569231979234</v>
      </c>
      <c r="AK104" s="33">
        <f t="shared" si="95"/>
        <v>11245.113846395847</v>
      </c>
      <c r="AL104" s="33">
        <f t="shared" si="95"/>
        <v>22490.227692791694</v>
      </c>
      <c r="AM104" s="33">
        <f t="shared" si="95"/>
        <v>44980.455385583387</v>
      </c>
      <c r="AN104" s="33">
        <f t="shared" si="95"/>
        <v>89960.910771166775</v>
      </c>
      <c r="AO104" s="33">
        <f t="shared" si="95"/>
        <v>179921.82154233355</v>
      </c>
      <c r="AP104" s="33">
        <f t="shared" si="95"/>
        <v>359843.6430846671</v>
      </c>
      <c r="AQ104" s="84">
        <f t="shared" si="95"/>
        <v>719687.2861693342</v>
      </c>
      <c r="AR104" s="33">
        <f t="shared" si="95"/>
        <v>1439374.5723386684</v>
      </c>
      <c r="AS104" s="84">
        <f t="shared" si="95"/>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96">L$69*$D$104*$J$105</f>
        <v>3.1951708679067208E-2</v>
      </c>
      <c r="M105" s="42">
        <f t="shared" si="96"/>
        <v>6.3903417358134415E-2</v>
      </c>
      <c r="N105" s="42">
        <f t="shared" si="96"/>
        <v>0.12780683471626883</v>
      </c>
      <c r="O105" s="42">
        <f t="shared" si="96"/>
        <v>0.25561366943253766</v>
      </c>
      <c r="P105" s="42">
        <f t="shared" si="96"/>
        <v>0.51122733886507532</v>
      </c>
      <c r="Q105" s="42">
        <f t="shared" si="96"/>
        <v>1.0224546777301506</v>
      </c>
      <c r="R105" s="42">
        <f t="shared" si="96"/>
        <v>2.0449093554603013</v>
      </c>
      <c r="S105" s="42">
        <f t="shared" si="96"/>
        <v>4.0898187109206026</v>
      </c>
      <c r="T105" s="42">
        <f t="shared" si="96"/>
        <v>6.1347280663809043</v>
      </c>
      <c r="U105" s="42">
        <f t="shared" si="96"/>
        <v>6.7482008730189937</v>
      </c>
      <c r="V105" s="42">
        <f t="shared" si="96"/>
        <v>7.1571827441110534</v>
      </c>
      <c r="W105" s="42">
        <f t="shared" si="96"/>
        <v>7.5661646152031148</v>
      </c>
      <c r="X105" s="42">
        <f t="shared" si="96"/>
        <v>7.9751464862951744</v>
      </c>
      <c r="Y105" s="42">
        <f t="shared" si="96"/>
        <v>8.1796374218412051</v>
      </c>
      <c r="Z105" s="42">
        <f t="shared" si="96"/>
        <v>9.8155649062094454</v>
      </c>
      <c r="AA105" s="42">
        <f t="shared" si="96"/>
        <v>11.451492390577686</v>
      </c>
      <c r="AB105" s="42">
        <f t="shared" si="96"/>
        <v>13.087419874945928</v>
      </c>
      <c r="AC105" s="42">
        <f t="shared" si="96"/>
        <v>14.72334735931417</v>
      </c>
      <c r="AD105" s="42">
        <f t="shared" si="96"/>
        <v>16.35927484368241</v>
      </c>
      <c r="AE105" s="42">
        <f t="shared" si="96"/>
        <v>19.631129812418891</v>
      </c>
      <c r="AF105" s="42">
        <f t="shared" si="96"/>
        <v>22.902984781155372</v>
      </c>
      <c r="AG105" s="42">
        <f t="shared" si="96"/>
        <v>26.174839749891856</v>
      </c>
      <c r="AH105" s="42">
        <f t="shared" si="96"/>
        <v>29.44669471862834</v>
      </c>
      <c r="AI105" s="42">
        <f t="shared" si="96"/>
        <v>32.71854968736482</v>
      </c>
      <c r="AJ105" s="42">
        <f t="shared" si="96"/>
        <v>65.437099374729641</v>
      </c>
      <c r="AK105" s="42">
        <f t="shared" si="96"/>
        <v>130.87419874945928</v>
      </c>
      <c r="AL105" s="42">
        <f t="shared" si="96"/>
        <v>261.74839749891856</v>
      </c>
      <c r="AM105" s="42">
        <f t="shared" si="96"/>
        <v>523.49679499783713</v>
      </c>
      <c r="AN105" s="42">
        <f t="shared" si="96"/>
        <v>1046.9935899956743</v>
      </c>
      <c r="AO105" s="42">
        <f t="shared" si="96"/>
        <v>2093.9871799913485</v>
      </c>
      <c r="AP105" s="42">
        <f t="shared" si="96"/>
        <v>4187.974359982697</v>
      </c>
      <c r="AQ105" s="83">
        <f t="shared" si="96"/>
        <v>8375.948719965394</v>
      </c>
      <c r="AR105" s="42">
        <f t="shared" si="96"/>
        <v>16751.897439930788</v>
      </c>
      <c r="AS105" s="83">
        <f t="shared" si="96"/>
        <v>26209.603208934681</v>
      </c>
      <c r="AT105" s="57"/>
    </row>
    <row r="106" spans="1:46" x14ac:dyDescent="0.25">
      <c r="A106" s="53" t="s">
        <v>16</v>
      </c>
      <c r="B106" s="18">
        <f>'ABS Population by Age Range'!D73</f>
        <v>0.12142789925761971</v>
      </c>
      <c r="C106" s="22">
        <f t="shared" si="92"/>
        <v>3112682.7695698235</v>
      </c>
      <c r="D106" s="35">
        <f>'AU Infection Rate by Age'!E9</f>
        <v>0.11954854693460222</v>
      </c>
      <c r="E106" s="36"/>
      <c r="F106" s="36"/>
      <c r="G106" s="36"/>
      <c r="H106" s="36"/>
      <c r="I106" s="36"/>
      <c r="J106" s="29"/>
      <c r="K106" s="22"/>
      <c r="L106" s="32">
        <f t="shared" ref="L106:AS106" si="97">L$69*$D$106</f>
        <v>3.7358920917063192</v>
      </c>
      <c r="M106" s="33">
        <f t="shared" si="97"/>
        <v>7.4717841834126384</v>
      </c>
      <c r="N106" s="33">
        <f t="shared" si="97"/>
        <v>14.943568366825277</v>
      </c>
      <c r="O106" s="33">
        <f t="shared" si="97"/>
        <v>29.887136733650554</v>
      </c>
      <c r="P106" s="33">
        <f t="shared" si="97"/>
        <v>59.774273467301107</v>
      </c>
      <c r="Q106" s="33">
        <f t="shared" si="97"/>
        <v>119.54854693460221</v>
      </c>
      <c r="R106" s="33">
        <f t="shared" si="97"/>
        <v>239.09709386920443</v>
      </c>
      <c r="S106" s="33">
        <f t="shared" si="97"/>
        <v>478.19418773840886</v>
      </c>
      <c r="T106" s="33">
        <f t="shared" si="97"/>
        <v>717.29128160761331</v>
      </c>
      <c r="U106" s="33">
        <f t="shared" si="97"/>
        <v>789.02040976837463</v>
      </c>
      <c r="V106" s="33">
        <f t="shared" si="97"/>
        <v>836.83982854221551</v>
      </c>
      <c r="W106" s="33">
        <f t="shared" si="97"/>
        <v>884.65924731605639</v>
      </c>
      <c r="X106" s="33">
        <f t="shared" si="97"/>
        <v>932.47866608989727</v>
      </c>
      <c r="Y106" s="33">
        <f t="shared" si="97"/>
        <v>956.38837547681771</v>
      </c>
      <c r="Z106" s="33">
        <f t="shared" si="97"/>
        <v>1147.6660505721813</v>
      </c>
      <c r="AA106" s="33">
        <f t="shared" si="97"/>
        <v>1338.9437256675449</v>
      </c>
      <c r="AB106" s="33">
        <f t="shared" si="97"/>
        <v>1530.2214007629084</v>
      </c>
      <c r="AC106" s="33">
        <f t="shared" si="97"/>
        <v>1721.4990758582719</v>
      </c>
      <c r="AD106" s="33">
        <f t="shared" si="97"/>
        <v>1912.7767509536354</v>
      </c>
      <c r="AE106" s="33">
        <f t="shared" si="97"/>
        <v>2295.3321011443627</v>
      </c>
      <c r="AF106" s="33">
        <f t="shared" si="97"/>
        <v>2677.8874513350897</v>
      </c>
      <c r="AG106" s="33">
        <f t="shared" si="97"/>
        <v>3060.4428015258168</v>
      </c>
      <c r="AH106" s="33">
        <f t="shared" si="97"/>
        <v>3442.9981517165438</v>
      </c>
      <c r="AI106" s="33">
        <f t="shared" si="97"/>
        <v>3825.5535019072709</v>
      </c>
      <c r="AJ106" s="33">
        <f t="shared" si="97"/>
        <v>7651.1070038145417</v>
      </c>
      <c r="AK106" s="33">
        <f t="shared" si="97"/>
        <v>15302.214007629083</v>
      </c>
      <c r="AL106" s="33">
        <f t="shared" si="97"/>
        <v>30604.428015258167</v>
      </c>
      <c r="AM106" s="33">
        <f t="shared" si="97"/>
        <v>61208.856030516334</v>
      </c>
      <c r="AN106" s="33">
        <f t="shared" si="97"/>
        <v>122417.71206103267</v>
      </c>
      <c r="AO106" s="33">
        <f t="shared" si="97"/>
        <v>244835.42412206533</v>
      </c>
      <c r="AP106" s="33">
        <f t="shared" si="97"/>
        <v>489670.84824413067</v>
      </c>
      <c r="AQ106" s="84">
        <f t="shared" si="97"/>
        <v>979341.69648826134</v>
      </c>
      <c r="AR106" s="33">
        <f t="shared" si="97"/>
        <v>1958683.3929765227</v>
      </c>
      <c r="AS106" s="84">
        <f t="shared" si="97"/>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98">L$69*$D$106*$J$107</f>
        <v>1.5975854339533604E-2</v>
      </c>
      <c r="M107" s="42">
        <f t="shared" si="98"/>
        <v>3.1951708679067208E-2</v>
      </c>
      <c r="N107" s="42">
        <f t="shared" si="98"/>
        <v>6.3903417358134415E-2</v>
      </c>
      <c r="O107" s="42">
        <f t="shared" si="98"/>
        <v>0.12780683471626883</v>
      </c>
      <c r="P107" s="42">
        <f t="shared" si="98"/>
        <v>0.25561366943253766</v>
      </c>
      <c r="Q107" s="42">
        <f t="shared" si="98"/>
        <v>0.51122733886507532</v>
      </c>
      <c r="R107" s="42">
        <f t="shared" si="98"/>
        <v>1.0224546777301506</v>
      </c>
      <c r="S107" s="42">
        <f t="shared" si="98"/>
        <v>2.0449093554603013</v>
      </c>
      <c r="T107" s="42">
        <f t="shared" si="98"/>
        <v>3.0673640331904517</v>
      </c>
      <c r="U107" s="42">
        <f t="shared" si="98"/>
        <v>3.3741004365094969</v>
      </c>
      <c r="V107" s="42">
        <f t="shared" si="98"/>
        <v>3.5785913720555271</v>
      </c>
      <c r="W107" s="42">
        <f t="shared" si="98"/>
        <v>3.7830823076015574</v>
      </c>
      <c r="X107" s="42">
        <f t="shared" si="98"/>
        <v>3.9875732431475872</v>
      </c>
      <c r="Y107" s="42">
        <f t="shared" si="98"/>
        <v>4.0898187109206026</v>
      </c>
      <c r="Z107" s="42">
        <f t="shared" si="98"/>
        <v>4.9077824531047236</v>
      </c>
      <c r="AA107" s="42">
        <f t="shared" si="98"/>
        <v>5.7257461952888438</v>
      </c>
      <c r="AB107" s="42">
        <f t="shared" si="98"/>
        <v>6.5437099374729639</v>
      </c>
      <c r="AC107" s="42">
        <f t="shared" si="98"/>
        <v>7.3616736796570841</v>
      </c>
      <c r="AD107" s="42">
        <f t="shared" si="98"/>
        <v>8.1796374218412051</v>
      </c>
      <c r="AE107" s="42">
        <f t="shared" si="98"/>
        <v>9.8155649062094472</v>
      </c>
      <c r="AF107" s="42">
        <f t="shared" si="98"/>
        <v>11.451492390577688</v>
      </c>
      <c r="AG107" s="42">
        <f t="shared" si="98"/>
        <v>13.087419874945928</v>
      </c>
      <c r="AH107" s="42">
        <f t="shared" si="98"/>
        <v>14.723347359314168</v>
      </c>
      <c r="AI107" s="42">
        <f t="shared" si="98"/>
        <v>16.35927484368241</v>
      </c>
      <c r="AJ107" s="42">
        <f t="shared" si="98"/>
        <v>32.71854968736482</v>
      </c>
      <c r="AK107" s="42">
        <f t="shared" si="98"/>
        <v>65.437099374729641</v>
      </c>
      <c r="AL107" s="42">
        <f t="shared" si="98"/>
        <v>130.87419874945928</v>
      </c>
      <c r="AM107" s="42">
        <f t="shared" si="98"/>
        <v>261.74839749891856</v>
      </c>
      <c r="AN107" s="42">
        <f t="shared" si="98"/>
        <v>523.49679499783713</v>
      </c>
      <c r="AO107" s="42">
        <f t="shared" si="98"/>
        <v>1046.9935899956743</v>
      </c>
      <c r="AP107" s="42">
        <f t="shared" si="98"/>
        <v>2093.9871799913485</v>
      </c>
      <c r="AQ107" s="83">
        <f t="shared" si="98"/>
        <v>4187.974359982697</v>
      </c>
      <c r="AR107" s="42">
        <f t="shared" si="98"/>
        <v>8375.948719965394</v>
      </c>
      <c r="AS107" s="83">
        <f t="shared" si="98"/>
        <v>13104.801604467342</v>
      </c>
      <c r="AT107" s="57"/>
    </row>
    <row r="108" spans="1:46" x14ac:dyDescent="0.25">
      <c r="A108" s="53" t="s">
        <v>17</v>
      </c>
      <c r="B108" s="18">
        <f>'ABS Population by Age Range'!D61</f>
        <v>0.12908272398046944</v>
      </c>
      <c r="C108" s="22">
        <f t="shared" si="92"/>
        <v>3308906.5465153535</v>
      </c>
      <c r="D108" s="35">
        <f>'AU Infection Rate by Age'!E10</f>
        <v>0.1286326634944355</v>
      </c>
      <c r="E108" s="36"/>
      <c r="F108" s="36"/>
      <c r="G108" s="36"/>
      <c r="H108" s="36"/>
      <c r="I108" s="36"/>
      <c r="J108" s="29"/>
      <c r="K108" s="22"/>
      <c r="L108" s="32">
        <f t="shared" ref="L108:AS108" si="99">L$69*$D$108</f>
        <v>4.0197707342011091</v>
      </c>
      <c r="M108" s="33">
        <f t="shared" si="99"/>
        <v>8.0395414684022182</v>
      </c>
      <c r="N108" s="33">
        <f t="shared" si="99"/>
        <v>16.079082936804436</v>
      </c>
      <c r="O108" s="33">
        <f t="shared" si="99"/>
        <v>32.158165873608873</v>
      </c>
      <c r="P108" s="33">
        <f t="shared" si="99"/>
        <v>64.316331747217745</v>
      </c>
      <c r="Q108" s="33">
        <f t="shared" si="99"/>
        <v>128.63266349443549</v>
      </c>
      <c r="R108" s="33">
        <f t="shared" si="99"/>
        <v>257.26532698887098</v>
      </c>
      <c r="S108" s="33">
        <f t="shared" si="99"/>
        <v>514.53065397774196</v>
      </c>
      <c r="T108" s="33">
        <f t="shared" si="99"/>
        <v>771.795980966613</v>
      </c>
      <c r="U108" s="33">
        <f t="shared" si="99"/>
        <v>848.97557906327427</v>
      </c>
      <c r="V108" s="33">
        <f t="shared" si="99"/>
        <v>900.42864446104852</v>
      </c>
      <c r="W108" s="33">
        <f t="shared" si="99"/>
        <v>951.88170985882266</v>
      </c>
      <c r="X108" s="33">
        <f t="shared" si="99"/>
        <v>1003.3347752565969</v>
      </c>
      <c r="Y108" s="33">
        <f t="shared" si="99"/>
        <v>1029.0613079554839</v>
      </c>
      <c r="Z108" s="33">
        <f t="shared" si="99"/>
        <v>1234.8735695465807</v>
      </c>
      <c r="AA108" s="33">
        <f t="shared" si="99"/>
        <v>1440.6858311376775</v>
      </c>
      <c r="AB108" s="33">
        <f t="shared" si="99"/>
        <v>1646.4980927287745</v>
      </c>
      <c r="AC108" s="33">
        <f t="shared" si="99"/>
        <v>1852.3103543198713</v>
      </c>
      <c r="AD108" s="33">
        <f t="shared" si="99"/>
        <v>2058.1226159109679</v>
      </c>
      <c r="AE108" s="33">
        <f t="shared" si="99"/>
        <v>2469.7471390931614</v>
      </c>
      <c r="AF108" s="33">
        <f t="shared" si="99"/>
        <v>2881.371662275355</v>
      </c>
      <c r="AG108" s="33">
        <f t="shared" si="99"/>
        <v>3292.996185457549</v>
      </c>
      <c r="AH108" s="33">
        <f t="shared" si="99"/>
        <v>3704.6207086397426</v>
      </c>
      <c r="AI108" s="33">
        <f t="shared" si="99"/>
        <v>4116.2452318219357</v>
      </c>
      <c r="AJ108" s="33">
        <f t="shared" si="99"/>
        <v>8232.4904636438714</v>
      </c>
      <c r="AK108" s="33">
        <f t="shared" si="99"/>
        <v>16464.980927287743</v>
      </c>
      <c r="AL108" s="33">
        <f t="shared" si="99"/>
        <v>32929.961854575486</v>
      </c>
      <c r="AM108" s="33">
        <f t="shared" si="99"/>
        <v>65859.923709150971</v>
      </c>
      <c r="AN108" s="33">
        <f t="shared" si="99"/>
        <v>131719.84741830194</v>
      </c>
      <c r="AO108" s="33">
        <f t="shared" si="99"/>
        <v>263439.69483660389</v>
      </c>
      <c r="AP108" s="33">
        <f t="shared" si="99"/>
        <v>526879.38967320777</v>
      </c>
      <c r="AQ108" s="84">
        <f t="shared" si="99"/>
        <v>1053758.7793464155</v>
      </c>
      <c r="AR108" s="33">
        <f t="shared" si="99"/>
        <v>2107517.5586928311</v>
      </c>
      <c r="AS108" s="84">
        <f t="shared" si="99"/>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100">L$69*$D$108*$J$109</f>
        <v>2.4578237445436312E-3</v>
      </c>
      <c r="M109" s="42">
        <f t="shared" si="100"/>
        <v>4.9156474890872624E-3</v>
      </c>
      <c r="N109" s="42">
        <f t="shared" si="100"/>
        <v>9.8312949781745249E-3</v>
      </c>
      <c r="O109" s="42">
        <f t="shared" si="100"/>
        <v>1.966258995634905E-2</v>
      </c>
      <c r="P109" s="42">
        <f t="shared" si="100"/>
        <v>3.9325179912698099E-2</v>
      </c>
      <c r="Q109" s="42">
        <f t="shared" si="100"/>
        <v>7.8650359825396199E-2</v>
      </c>
      <c r="R109" s="42">
        <f t="shared" si="100"/>
        <v>0.1573007196507924</v>
      </c>
      <c r="S109" s="42">
        <f t="shared" si="100"/>
        <v>0.3146014393015848</v>
      </c>
      <c r="T109" s="42">
        <f t="shared" si="100"/>
        <v>0.47190215895237725</v>
      </c>
      <c r="U109" s="42">
        <f t="shared" si="100"/>
        <v>0.51909237484761495</v>
      </c>
      <c r="V109" s="42">
        <f t="shared" si="100"/>
        <v>0.55055251877777345</v>
      </c>
      <c r="W109" s="42">
        <f t="shared" si="100"/>
        <v>0.58201266270793184</v>
      </c>
      <c r="X109" s="42">
        <f t="shared" si="100"/>
        <v>0.61347280663809045</v>
      </c>
      <c r="Y109" s="42">
        <f t="shared" si="100"/>
        <v>0.62920287860316959</v>
      </c>
      <c r="Z109" s="42">
        <f t="shared" si="100"/>
        <v>0.75504345432380349</v>
      </c>
      <c r="AA109" s="42">
        <f t="shared" si="100"/>
        <v>0.88088403004443738</v>
      </c>
      <c r="AB109" s="42">
        <f t="shared" si="100"/>
        <v>1.0067246057650714</v>
      </c>
      <c r="AC109" s="42">
        <f t="shared" si="100"/>
        <v>1.1325651814857054</v>
      </c>
      <c r="AD109" s="42">
        <f t="shared" si="100"/>
        <v>1.2584057572063392</v>
      </c>
      <c r="AE109" s="42">
        <f t="shared" si="100"/>
        <v>1.510086908647607</v>
      </c>
      <c r="AF109" s="42">
        <f t="shared" si="100"/>
        <v>1.7617680600888748</v>
      </c>
      <c r="AG109" s="42">
        <f t="shared" si="100"/>
        <v>2.0134492115301428</v>
      </c>
      <c r="AH109" s="42">
        <f t="shared" si="100"/>
        <v>2.2651303629714108</v>
      </c>
      <c r="AI109" s="42">
        <f t="shared" si="100"/>
        <v>2.5168115144126784</v>
      </c>
      <c r="AJ109" s="42">
        <f t="shared" si="100"/>
        <v>5.0336230288253567</v>
      </c>
      <c r="AK109" s="42">
        <f t="shared" si="100"/>
        <v>10.067246057650713</v>
      </c>
      <c r="AL109" s="42">
        <f t="shared" si="100"/>
        <v>20.134492115301427</v>
      </c>
      <c r="AM109" s="42">
        <f t="shared" si="100"/>
        <v>40.268984230602854</v>
      </c>
      <c r="AN109" s="42">
        <f t="shared" si="100"/>
        <v>80.537968461205708</v>
      </c>
      <c r="AO109" s="42">
        <f t="shared" si="100"/>
        <v>161.07593692241142</v>
      </c>
      <c r="AP109" s="42">
        <f t="shared" si="100"/>
        <v>322.15187384482283</v>
      </c>
      <c r="AQ109" s="83">
        <f t="shared" si="100"/>
        <v>644.30374768964566</v>
      </c>
      <c r="AR109" s="42">
        <f t="shared" si="100"/>
        <v>1288.6074953792913</v>
      </c>
      <c r="AS109" s="83">
        <f t="shared" si="100"/>
        <v>2016.1233237642064</v>
      </c>
      <c r="AT109" s="57"/>
    </row>
    <row r="110" spans="1:46" x14ac:dyDescent="0.25">
      <c r="A110" s="53" t="s">
        <v>18</v>
      </c>
      <c r="B110" s="18">
        <f>'ABS Population by Age Range'!D49</f>
        <v>0.14481341657950456</v>
      </c>
      <c r="C110" s="22">
        <f t="shared" si="92"/>
        <v>3712147.1205990198</v>
      </c>
      <c r="D110" s="35">
        <f>'AU Infection Rate by Age'!E11</f>
        <v>0.17303079161587165</v>
      </c>
      <c r="E110" s="36"/>
      <c r="F110" s="36"/>
      <c r="G110" s="36"/>
      <c r="H110" s="36"/>
      <c r="I110" s="36"/>
      <c r="J110" s="29"/>
      <c r="K110" s="22"/>
      <c r="L110" s="32">
        <f t="shared" ref="L110:AS110" si="101">L$69*$D$110</f>
        <v>5.4072122379959886</v>
      </c>
      <c r="M110" s="33">
        <f t="shared" si="101"/>
        <v>10.814424475991977</v>
      </c>
      <c r="N110" s="33">
        <f t="shared" si="101"/>
        <v>21.628848951983954</v>
      </c>
      <c r="O110" s="33">
        <f t="shared" si="101"/>
        <v>43.257697903967909</v>
      </c>
      <c r="P110" s="33">
        <f t="shared" si="101"/>
        <v>86.515395807935818</v>
      </c>
      <c r="Q110" s="33">
        <f t="shared" si="101"/>
        <v>173.03079161587164</v>
      </c>
      <c r="R110" s="33">
        <f t="shared" si="101"/>
        <v>346.06158323174327</v>
      </c>
      <c r="S110" s="33">
        <f t="shared" si="101"/>
        <v>692.12316646348654</v>
      </c>
      <c r="T110" s="33">
        <f t="shared" si="101"/>
        <v>1038.1847496952298</v>
      </c>
      <c r="U110" s="33">
        <f t="shared" si="101"/>
        <v>1142.0032246647529</v>
      </c>
      <c r="V110" s="33">
        <f t="shared" si="101"/>
        <v>1211.2155413111016</v>
      </c>
      <c r="W110" s="33">
        <f t="shared" si="101"/>
        <v>1280.4278579574502</v>
      </c>
      <c r="X110" s="33">
        <f t="shared" si="101"/>
        <v>1349.6401746037989</v>
      </c>
      <c r="Y110" s="33">
        <f t="shared" si="101"/>
        <v>1384.2463329269731</v>
      </c>
      <c r="Z110" s="33">
        <f t="shared" si="101"/>
        <v>1661.0955995123679</v>
      </c>
      <c r="AA110" s="33">
        <f t="shared" si="101"/>
        <v>1937.9448660977625</v>
      </c>
      <c r="AB110" s="33">
        <f t="shared" si="101"/>
        <v>2214.7941326831569</v>
      </c>
      <c r="AC110" s="33">
        <f t="shared" si="101"/>
        <v>2491.6433992685515</v>
      </c>
      <c r="AD110" s="33">
        <f t="shared" si="101"/>
        <v>2768.4926658539462</v>
      </c>
      <c r="AE110" s="33">
        <f t="shared" si="101"/>
        <v>3322.1911990247359</v>
      </c>
      <c r="AF110" s="33">
        <f t="shared" si="101"/>
        <v>3875.8897321955251</v>
      </c>
      <c r="AG110" s="33">
        <f t="shared" si="101"/>
        <v>4429.5882653663139</v>
      </c>
      <c r="AH110" s="33">
        <f t="shared" si="101"/>
        <v>4983.2867985371031</v>
      </c>
      <c r="AI110" s="33">
        <f t="shared" si="101"/>
        <v>5536.9853317078923</v>
      </c>
      <c r="AJ110" s="33">
        <f t="shared" si="101"/>
        <v>11073.970663415785</v>
      </c>
      <c r="AK110" s="33">
        <f t="shared" si="101"/>
        <v>22147.941326831569</v>
      </c>
      <c r="AL110" s="33">
        <f t="shared" si="101"/>
        <v>44295.882653663139</v>
      </c>
      <c r="AM110" s="33">
        <f t="shared" si="101"/>
        <v>88591.765307326277</v>
      </c>
      <c r="AN110" s="33">
        <f t="shared" si="101"/>
        <v>177183.53061465255</v>
      </c>
      <c r="AO110" s="33">
        <f t="shared" si="101"/>
        <v>354367.06122930511</v>
      </c>
      <c r="AP110" s="33">
        <f t="shared" si="101"/>
        <v>708734.12245861022</v>
      </c>
      <c r="AQ110" s="84">
        <f t="shared" si="101"/>
        <v>1417468.2449172204</v>
      </c>
      <c r="AR110" s="33">
        <f t="shared" si="101"/>
        <v>2834936.4898344409</v>
      </c>
      <c r="AS110" s="84">
        <f t="shared" si="101"/>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102">L$69*$D$110*$J$111</f>
        <v>2.4578237445436312E-3</v>
      </c>
      <c r="M111" s="42">
        <f t="shared" si="102"/>
        <v>4.9156474890872624E-3</v>
      </c>
      <c r="N111" s="42">
        <f t="shared" si="102"/>
        <v>9.8312949781745249E-3</v>
      </c>
      <c r="O111" s="42">
        <f t="shared" si="102"/>
        <v>1.966258995634905E-2</v>
      </c>
      <c r="P111" s="42">
        <f t="shared" si="102"/>
        <v>3.9325179912698099E-2</v>
      </c>
      <c r="Q111" s="42">
        <f t="shared" si="102"/>
        <v>7.8650359825396199E-2</v>
      </c>
      <c r="R111" s="42">
        <f t="shared" si="102"/>
        <v>0.1573007196507924</v>
      </c>
      <c r="S111" s="42">
        <f t="shared" si="102"/>
        <v>0.3146014393015848</v>
      </c>
      <c r="T111" s="42">
        <f t="shared" si="102"/>
        <v>0.47190215895237719</v>
      </c>
      <c r="U111" s="42">
        <f t="shared" si="102"/>
        <v>0.51909237484761495</v>
      </c>
      <c r="V111" s="42">
        <f t="shared" si="102"/>
        <v>0.55055251877777345</v>
      </c>
      <c r="W111" s="42">
        <f t="shared" si="102"/>
        <v>0.58201266270793195</v>
      </c>
      <c r="X111" s="42">
        <f t="shared" si="102"/>
        <v>0.61347280663809034</v>
      </c>
      <c r="Y111" s="42">
        <f t="shared" si="102"/>
        <v>0.62920287860316959</v>
      </c>
      <c r="Z111" s="42">
        <f t="shared" si="102"/>
        <v>0.7550434543238036</v>
      </c>
      <c r="AA111" s="42">
        <f t="shared" si="102"/>
        <v>0.88088403004443749</v>
      </c>
      <c r="AB111" s="42">
        <f t="shared" si="102"/>
        <v>1.0067246057650714</v>
      </c>
      <c r="AC111" s="42">
        <f t="shared" si="102"/>
        <v>1.1325651814857052</v>
      </c>
      <c r="AD111" s="42">
        <f t="shared" si="102"/>
        <v>1.2584057572063392</v>
      </c>
      <c r="AE111" s="42">
        <f t="shared" si="102"/>
        <v>1.5100869086476072</v>
      </c>
      <c r="AF111" s="42">
        <f t="shared" si="102"/>
        <v>1.761768060088875</v>
      </c>
      <c r="AG111" s="42">
        <f t="shared" si="102"/>
        <v>2.0134492115301428</v>
      </c>
      <c r="AH111" s="42">
        <f t="shared" si="102"/>
        <v>2.2651303629714103</v>
      </c>
      <c r="AI111" s="42">
        <f t="shared" si="102"/>
        <v>2.5168115144126784</v>
      </c>
      <c r="AJ111" s="42">
        <f t="shared" si="102"/>
        <v>5.0336230288253567</v>
      </c>
      <c r="AK111" s="42">
        <f t="shared" si="102"/>
        <v>10.067246057650713</v>
      </c>
      <c r="AL111" s="42">
        <f t="shared" si="102"/>
        <v>20.134492115301427</v>
      </c>
      <c r="AM111" s="42">
        <f t="shared" si="102"/>
        <v>40.268984230602854</v>
      </c>
      <c r="AN111" s="42">
        <f t="shared" si="102"/>
        <v>80.537968461205708</v>
      </c>
      <c r="AO111" s="42">
        <f t="shared" si="102"/>
        <v>161.07593692241142</v>
      </c>
      <c r="AP111" s="42">
        <f t="shared" si="102"/>
        <v>322.15187384482283</v>
      </c>
      <c r="AQ111" s="83">
        <f t="shared" si="102"/>
        <v>644.30374768964566</v>
      </c>
      <c r="AR111" s="42">
        <f t="shared" si="102"/>
        <v>1288.6074953792913</v>
      </c>
      <c r="AS111" s="83">
        <f t="shared" si="102"/>
        <v>2016.1233237642061</v>
      </c>
      <c r="AT111" s="57"/>
    </row>
    <row r="112" spans="1:46" x14ac:dyDescent="0.25">
      <c r="A112" s="53" t="s">
        <v>19</v>
      </c>
      <c r="B112" s="18">
        <f>'ABS Population by Age Range'!D37</f>
        <v>0.14458334093878666</v>
      </c>
      <c r="C112" s="22">
        <f t="shared" si="92"/>
        <v>3706249.3616248574</v>
      </c>
      <c r="D112" s="35">
        <f>'AU Infection Rate by Age'!E12</f>
        <v>0.22596248377836328</v>
      </c>
      <c r="E112" s="36"/>
      <c r="F112" s="36"/>
      <c r="G112" s="36"/>
      <c r="H112" s="36"/>
      <c r="I112" s="36"/>
      <c r="J112" s="29"/>
      <c r="K112" s="22"/>
      <c r="L112" s="32">
        <f t="shared" ref="L112:AS112" si="103">L$69*$D$112</f>
        <v>7.0613276180738529</v>
      </c>
      <c r="M112" s="33">
        <f t="shared" si="103"/>
        <v>14.122655236147706</v>
      </c>
      <c r="N112" s="33">
        <f t="shared" si="103"/>
        <v>28.245310472295412</v>
      </c>
      <c r="O112" s="33">
        <f t="shared" si="103"/>
        <v>56.490620944590823</v>
      </c>
      <c r="P112" s="33">
        <f t="shared" si="103"/>
        <v>112.98124188918165</v>
      </c>
      <c r="Q112" s="33">
        <f t="shared" si="103"/>
        <v>225.96248377836329</v>
      </c>
      <c r="R112" s="33">
        <f t="shared" si="103"/>
        <v>451.92496755672659</v>
      </c>
      <c r="S112" s="33">
        <f t="shared" si="103"/>
        <v>903.84993511345317</v>
      </c>
      <c r="T112" s="33">
        <f t="shared" si="103"/>
        <v>1355.7749026701797</v>
      </c>
      <c r="U112" s="33">
        <f t="shared" si="103"/>
        <v>1491.3523929371977</v>
      </c>
      <c r="V112" s="33">
        <f t="shared" si="103"/>
        <v>1581.737386448543</v>
      </c>
      <c r="W112" s="33">
        <f t="shared" si="103"/>
        <v>1672.1223799598883</v>
      </c>
      <c r="X112" s="33">
        <f t="shared" si="103"/>
        <v>1762.5073734712337</v>
      </c>
      <c r="Y112" s="33">
        <f t="shared" si="103"/>
        <v>1807.6998702269063</v>
      </c>
      <c r="Z112" s="33">
        <f t="shared" si="103"/>
        <v>2169.2398442722874</v>
      </c>
      <c r="AA112" s="33">
        <f t="shared" si="103"/>
        <v>2530.7798183176687</v>
      </c>
      <c r="AB112" s="33">
        <f t="shared" si="103"/>
        <v>2892.3197923630501</v>
      </c>
      <c r="AC112" s="33">
        <f t="shared" si="103"/>
        <v>3253.8597664084314</v>
      </c>
      <c r="AD112" s="33">
        <f t="shared" si="103"/>
        <v>3615.3997404538127</v>
      </c>
      <c r="AE112" s="33">
        <f t="shared" si="103"/>
        <v>4338.4796885445749</v>
      </c>
      <c r="AF112" s="33">
        <f t="shared" si="103"/>
        <v>5061.5596366353375</v>
      </c>
      <c r="AG112" s="33">
        <f t="shared" si="103"/>
        <v>5784.6395847261001</v>
      </c>
      <c r="AH112" s="33">
        <f t="shared" si="103"/>
        <v>6507.7195328168627</v>
      </c>
      <c r="AI112" s="33">
        <f t="shared" si="103"/>
        <v>7230.7994809076254</v>
      </c>
      <c r="AJ112" s="33">
        <f t="shared" si="103"/>
        <v>14461.598961815251</v>
      </c>
      <c r="AK112" s="33">
        <f t="shared" si="103"/>
        <v>28923.197923630501</v>
      </c>
      <c r="AL112" s="33">
        <f t="shared" si="103"/>
        <v>57846.395847261003</v>
      </c>
      <c r="AM112" s="33">
        <f t="shared" si="103"/>
        <v>115692.79169452201</v>
      </c>
      <c r="AN112" s="33">
        <f t="shared" si="103"/>
        <v>231385.58338904401</v>
      </c>
      <c r="AO112" s="33">
        <f t="shared" si="103"/>
        <v>462771.16677808802</v>
      </c>
      <c r="AP112" s="33">
        <f t="shared" si="103"/>
        <v>925542.33355617605</v>
      </c>
      <c r="AQ112" s="84">
        <f t="shared" si="103"/>
        <v>1851084.6671123521</v>
      </c>
      <c r="AR112" s="33">
        <f t="shared" si="103"/>
        <v>3702169.3342247042</v>
      </c>
      <c r="AS112" s="84">
        <f t="shared" si="103"/>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104">L$69*$D$112*$J$113</f>
        <v>1.2289118722718158E-3</v>
      </c>
      <c r="M113" s="42">
        <f t="shared" si="104"/>
        <v>2.4578237445436316E-3</v>
      </c>
      <c r="N113" s="42">
        <f t="shared" si="104"/>
        <v>4.9156474890872633E-3</v>
      </c>
      <c r="O113" s="42">
        <f t="shared" si="104"/>
        <v>9.8312949781745266E-3</v>
      </c>
      <c r="P113" s="42">
        <f t="shared" si="104"/>
        <v>1.9662589956349053E-2</v>
      </c>
      <c r="Q113" s="42">
        <f t="shared" si="104"/>
        <v>3.9325179912698106E-2</v>
      </c>
      <c r="R113" s="42">
        <f t="shared" si="104"/>
        <v>7.8650359825396213E-2</v>
      </c>
      <c r="S113" s="42">
        <f t="shared" si="104"/>
        <v>0.15730071965079243</v>
      </c>
      <c r="T113" s="42">
        <f t="shared" si="104"/>
        <v>0.23595107947618862</v>
      </c>
      <c r="U113" s="42">
        <f t="shared" si="104"/>
        <v>0.25954618742380747</v>
      </c>
      <c r="V113" s="42">
        <f t="shared" si="104"/>
        <v>0.27527625938888672</v>
      </c>
      <c r="W113" s="42">
        <f t="shared" si="104"/>
        <v>0.29100633135396597</v>
      </c>
      <c r="X113" s="42">
        <f t="shared" si="104"/>
        <v>0.30673640331904523</v>
      </c>
      <c r="Y113" s="42">
        <f t="shared" si="104"/>
        <v>0.31460143930158485</v>
      </c>
      <c r="Z113" s="42">
        <f t="shared" si="104"/>
        <v>0.3775217271619018</v>
      </c>
      <c r="AA113" s="42">
        <f t="shared" si="104"/>
        <v>0.44044201502221875</v>
      </c>
      <c r="AB113" s="42">
        <f t="shared" si="104"/>
        <v>0.50336230288253569</v>
      </c>
      <c r="AC113" s="42">
        <f t="shared" si="104"/>
        <v>0.5662825907428527</v>
      </c>
      <c r="AD113" s="42">
        <f t="shared" si="104"/>
        <v>0.6292028786031697</v>
      </c>
      <c r="AE113" s="42">
        <f t="shared" si="104"/>
        <v>0.7550434543238036</v>
      </c>
      <c r="AF113" s="42">
        <f t="shared" si="104"/>
        <v>0.88088403004443749</v>
      </c>
      <c r="AG113" s="42">
        <f t="shared" si="104"/>
        <v>1.0067246057650714</v>
      </c>
      <c r="AH113" s="42">
        <f t="shared" si="104"/>
        <v>1.1325651814857054</v>
      </c>
      <c r="AI113" s="42">
        <f t="shared" si="104"/>
        <v>1.2584057572063394</v>
      </c>
      <c r="AJ113" s="42">
        <f t="shared" si="104"/>
        <v>2.5168115144126788</v>
      </c>
      <c r="AK113" s="42">
        <f t="shared" si="104"/>
        <v>5.0336230288253576</v>
      </c>
      <c r="AL113" s="42">
        <f t="shared" si="104"/>
        <v>10.067246057650715</v>
      </c>
      <c r="AM113" s="42">
        <f t="shared" si="104"/>
        <v>20.13449211530143</v>
      </c>
      <c r="AN113" s="42">
        <f t="shared" si="104"/>
        <v>40.268984230602861</v>
      </c>
      <c r="AO113" s="42">
        <f t="shared" si="104"/>
        <v>80.537968461205722</v>
      </c>
      <c r="AP113" s="42">
        <f t="shared" si="104"/>
        <v>161.07593692241144</v>
      </c>
      <c r="AQ113" s="83">
        <f t="shared" si="104"/>
        <v>322.15187384482289</v>
      </c>
      <c r="AR113" s="42">
        <f t="shared" si="104"/>
        <v>644.30374768964577</v>
      </c>
      <c r="AS113" s="83">
        <f t="shared" si="104"/>
        <v>1008.0616618821032</v>
      </c>
      <c r="AT113" s="57"/>
    </row>
    <row r="114" spans="1:46" x14ac:dyDescent="0.25">
      <c r="A114" s="54" t="s">
        <v>20</v>
      </c>
      <c r="B114" s="18">
        <f>'ABS Population by Age Range'!D25</f>
        <v>0.12056476079328157</v>
      </c>
      <c r="C114" s="22">
        <f t="shared" si="92"/>
        <v>3090557.0781749799</v>
      </c>
      <c r="D114" s="35">
        <f>'AU Infection Rate by Age'!E13</f>
        <v>8.2740178536316808E-2</v>
      </c>
      <c r="E114" s="36"/>
      <c r="F114" s="36"/>
      <c r="G114" s="36"/>
      <c r="H114" s="36"/>
      <c r="I114" s="36"/>
      <c r="J114" s="29"/>
      <c r="K114" s="22"/>
      <c r="L114" s="32">
        <f t="shared" ref="L114:AS114" si="105">L$69*$D$114</f>
        <v>2.5856305792599001</v>
      </c>
      <c r="M114" s="33">
        <f t="shared" si="105"/>
        <v>5.1712611585198003</v>
      </c>
      <c r="N114" s="33">
        <f t="shared" si="105"/>
        <v>10.342522317039601</v>
      </c>
      <c r="O114" s="33">
        <f t="shared" si="105"/>
        <v>20.685044634079201</v>
      </c>
      <c r="P114" s="33">
        <f t="shared" si="105"/>
        <v>41.370089268158402</v>
      </c>
      <c r="Q114" s="33">
        <f t="shared" si="105"/>
        <v>82.740178536316805</v>
      </c>
      <c r="R114" s="33">
        <f t="shared" si="105"/>
        <v>165.48035707263361</v>
      </c>
      <c r="S114" s="33">
        <f t="shared" si="105"/>
        <v>330.96071414526722</v>
      </c>
      <c r="T114" s="33">
        <f t="shared" si="105"/>
        <v>496.44107121790086</v>
      </c>
      <c r="U114" s="33">
        <f t="shared" si="105"/>
        <v>546.08517833969097</v>
      </c>
      <c r="V114" s="33">
        <f t="shared" si="105"/>
        <v>579.18124975421767</v>
      </c>
      <c r="W114" s="33">
        <f t="shared" si="105"/>
        <v>612.27732116874438</v>
      </c>
      <c r="X114" s="33">
        <f t="shared" si="105"/>
        <v>645.37339258327108</v>
      </c>
      <c r="Y114" s="33">
        <f t="shared" si="105"/>
        <v>661.92142829053444</v>
      </c>
      <c r="Z114" s="33">
        <f t="shared" si="105"/>
        <v>794.30571394864137</v>
      </c>
      <c r="AA114" s="33">
        <f t="shared" si="105"/>
        <v>926.6899996067483</v>
      </c>
      <c r="AB114" s="33">
        <f t="shared" si="105"/>
        <v>1059.0742852648552</v>
      </c>
      <c r="AC114" s="33">
        <f t="shared" si="105"/>
        <v>1191.4585709229621</v>
      </c>
      <c r="AD114" s="33">
        <f t="shared" si="105"/>
        <v>1323.8428565810689</v>
      </c>
      <c r="AE114" s="33">
        <f t="shared" si="105"/>
        <v>1588.6114278972827</v>
      </c>
      <c r="AF114" s="33">
        <f t="shared" si="105"/>
        <v>1853.3799992134966</v>
      </c>
      <c r="AG114" s="33">
        <f t="shared" si="105"/>
        <v>2118.1485705297105</v>
      </c>
      <c r="AH114" s="33">
        <f t="shared" si="105"/>
        <v>2382.9171418459241</v>
      </c>
      <c r="AI114" s="33">
        <f t="shared" si="105"/>
        <v>2647.6857131621377</v>
      </c>
      <c r="AJ114" s="33">
        <f t="shared" si="105"/>
        <v>5295.3714263242755</v>
      </c>
      <c r="AK114" s="33">
        <f t="shared" si="105"/>
        <v>10590.742852648551</v>
      </c>
      <c r="AL114" s="33">
        <f t="shared" si="105"/>
        <v>21181.485705297102</v>
      </c>
      <c r="AM114" s="33">
        <f t="shared" si="105"/>
        <v>42362.971410594204</v>
      </c>
      <c r="AN114" s="33">
        <f t="shared" si="105"/>
        <v>84725.942821188408</v>
      </c>
      <c r="AO114" s="33">
        <f t="shared" si="105"/>
        <v>169451.88564237682</v>
      </c>
      <c r="AP114" s="33">
        <f t="shared" si="105"/>
        <v>338903.77128475363</v>
      </c>
      <c r="AQ114" s="84">
        <f t="shared" si="105"/>
        <v>677807.54256950726</v>
      </c>
      <c r="AR114" s="33">
        <f t="shared" si="105"/>
        <v>1355615.0851390145</v>
      </c>
      <c r="AS114" s="84">
        <f t="shared" si="105"/>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106">L$69*$D$114*$J$115</f>
        <v>0</v>
      </c>
      <c r="M115" s="42">
        <f t="shared" si="106"/>
        <v>0</v>
      </c>
      <c r="N115" s="42">
        <f t="shared" si="106"/>
        <v>0</v>
      </c>
      <c r="O115" s="42">
        <f t="shared" si="106"/>
        <v>0</v>
      </c>
      <c r="P115" s="42">
        <f t="shared" si="106"/>
        <v>0</v>
      </c>
      <c r="Q115" s="42">
        <f t="shared" si="106"/>
        <v>0</v>
      </c>
      <c r="R115" s="42">
        <f t="shared" si="106"/>
        <v>0</v>
      </c>
      <c r="S115" s="42">
        <f t="shared" si="106"/>
        <v>0</v>
      </c>
      <c r="T115" s="42">
        <f t="shared" si="106"/>
        <v>0</v>
      </c>
      <c r="U115" s="42">
        <f t="shared" si="106"/>
        <v>0</v>
      </c>
      <c r="V115" s="42">
        <f t="shared" si="106"/>
        <v>0</v>
      </c>
      <c r="W115" s="42">
        <f t="shared" si="106"/>
        <v>0</v>
      </c>
      <c r="X115" s="42">
        <f t="shared" si="106"/>
        <v>0</v>
      </c>
      <c r="Y115" s="42">
        <f t="shared" si="106"/>
        <v>0</v>
      </c>
      <c r="Z115" s="42">
        <f t="shared" si="106"/>
        <v>0</v>
      </c>
      <c r="AA115" s="42">
        <f t="shared" si="106"/>
        <v>0</v>
      </c>
      <c r="AB115" s="42">
        <f t="shared" si="106"/>
        <v>0</v>
      </c>
      <c r="AC115" s="42">
        <f t="shared" si="106"/>
        <v>0</v>
      </c>
      <c r="AD115" s="42">
        <f t="shared" si="106"/>
        <v>0</v>
      </c>
      <c r="AE115" s="42">
        <f t="shared" si="106"/>
        <v>0</v>
      </c>
      <c r="AF115" s="42">
        <f t="shared" si="106"/>
        <v>0</v>
      </c>
      <c r="AG115" s="42">
        <f t="shared" si="106"/>
        <v>0</v>
      </c>
      <c r="AH115" s="42">
        <f t="shared" si="106"/>
        <v>0</v>
      </c>
      <c r="AI115" s="42">
        <f t="shared" si="106"/>
        <v>0</v>
      </c>
      <c r="AJ115" s="42">
        <f t="shared" si="106"/>
        <v>0</v>
      </c>
      <c r="AK115" s="42">
        <f t="shared" si="106"/>
        <v>0</v>
      </c>
      <c r="AL115" s="42">
        <f t="shared" si="106"/>
        <v>0</v>
      </c>
      <c r="AM115" s="42">
        <f t="shared" si="106"/>
        <v>0</v>
      </c>
      <c r="AN115" s="42">
        <f t="shared" si="106"/>
        <v>0</v>
      </c>
      <c r="AO115" s="42">
        <f t="shared" si="106"/>
        <v>0</v>
      </c>
      <c r="AP115" s="42">
        <f t="shared" si="106"/>
        <v>0</v>
      </c>
      <c r="AQ115" s="83">
        <f t="shared" si="106"/>
        <v>0</v>
      </c>
      <c r="AR115" s="42">
        <f t="shared" si="106"/>
        <v>0</v>
      </c>
      <c r="AS115" s="83">
        <f t="shared" si="106"/>
        <v>0</v>
      </c>
      <c r="AT115" s="57"/>
    </row>
    <row r="116" spans="1:46" x14ac:dyDescent="0.25">
      <c r="A116" s="54" t="s">
        <v>21</v>
      </c>
      <c r="B116" s="18">
        <f>'ABS Population by Age Range'!D13</f>
        <v>0.1255958322404806</v>
      </c>
      <c r="C116" s="22">
        <f t="shared" si="92"/>
        <v>3219523.5636524796</v>
      </c>
      <c r="D116" s="35">
        <f>'AU Infection Rate by Age'!E14</f>
        <v>4.8291320932793265E-2</v>
      </c>
      <c r="E116" s="36"/>
      <c r="F116" s="36"/>
      <c r="G116" s="36"/>
      <c r="H116" s="36"/>
      <c r="I116" s="36"/>
      <c r="J116" s="29"/>
      <c r="K116" s="22"/>
      <c r="L116" s="32">
        <f t="shared" ref="L116:AS116" si="107">L$69*$D$116</f>
        <v>1.5091037791497894</v>
      </c>
      <c r="M116" s="33">
        <f t="shared" si="107"/>
        <v>3.0182075582995789</v>
      </c>
      <c r="N116" s="33">
        <f t="shared" si="107"/>
        <v>6.0364151165991577</v>
      </c>
      <c r="O116" s="33">
        <f t="shared" si="107"/>
        <v>12.072830233198315</v>
      </c>
      <c r="P116" s="33">
        <f t="shared" si="107"/>
        <v>24.145660466396631</v>
      </c>
      <c r="Q116" s="33">
        <f t="shared" si="107"/>
        <v>48.291320932793262</v>
      </c>
      <c r="R116" s="33">
        <f t="shared" si="107"/>
        <v>96.582641865586524</v>
      </c>
      <c r="S116" s="33">
        <f t="shared" si="107"/>
        <v>193.16528373117305</v>
      </c>
      <c r="T116" s="33">
        <f t="shared" si="107"/>
        <v>289.74792559675961</v>
      </c>
      <c r="U116" s="33">
        <f t="shared" si="107"/>
        <v>318.72271815643558</v>
      </c>
      <c r="V116" s="33">
        <f t="shared" si="107"/>
        <v>338.03924652955283</v>
      </c>
      <c r="W116" s="33">
        <f t="shared" si="107"/>
        <v>357.35577490267013</v>
      </c>
      <c r="X116" s="33">
        <f t="shared" si="107"/>
        <v>376.67230327578744</v>
      </c>
      <c r="Y116" s="33">
        <f t="shared" si="107"/>
        <v>386.3305674623461</v>
      </c>
      <c r="Z116" s="33">
        <f t="shared" si="107"/>
        <v>463.59668095481533</v>
      </c>
      <c r="AA116" s="33">
        <f t="shared" si="107"/>
        <v>540.86279444728461</v>
      </c>
      <c r="AB116" s="33">
        <f t="shared" si="107"/>
        <v>618.12890793975384</v>
      </c>
      <c r="AC116" s="33">
        <f t="shared" si="107"/>
        <v>695.39502143222296</v>
      </c>
      <c r="AD116" s="33">
        <f t="shared" si="107"/>
        <v>772.66113492469219</v>
      </c>
      <c r="AE116" s="33">
        <f t="shared" si="107"/>
        <v>927.19336190963065</v>
      </c>
      <c r="AF116" s="33">
        <f t="shared" si="107"/>
        <v>1081.7255888945692</v>
      </c>
      <c r="AG116" s="33">
        <f t="shared" si="107"/>
        <v>1236.2578158795077</v>
      </c>
      <c r="AH116" s="33">
        <f t="shared" si="107"/>
        <v>1390.7900428644459</v>
      </c>
      <c r="AI116" s="33">
        <f t="shared" si="107"/>
        <v>1545.3222698493844</v>
      </c>
      <c r="AJ116" s="33">
        <f t="shared" si="107"/>
        <v>3090.6445396987688</v>
      </c>
      <c r="AK116" s="33">
        <f t="shared" si="107"/>
        <v>6181.2890793975375</v>
      </c>
      <c r="AL116" s="33">
        <f t="shared" si="107"/>
        <v>12362.578158795075</v>
      </c>
      <c r="AM116" s="33">
        <f t="shared" si="107"/>
        <v>24725.15631759015</v>
      </c>
      <c r="AN116" s="33">
        <f t="shared" si="107"/>
        <v>49450.3126351803</v>
      </c>
      <c r="AO116" s="33">
        <f t="shared" si="107"/>
        <v>98900.625270360601</v>
      </c>
      <c r="AP116" s="33">
        <f t="shared" si="107"/>
        <v>197801.2505407212</v>
      </c>
      <c r="AQ116" s="84">
        <f t="shared" si="107"/>
        <v>395602.5010814424</v>
      </c>
      <c r="AR116" s="33">
        <f t="shared" si="107"/>
        <v>791205.0021628848</v>
      </c>
      <c r="AS116" s="84">
        <f t="shared" si="107"/>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108">L$69*$D$116*$J$117</f>
        <v>0</v>
      </c>
      <c r="M117" s="42">
        <f t="shared" si="108"/>
        <v>0</v>
      </c>
      <c r="N117" s="42">
        <f t="shared" si="108"/>
        <v>0</v>
      </c>
      <c r="O117" s="42">
        <f t="shared" si="108"/>
        <v>0</v>
      </c>
      <c r="P117" s="42">
        <f t="shared" si="108"/>
        <v>0</v>
      </c>
      <c r="Q117" s="42">
        <f t="shared" si="108"/>
        <v>0</v>
      </c>
      <c r="R117" s="42">
        <f t="shared" si="108"/>
        <v>0</v>
      </c>
      <c r="S117" s="42">
        <f t="shared" si="108"/>
        <v>0</v>
      </c>
      <c r="T117" s="42">
        <f t="shared" si="108"/>
        <v>0</v>
      </c>
      <c r="U117" s="42">
        <f t="shared" si="108"/>
        <v>0</v>
      </c>
      <c r="V117" s="42">
        <f t="shared" si="108"/>
        <v>0</v>
      </c>
      <c r="W117" s="42">
        <f t="shared" si="108"/>
        <v>0</v>
      </c>
      <c r="X117" s="42">
        <f t="shared" si="108"/>
        <v>0</v>
      </c>
      <c r="Y117" s="42">
        <f t="shared" si="108"/>
        <v>0</v>
      </c>
      <c r="Z117" s="42">
        <f t="shared" si="108"/>
        <v>0</v>
      </c>
      <c r="AA117" s="42">
        <f t="shared" si="108"/>
        <v>0</v>
      </c>
      <c r="AB117" s="42">
        <f t="shared" si="108"/>
        <v>0</v>
      </c>
      <c r="AC117" s="42">
        <f t="shared" si="108"/>
        <v>0</v>
      </c>
      <c r="AD117" s="42">
        <f t="shared" si="108"/>
        <v>0</v>
      </c>
      <c r="AE117" s="42">
        <f t="shared" si="108"/>
        <v>0</v>
      </c>
      <c r="AF117" s="42">
        <f t="shared" si="108"/>
        <v>0</v>
      </c>
      <c r="AG117" s="42">
        <f t="shared" si="108"/>
        <v>0</v>
      </c>
      <c r="AH117" s="42">
        <f t="shared" si="108"/>
        <v>0</v>
      </c>
      <c r="AI117" s="42">
        <f t="shared" si="108"/>
        <v>0</v>
      </c>
      <c r="AJ117" s="42">
        <f t="shared" si="108"/>
        <v>0</v>
      </c>
      <c r="AK117" s="42">
        <f t="shared" si="108"/>
        <v>0</v>
      </c>
      <c r="AL117" s="42">
        <f t="shared" si="108"/>
        <v>0</v>
      </c>
      <c r="AM117" s="42">
        <f t="shared" si="108"/>
        <v>0</v>
      </c>
      <c r="AN117" s="42">
        <f t="shared" si="108"/>
        <v>0</v>
      </c>
      <c r="AO117" s="42">
        <f t="shared" si="108"/>
        <v>0</v>
      </c>
      <c r="AP117" s="42">
        <f t="shared" si="108"/>
        <v>0</v>
      </c>
      <c r="AQ117" s="83">
        <f t="shared" si="108"/>
        <v>0</v>
      </c>
      <c r="AR117" s="44">
        <f t="shared" si="108"/>
        <v>0</v>
      </c>
      <c r="AS117" s="85">
        <f t="shared" si="108"/>
        <v>0</v>
      </c>
      <c r="AT117" s="57"/>
    </row>
    <row r="118" spans="1:46" x14ac:dyDescent="0.25">
      <c r="A118" s="53" t="s">
        <v>131</v>
      </c>
      <c r="B118" s="26"/>
      <c r="C118" s="22"/>
      <c r="D118" s="22"/>
      <c r="E118" s="22"/>
      <c r="F118" s="22"/>
      <c r="G118" s="22"/>
      <c r="H118" s="22"/>
      <c r="I118" s="22"/>
      <c r="J118" s="27"/>
      <c r="K118" s="22"/>
      <c r="L118" s="30">
        <f t="shared" ref="L118:AO118" si="109">SUM(L100,L102,L104,L106,L108,L110,L112,L114,L116)</f>
        <v>31.25</v>
      </c>
      <c r="M118" s="31">
        <f t="shared" si="109"/>
        <v>62.5</v>
      </c>
      <c r="N118" s="31">
        <f t="shared" si="109"/>
        <v>125</v>
      </c>
      <c r="O118" s="31">
        <f t="shared" si="109"/>
        <v>250</v>
      </c>
      <c r="P118" s="31">
        <f t="shared" si="109"/>
        <v>500</v>
      </c>
      <c r="Q118" s="31">
        <f>SUM(Q100,Q102,Q104,Q106,Q108,Q110,Q112,Q114,Q116)</f>
        <v>1000</v>
      </c>
      <c r="R118" s="31">
        <f t="shared" si="109"/>
        <v>2000</v>
      </c>
      <c r="S118" s="31">
        <f t="shared" si="109"/>
        <v>4000</v>
      </c>
      <c r="T118" s="31">
        <f t="shared" ref="T118:X118" si="110">SUM(T100,T102,T104,T106,T108,T110,T112,T114,T116)</f>
        <v>6000</v>
      </c>
      <c r="U118" s="31">
        <f t="shared" si="110"/>
        <v>6600</v>
      </c>
      <c r="V118" s="31">
        <f t="shared" ref="V118:W118" si="111">SUM(V100,V102,V104,V106,V108,V110,V112,V114,V116)</f>
        <v>6999.9999999999991</v>
      </c>
      <c r="W118" s="31">
        <f t="shared" si="111"/>
        <v>7400</v>
      </c>
      <c r="X118" s="31">
        <f t="shared" si="110"/>
        <v>7800</v>
      </c>
      <c r="Y118" s="31">
        <f t="shared" si="109"/>
        <v>8000</v>
      </c>
      <c r="Z118" s="31">
        <f t="shared" ref="Z118:AC118" si="112">SUM(Z100,Z102,Z104,Z106,Z108,Z110,Z112,Z114,Z116)</f>
        <v>9600</v>
      </c>
      <c r="AA118" s="31">
        <f t="shared" si="112"/>
        <v>11199.999999999998</v>
      </c>
      <c r="AB118" s="31">
        <f t="shared" si="112"/>
        <v>12800</v>
      </c>
      <c r="AC118" s="31">
        <f t="shared" si="112"/>
        <v>14400</v>
      </c>
      <c r="AD118" s="31">
        <f t="shared" si="109"/>
        <v>16000</v>
      </c>
      <c r="AE118" s="31">
        <f t="shared" ref="AE118:AH118" si="113">SUM(AE100,AE102,AE104,AE106,AE108,AE110,AE112,AE114,AE116)</f>
        <v>19200</v>
      </c>
      <c r="AF118" s="31">
        <f t="shared" si="113"/>
        <v>22399.999999999996</v>
      </c>
      <c r="AG118" s="31">
        <f t="shared" si="113"/>
        <v>25600</v>
      </c>
      <c r="AH118" s="31">
        <f t="shared" si="113"/>
        <v>28800</v>
      </c>
      <c r="AI118" s="31">
        <f t="shared" si="109"/>
        <v>32000</v>
      </c>
      <c r="AJ118" s="31">
        <f t="shared" si="109"/>
        <v>64000</v>
      </c>
      <c r="AK118" s="31">
        <f t="shared" si="109"/>
        <v>128000</v>
      </c>
      <c r="AL118" s="31">
        <f t="shared" si="109"/>
        <v>256000</v>
      </c>
      <c r="AM118" s="31">
        <f t="shared" si="109"/>
        <v>512000</v>
      </c>
      <c r="AN118" s="31">
        <f t="shared" si="109"/>
        <v>1024000</v>
      </c>
      <c r="AO118" s="31">
        <f t="shared" si="109"/>
        <v>2048000</v>
      </c>
      <c r="AP118" s="31">
        <f t="shared" ref="AP118:AS119" si="114">SUM(AP100,AP102,AP104,AP106,AP108,AP110,AP112,AP114,AP116)</f>
        <v>4096000</v>
      </c>
      <c r="AQ118" s="72">
        <f t="shared" si="114"/>
        <v>8192000</v>
      </c>
      <c r="AR118" s="31">
        <f t="shared" si="114"/>
        <v>16384000</v>
      </c>
      <c r="AS118" s="72">
        <f t="shared" si="114"/>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15">SUM(N101,N103,N105,N107,N109,N111,N113,N115,N117)</f>
        <v>3.0132919108104916</v>
      </c>
      <c r="O119" s="44">
        <f t="shared" si="115"/>
        <v>6.0265838216209833</v>
      </c>
      <c r="P119" s="44">
        <f t="shared" si="115"/>
        <v>12.053167643241967</v>
      </c>
      <c r="Q119" s="44">
        <f t="shared" si="115"/>
        <v>24.106335286483933</v>
      </c>
      <c r="R119" s="44">
        <f t="shared" si="115"/>
        <v>48.212670572967866</v>
      </c>
      <c r="S119" s="44">
        <f t="shared" si="115"/>
        <v>96.425341145935732</v>
      </c>
      <c r="T119" s="44">
        <f t="shared" ref="T119:X119" si="116">SUM(T101,T103,T105,T107,T109,T111,T113,T115,T117)</f>
        <v>144.63801171890364</v>
      </c>
      <c r="U119" s="44">
        <f>SUM(U101,U103,U105,U107,U109,U111,U113,U115,U117)</f>
        <v>159.10181289079398</v>
      </c>
      <c r="V119" s="44">
        <f t="shared" ref="V119:W119" si="117">SUM(V101,V103,V105,V107,V109,V111,V113,V115,V117)</f>
        <v>168.74434700538751</v>
      </c>
      <c r="W119" s="44">
        <f t="shared" si="117"/>
        <v>178.38688111998113</v>
      </c>
      <c r="X119" s="44">
        <f t="shared" si="116"/>
        <v>188.02941523457471</v>
      </c>
      <c r="Y119" s="44">
        <f t="shared" si="115"/>
        <v>192.85068229187146</v>
      </c>
      <c r="Z119" s="44">
        <f t="shared" ref="Z119:AC119" si="118">SUM(Z101,Z103,Z105,Z107,Z109,Z111,Z113,Z115,Z117)</f>
        <v>231.42081875024576</v>
      </c>
      <c r="AA119" s="44">
        <f t="shared" si="118"/>
        <v>269.99095520862005</v>
      </c>
      <c r="AB119" s="44">
        <f t="shared" si="118"/>
        <v>308.56109166699423</v>
      </c>
      <c r="AC119" s="44">
        <f t="shared" si="118"/>
        <v>347.13122812536858</v>
      </c>
      <c r="AD119" s="44">
        <f t="shared" si="115"/>
        <v>385.70136458374293</v>
      </c>
      <c r="AE119" s="44">
        <f t="shared" ref="AE119:AH119" si="119">SUM(AE101,AE103,AE105,AE107,AE109,AE111,AE113,AE115,AE117)</f>
        <v>462.84163750049152</v>
      </c>
      <c r="AF119" s="44">
        <f t="shared" si="119"/>
        <v>539.9819104172401</v>
      </c>
      <c r="AG119" s="44">
        <f t="shared" si="119"/>
        <v>617.12218333398846</v>
      </c>
      <c r="AH119" s="44">
        <f t="shared" si="119"/>
        <v>694.26245625073716</v>
      </c>
      <c r="AI119" s="44">
        <f t="shared" si="115"/>
        <v>771.40272916748586</v>
      </c>
      <c r="AJ119" s="44">
        <f t="shared" si="115"/>
        <v>1542.8054583349717</v>
      </c>
      <c r="AK119" s="44">
        <f t="shared" si="115"/>
        <v>3085.6109166699434</v>
      </c>
      <c r="AL119" s="44">
        <f t="shared" si="115"/>
        <v>6171.2218333398869</v>
      </c>
      <c r="AM119" s="44">
        <f t="shared" si="115"/>
        <v>12342.443666679774</v>
      </c>
      <c r="AN119" s="44">
        <f t="shared" si="115"/>
        <v>24684.887333359547</v>
      </c>
      <c r="AO119" s="44">
        <f t="shared" si="115"/>
        <v>49369.774666719095</v>
      </c>
      <c r="AP119" s="44">
        <f t="shared" si="114"/>
        <v>98739.54933343819</v>
      </c>
      <c r="AQ119" s="85">
        <f t="shared" si="114"/>
        <v>197479.09866687638</v>
      </c>
      <c r="AR119" s="44">
        <f t="shared" si="114"/>
        <v>394958.19733375276</v>
      </c>
      <c r="AS119" s="85">
        <f t="shared" si="114"/>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20">L$69*$B$123</f>
        <v>1.5625</v>
      </c>
      <c r="M123" s="31">
        <f t="shared" si="120"/>
        <v>3.125</v>
      </c>
      <c r="N123" s="31">
        <f t="shared" si="120"/>
        <v>6.25</v>
      </c>
      <c r="O123" s="31">
        <f t="shared" si="120"/>
        <v>12.5</v>
      </c>
      <c r="P123" s="31">
        <f t="shared" si="120"/>
        <v>25</v>
      </c>
      <c r="Q123" s="31">
        <f t="shared" si="120"/>
        <v>50</v>
      </c>
      <c r="R123" s="31">
        <f t="shared" si="120"/>
        <v>100</v>
      </c>
      <c r="S123" s="31">
        <f t="shared" si="120"/>
        <v>200</v>
      </c>
      <c r="T123" s="31">
        <f t="shared" si="120"/>
        <v>300</v>
      </c>
      <c r="U123" s="31">
        <f t="shared" si="120"/>
        <v>330</v>
      </c>
      <c r="V123" s="31">
        <f t="shared" si="120"/>
        <v>350</v>
      </c>
      <c r="W123" s="31">
        <f t="shared" si="120"/>
        <v>370</v>
      </c>
      <c r="X123" s="31">
        <f t="shared" si="120"/>
        <v>390</v>
      </c>
      <c r="Y123" s="31">
        <f t="shared" si="120"/>
        <v>400</v>
      </c>
      <c r="Z123" s="31">
        <f t="shared" si="120"/>
        <v>480</v>
      </c>
      <c r="AA123" s="31">
        <f t="shared" si="120"/>
        <v>560</v>
      </c>
      <c r="AB123" s="31">
        <f t="shared" si="120"/>
        <v>640</v>
      </c>
      <c r="AC123" s="31">
        <f t="shared" si="120"/>
        <v>720</v>
      </c>
      <c r="AD123" s="31">
        <f t="shared" si="120"/>
        <v>800</v>
      </c>
      <c r="AE123" s="31">
        <f t="shared" si="120"/>
        <v>960</v>
      </c>
      <c r="AF123" s="31">
        <f t="shared" si="120"/>
        <v>1120</v>
      </c>
      <c r="AG123" s="31">
        <f t="shared" si="120"/>
        <v>1280</v>
      </c>
      <c r="AH123" s="31">
        <f t="shared" si="120"/>
        <v>1440</v>
      </c>
      <c r="AI123" s="31">
        <f t="shared" si="120"/>
        <v>1600</v>
      </c>
      <c r="AJ123" s="31">
        <f t="shared" si="120"/>
        <v>3200</v>
      </c>
      <c r="AK123" s="31">
        <f t="shared" si="120"/>
        <v>6400</v>
      </c>
      <c r="AL123" s="31">
        <f t="shared" si="120"/>
        <v>12800</v>
      </c>
      <c r="AM123" s="31">
        <f t="shared" si="120"/>
        <v>25600</v>
      </c>
      <c r="AN123" s="31">
        <f t="shared" si="120"/>
        <v>51200</v>
      </c>
      <c r="AO123" s="31">
        <f t="shared" si="120"/>
        <v>102400</v>
      </c>
      <c r="AP123" s="31">
        <f t="shared" si="120"/>
        <v>204800</v>
      </c>
      <c r="AQ123" s="72">
        <f t="shared" si="120"/>
        <v>409600</v>
      </c>
      <c r="AR123" s="31">
        <f t="shared" si="120"/>
        <v>819200</v>
      </c>
      <c r="AS123" s="72">
        <f t="shared" si="120"/>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21">M123*$J$124</f>
        <v>0.328125</v>
      </c>
      <c r="N124" s="42">
        <f t="shared" si="121"/>
        <v>0.65625</v>
      </c>
      <c r="O124" s="42">
        <f t="shared" si="121"/>
        <v>1.3125</v>
      </c>
      <c r="P124" s="42">
        <f t="shared" si="121"/>
        <v>2.625</v>
      </c>
      <c r="Q124" s="42">
        <f t="shared" si="121"/>
        <v>5.25</v>
      </c>
      <c r="R124" s="42">
        <f t="shared" si="121"/>
        <v>10.5</v>
      </c>
      <c r="S124" s="42">
        <f t="shared" si="121"/>
        <v>21</v>
      </c>
      <c r="T124" s="42">
        <f t="shared" ref="T124:X124" si="122">T123*$J$124</f>
        <v>31.5</v>
      </c>
      <c r="U124" s="42">
        <f t="shared" si="122"/>
        <v>34.65</v>
      </c>
      <c r="V124" s="42">
        <f t="shared" ref="V124:W124" si="123">V123*$J$124</f>
        <v>36.75</v>
      </c>
      <c r="W124" s="42">
        <f t="shared" si="123"/>
        <v>38.85</v>
      </c>
      <c r="X124" s="42">
        <f t="shared" si="122"/>
        <v>40.949999999999996</v>
      </c>
      <c r="Y124" s="42">
        <f t="shared" si="121"/>
        <v>42</v>
      </c>
      <c r="Z124" s="42">
        <f t="shared" ref="Z124:AC124" si="124">Z123*$J$124</f>
        <v>50.4</v>
      </c>
      <c r="AA124" s="42">
        <f t="shared" si="124"/>
        <v>58.8</v>
      </c>
      <c r="AB124" s="42">
        <f t="shared" si="124"/>
        <v>67.2</v>
      </c>
      <c r="AC124" s="42">
        <f t="shared" si="124"/>
        <v>75.599999999999994</v>
      </c>
      <c r="AD124" s="42">
        <f t="shared" si="121"/>
        <v>84</v>
      </c>
      <c r="AE124" s="42">
        <f t="shared" ref="AE124:AH124" si="125">AE123*$J$124</f>
        <v>100.8</v>
      </c>
      <c r="AF124" s="42">
        <f t="shared" si="125"/>
        <v>117.6</v>
      </c>
      <c r="AG124" s="42">
        <f t="shared" si="125"/>
        <v>134.4</v>
      </c>
      <c r="AH124" s="42">
        <f t="shared" si="125"/>
        <v>151.19999999999999</v>
      </c>
      <c r="AI124" s="42">
        <f t="shared" si="121"/>
        <v>168</v>
      </c>
      <c r="AJ124" s="42">
        <f t="shared" si="121"/>
        <v>336</v>
      </c>
      <c r="AK124" s="42">
        <f t="shared" si="121"/>
        <v>672</v>
      </c>
      <c r="AL124" s="42">
        <f t="shared" si="121"/>
        <v>1344</v>
      </c>
      <c r="AM124" s="42">
        <f t="shared" si="121"/>
        <v>2688</v>
      </c>
      <c r="AN124" s="42">
        <f t="shared" si="121"/>
        <v>5376</v>
      </c>
      <c r="AO124" s="42">
        <f t="shared" si="121"/>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26">L$69*$B$125</f>
        <v>1.53125</v>
      </c>
      <c r="M125" s="33">
        <f t="shared" si="126"/>
        <v>3.0625</v>
      </c>
      <c r="N125" s="33">
        <f t="shared" si="126"/>
        <v>6.125</v>
      </c>
      <c r="O125" s="33">
        <f t="shared" si="126"/>
        <v>12.25</v>
      </c>
      <c r="P125" s="33">
        <f t="shared" si="126"/>
        <v>24.5</v>
      </c>
      <c r="Q125" s="33">
        <f t="shared" si="126"/>
        <v>49</v>
      </c>
      <c r="R125" s="33">
        <f t="shared" si="126"/>
        <v>98</v>
      </c>
      <c r="S125" s="33">
        <f t="shared" si="126"/>
        <v>196</v>
      </c>
      <c r="T125" s="33">
        <f t="shared" si="126"/>
        <v>294</v>
      </c>
      <c r="U125" s="33">
        <f t="shared" si="126"/>
        <v>323.40000000000003</v>
      </c>
      <c r="V125" s="33">
        <f t="shared" si="126"/>
        <v>343</v>
      </c>
      <c r="W125" s="33">
        <f t="shared" si="126"/>
        <v>362.6</v>
      </c>
      <c r="X125" s="33">
        <f t="shared" si="126"/>
        <v>382.2</v>
      </c>
      <c r="Y125" s="33">
        <f t="shared" si="126"/>
        <v>392</v>
      </c>
      <c r="Z125" s="33">
        <f t="shared" si="126"/>
        <v>470.40000000000003</v>
      </c>
      <c r="AA125" s="33">
        <f t="shared" si="126"/>
        <v>548.80000000000007</v>
      </c>
      <c r="AB125" s="33">
        <f t="shared" si="126"/>
        <v>627.20000000000005</v>
      </c>
      <c r="AC125" s="33">
        <f t="shared" si="126"/>
        <v>705.6</v>
      </c>
      <c r="AD125" s="33">
        <f t="shared" si="126"/>
        <v>784</v>
      </c>
      <c r="AE125" s="33">
        <f t="shared" si="126"/>
        <v>940.80000000000007</v>
      </c>
      <c r="AF125" s="33">
        <f t="shared" si="126"/>
        <v>1097.6000000000001</v>
      </c>
      <c r="AG125" s="33">
        <f t="shared" si="126"/>
        <v>1254.4000000000001</v>
      </c>
      <c r="AH125" s="33">
        <f t="shared" si="126"/>
        <v>1411.2</v>
      </c>
      <c r="AI125" s="33">
        <f t="shared" si="126"/>
        <v>1568</v>
      </c>
      <c r="AJ125" s="33">
        <f t="shared" si="126"/>
        <v>3136</v>
      </c>
      <c r="AK125" s="33">
        <f t="shared" si="126"/>
        <v>6272</v>
      </c>
      <c r="AL125" s="33">
        <f t="shared" si="126"/>
        <v>12544</v>
      </c>
      <c r="AM125" s="33">
        <f t="shared" si="126"/>
        <v>25088</v>
      </c>
      <c r="AN125" s="33">
        <f t="shared" si="126"/>
        <v>50176</v>
      </c>
      <c r="AO125" s="33">
        <f t="shared" si="126"/>
        <v>100352</v>
      </c>
      <c r="AP125" s="33">
        <f t="shared" si="126"/>
        <v>200704</v>
      </c>
      <c r="AQ125" s="84">
        <f t="shared" si="126"/>
        <v>401408</v>
      </c>
      <c r="AR125" s="33">
        <f t="shared" si="126"/>
        <v>802816</v>
      </c>
      <c r="AS125" s="84">
        <f t="shared" si="126"/>
        <v>1256066</v>
      </c>
      <c r="AT125" s="57"/>
    </row>
    <row r="126" spans="1:46" x14ac:dyDescent="0.25">
      <c r="A126" s="53"/>
      <c r="B126" s="28"/>
      <c r="C126" s="28"/>
      <c r="D126" s="37"/>
      <c r="E126" s="37"/>
      <c r="F126" s="37"/>
      <c r="G126" s="37"/>
      <c r="H126" s="37"/>
      <c r="I126" s="37"/>
      <c r="J126" s="58">
        <v>7.2999999999999995E-2</v>
      </c>
      <c r="K126" s="28"/>
      <c r="L126" s="41">
        <f t="shared" ref="L126:AO126" si="127">L125*$J$126</f>
        <v>0.11178125</v>
      </c>
      <c r="M126" s="42">
        <f t="shared" si="127"/>
        <v>0.2235625</v>
      </c>
      <c r="N126" s="42">
        <f t="shared" si="127"/>
        <v>0.44712499999999999</v>
      </c>
      <c r="O126" s="42">
        <f t="shared" si="127"/>
        <v>0.89424999999999999</v>
      </c>
      <c r="P126" s="42">
        <f t="shared" si="127"/>
        <v>1.7885</v>
      </c>
      <c r="Q126" s="42">
        <f t="shared" si="127"/>
        <v>3.577</v>
      </c>
      <c r="R126" s="42">
        <f t="shared" si="127"/>
        <v>7.1539999999999999</v>
      </c>
      <c r="S126" s="42">
        <f t="shared" si="127"/>
        <v>14.308</v>
      </c>
      <c r="T126" s="42">
        <f t="shared" ref="T126:X126" si="128">T125*$J$126</f>
        <v>21.462</v>
      </c>
      <c r="U126" s="42">
        <f t="shared" si="128"/>
        <v>23.6082</v>
      </c>
      <c r="V126" s="42">
        <f t="shared" ref="V126:W126" si="129">V125*$J$126</f>
        <v>25.038999999999998</v>
      </c>
      <c r="W126" s="42">
        <f t="shared" si="129"/>
        <v>26.469799999999999</v>
      </c>
      <c r="X126" s="42">
        <f t="shared" si="128"/>
        <v>27.900599999999997</v>
      </c>
      <c r="Y126" s="42">
        <f t="shared" si="127"/>
        <v>28.616</v>
      </c>
      <c r="Z126" s="42">
        <f t="shared" ref="Z126:AC126" si="130">Z125*$J$126</f>
        <v>34.339199999999998</v>
      </c>
      <c r="AA126" s="42">
        <f t="shared" si="130"/>
        <v>40.062400000000004</v>
      </c>
      <c r="AB126" s="42">
        <f t="shared" si="130"/>
        <v>45.785600000000002</v>
      </c>
      <c r="AC126" s="42">
        <f t="shared" si="130"/>
        <v>51.508800000000001</v>
      </c>
      <c r="AD126" s="42">
        <f t="shared" si="127"/>
        <v>57.231999999999999</v>
      </c>
      <c r="AE126" s="42">
        <f t="shared" ref="AE126:AH126" si="131">AE125*$J$126</f>
        <v>68.678399999999996</v>
      </c>
      <c r="AF126" s="42">
        <f t="shared" si="131"/>
        <v>80.124800000000008</v>
      </c>
      <c r="AG126" s="42">
        <f t="shared" si="131"/>
        <v>91.571200000000005</v>
      </c>
      <c r="AH126" s="42">
        <f t="shared" si="131"/>
        <v>103.0176</v>
      </c>
      <c r="AI126" s="42">
        <f t="shared" si="127"/>
        <v>114.464</v>
      </c>
      <c r="AJ126" s="42">
        <f t="shared" si="127"/>
        <v>228.928</v>
      </c>
      <c r="AK126" s="42">
        <f t="shared" si="127"/>
        <v>457.85599999999999</v>
      </c>
      <c r="AL126" s="42">
        <f t="shared" si="127"/>
        <v>915.71199999999999</v>
      </c>
      <c r="AM126" s="42">
        <f t="shared" si="127"/>
        <v>1831.424</v>
      </c>
      <c r="AN126" s="42">
        <f t="shared" si="127"/>
        <v>3662.848</v>
      </c>
      <c r="AO126" s="42">
        <f t="shared" si="127"/>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32">L$69*$B$127</f>
        <v>9.6875</v>
      </c>
      <c r="M127" s="33">
        <f t="shared" si="132"/>
        <v>19.375</v>
      </c>
      <c r="N127" s="33">
        <f t="shared" si="132"/>
        <v>38.75</v>
      </c>
      <c r="O127" s="33">
        <f t="shared" si="132"/>
        <v>77.5</v>
      </c>
      <c r="P127" s="33">
        <f t="shared" si="132"/>
        <v>155</v>
      </c>
      <c r="Q127" s="33">
        <f t="shared" si="132"/>
        <v>310</v>
      </c>
      <c r="R127" s="33">
        <f t="shared" si="132"/>
        <v>620</v>
      </c>
      <c r="S127" s="33">
        <f t="shared" si="132"/>
        <v>1240</v>
      </c>
      <c r="T127" s="33">
        <f t="shared" si="132"/>
        <v>1860</v>
      </c>
      <c r="U127" s="33">
        <f t="shared" si="132"/>
        <v>2046</v>
      </c>
      <c r="V127" s="33">
        <f t="shared" si="132"/>
        <v>2170</v>
      </c>
      <c r="W127" s="33">
        <f t="shared" si="132"/>
        <v>2294</v>
      </c>
      <c r="X127" s="33">
        <f t="shared" si="132"/>
        <v>2418</v>
      </c>
      <c r="Y127" s="33">
        <f t="shared" si="132"/>
        <v>2480</v>
      </c>
      <c r="Z127" s="33">
        <f t="shared" si="132"/>
        <v>2976</v>
      </c>
      <c r="AA127" s="33">
        <f t="shared" si="132"/>
        <v>3472</v>
      </c>
      <c r="AB127" s="33">
        <f t="shared" si="132"/>
        <v>3968</v>
      </c>
      <c r="AC127" s="33">
        <f t="shared" si="132"/>
        <v>4464</v>
      </c>
      <c r="AD127" s="33">
        <f t="shared" si="132"/>
        <v>4960</v>
      </c>
      <c r="AE127" s="33">
        <f t="shared" si="132"/>
        <v>5952</v>
      </c>
      <c r="AF127" s="33">
        <f t="shared" si="132"/>
        <v>6944</v>
      </c>
      <c r="AG127" s="33">
        <f t="shared" si="132"/>
        <v>7936</v>
      </c>
      <c r="AH127" s="33">
        <f t="shared" si="132"/>
        <v>8928</v>
      </c>
      <c r="AI127" s="33">
        <f t="shared" si="132"/>
        <v>9920</v>
      </c>
      <c r="AJ127" s="33">
        <f t="shared" si="132"/>
        <v>19840</v>
      </c>
      <c r="AK127" s="33">
        <f t="shared" si="132"/>
        <v>39680</v>
      </c>
      <c r="AL127" s="33">
        <f t="shared" si="132"/>
        <v>79360</v>
      </c>
      <c r="AM127" s="33">
        <f t="shared" si="132"/>
        <v>158720</v>
      </c>
      <c r="AN127" s="33">
        <f t="shared" si="132"/>
        <v>317440</v>
      </c>
      <c r="AO127" s="33">
        <f t="shared" si="132"/>
        <v>634880</v>
      </c>
      <c r="AP127" s="33">
        <f t="shared" si="132"/>
        <v>1269760</v>
      </c>
      <c r="AQ127" s="84">
        <f t="shared" si="132"/>
        <v>2539520</v>
      </c>
      <c r="AR127" s="33">
        <f t="shared" si="132"/>
        <v>5079040</v>
      </c>
      <c r="AS127" s="84">
        <f t="shared" si="132"/>
        <v>7946540</v>
      </c>
      <c r="AT127" s="57"/>
    </row>
    <row r="128" spans="1:46" x14ac:dyDescent="0.25">
      <c r="A128" s="53"/>
      <c r="B128" s="28"/>
      <c r="C128" s="28"/>
      <c r="D128" s="37"/>
      <c r="E128" s="37"/>
      <c r="F128" s="37"/>
      <c r="G128" s="37"/>
      <c r="H128" s="37"/>
      <c r="I128" s="37"/>
      <c r="J128" s="58">
        <v>6.3E-2</v>
      </c>
      <c r="K128" s="28"/>
      <c r="L128" s="41">
        <f t="shared" ref="L128:AO128" si="133">L127*$J$128</f>
        <v>0.61031250000000004</v>
      </c>
      <c r="M128" s="42">
        <f t="shared" si="133"/>
        <v>1.2206250000000001</v>
      </c>
      <c r="N128" s="42">
        <f t="shared" si="133"/>
        <v>2.4412500000000001</v>
      </c>
      <c r="O128" s="42">
        <f t="shared" si="133"/>
        <v>4.8825000000000003</v>
      </c>
      <c r="P128" s="42">
        <f t="shared" si="133"/>
        <v>9.7650000000000006</v>
      </c>
      <c r="Q128" s="42">
        <f t="shared" si="133"/>
        <v>19.53</v>
      </c>
      <c r="R128" s="42">
        <f t="shared" si="133"/>
        <v>39.06</v>
      </c>
      <c r="S128" s="42">
        <f t="shared" si="133"/>
        <v>78.12</v>
      </c>
      <c r="T128" s="42">
        <f t="shared" ref="T128:X128" si="134">T127*$J$128</f>
        <v>117.18</v>
      </c>
      <c r="U128" s="42">
        <f t="shared" si="134"/>
        <v>128.898</v>
      </c>
      <c r="V128" s="42">
        <f t="shared" ref="V128:W128" si="135">V127*$J$128</f>
        <v>136.71</v>
      </c>
      <c r="W128" s="42">
        <f t="shared" si="135"/>
        <v>144.52199999999999</v>
      </c>
      <c r="X128" s="42">
        <f t="shared" si="134"/>
        <v>152.334</v>
      </c>
      <c r="Y128" s="42">
        <f t="shared" si="133"/>
        <v>156.24</v>
      </c>
      <c r="Z128" s="42">
        <f t="shared" ref="Z128:AC128" si="136">Z127*$J$128</f>
        <v>187.488</v>
      </c>
      <c r="AA128" s="42">
        <f t="shared" si="136"/>
        <v>218.73599999999999</v>
      </c>
      <c r="AB128" s="42">
        <f t="shared" si="136"/>
        <v>249.98400000000001</v>
      </c>
      <c r="AC128" s="42">
        <f t="shared" si="136"/>
        <v>281.23200000000003</v>
      </c>
      <c r="AD128" s="42">
        <f t="shared" si="133"/>
        <v>312.48</v>
      </c>
      <c r="AE128" s="42">
        <f t="shared" ref="AE128:AH128" si="137">AE127*$J$128</f>
        <v>374.976</v>
      </c>
      <c r="AF128" s="42">
        <f t="shared" si="137"/>
        <v>437.47199999999998</v>
      </c>
      <c r="AG128" s="42">
        <f t="shared" si="137"/>
        <v>499.96800000000002</v>
      </c>
      <c r="AH128" s="42">
        <f t="shared" si="137"/>
        <v>562.46400000000006</v>
      </c>
      <c r="AI128" s="42">
        <f t="shared" si="133"/>
        <v>624.96</v>
      </c>
      <c r="AJ128" s="42">
        <f t="shared" si="133"/>
        <v>1249.92</v>
      </c>
      <c r="AK128" s="42">
        <f t="shared" si="133"/>
        <v>2499.84</v>
      </c>
      <c r="AL128" s="42">
        <f t="shared" si="133"/>
        <v>4999.68</v>
      </c>
      <c r="AM128" s="42">
        <f t="shared" si="133"/>
        <v>9999.36</v>
      </c>
      <c r="AN128" s="42">
        <f t="shared" si="133"/>
        <v>19998.72</v>
      </c>
      <c r="AO128" s="42">
        <f t="shared" si="133"/>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38">L$69*$B$129</f>
        <v>3.3125</v>
      </c>
      <c r="M129" s="33">
        <f t="shared" si="138"/>
        <v>6.625</v>
      </c>
      <c r="N129" s="33">
        <f t="shared" si="138"/>
        <v>13.25</v>
      </c>
      <c r="O129" s="33">
        <f t="shared" si="138"/>
        <v>26.5</v>
      </c>
      <c r="P129" s="33">
        <f t="shared" si="138"/>
        <v>53</v>
      </c>
      <c r="Q129" s="33">
        <f t="shared" si="138"/>
        <v>106</v>
      </c>
      <c r="R129" s="33">
        <f t="shared" si="138"/>
        <v>212</v>
      </c>
      <c r="S129" s="33">
        <f t="shared" si="138"/>
        <v>424</v>
      </c>
      <c r="T129" s="33">
        <f t="shared" si="138"/>
        <v>636</v>
      </c>
      <c r="U129" s="33">
        <f t="shared" si="138"/>
        <v>699.6</v>
      </c>
      <c r="V129" s="33">
        <f t="shared" si="138"/>
        <v>742</v>
      </c>
      <c r="W129" s="33">
        <f t="shared" si="138"/>
        <v>784.4</v>
      </c>
      <c r="X129" s="33">
        <f t="shared" si="138"/>
        <v>826.8</v>
      </c>
      <c r="Y129" s="33">
        <f t="shared" si="138"/>
        <v>848</v>
      </c>
      <c r="Z129" s="33">
        <f t="shared" si="138"/>
        <v>1017.6</v>
      </c>
      <c r="AA129" s="33">
        <f t="shared" si="138"/>
        <v>1187.2</v>
      </c>
      <c r="AB129" s="33">
        <f t="shared" si="138"/>
        <v>1356.8</v>
      </c>
      <c r="AC129" s="33">
        <f t="shared" si="138"/>
        <v>1526.3999999999999</v>
      </c>
      <c r="AD129" s="33">
        <f t="shared" si="138"/>
        <v>1696</v>
      </c>
      <c r="AE129" s="33">
        <f t="shared" si="138"/>
        <v>2035.2</v>
      </c>
      <c r="AF129" s="33">
        <f t="shared" si="138"/>
        <v>2374.4</v>
      </c>
      <c r="AG129" s="33">
        <f t="shared" si="138"/>
        <v>2713.6</v>
      </c>
      <c r="AH129" s="33">
        <f t="shared" si="138"/>
        <v>3052.7999999999997</v>
      </c>
      <c r="AI129" s="33">
        <f t="shared" si="138"/>
        <v>3392</v>
      </c>
      <c r="AJ129" s="33">
        <f t="shared" si="138"/>
        <v>6784</v>
      </c>
      <c r="AK129" s="33">
        <f t="shared" si="138"/>
        <v>13568</v>
      </c>
      <c r="AL129" s="33">
        <f t="shared" si="138"/>
        <v>27136</v>
      </c>
      <c r="AM129" s="33">
        <f t="shared" si="138"/>
        <v>54272</v>
      </c>
      <c r="AN129" s="33">
        <f t="shared" si="138"/>
        <v>108544</v>
      </c>
      <c r="AO129" s="33">
        <f t="shared" si="138"/>
        <v>217088</v>
      </c>
      <c r="AP129" s="33">
        <f t="shared" si="138"/>
        <v>434176</v>
      </c>
      <c r="AQ129" s="84">
        <f t="shared" si="138"/>
        <v>868352</v>
      </c>
      <c r="AR129" s="33">
        <f t="shared" si="138"/>
        <v>1736704</v>
      </c>
      <c r="AS129" s="84">
        <f t="shared" si="138"/>
        <v>2717204</v>
      </c>
      <c r="AT129" s="57"/>
    </row>
    <row r="130" spans="1:46" x14ac:dyDescent="0.25">
      <c r="A130" s="53"/>
      <c r="B130" s="28"/>
      <c r="C130" s="28"/>
      <c r="D130" s="37"/>
      <c r="E130" s="37"/>
      <c r="F130" s="37"/>
      <c r="G130" s="37"/>
      <c r="H130" s="37"/>
      <c r="I130" s="37"/>
      <c r="J130" s="58">
        <v>0.06</v>
      </c>
      <c r="K130" s="28"/>
      <c r="L130" s="41">
        <f t="shared" ref="L130:AO130" si="139">L129*$J$130</f>
        <v>0.19874999999999998</v>
      </c>
      <c r="M130" s="42">
        <f t="shared" si="139"/>
        <v>0.39749999999999996</v>
      </c>
      <c r="N130" s="42">
        <f t="shared" si="139"/>
        <v>0.79499999999999993</v>
      </c>
      <c r="O130" s="42">
        <f t="shared" si="139"/>
        <v>1.5899999999999999</v>
      </c>
      <c r="P130" s="42">
        <f t="shared" si="139"/>
        <v>3.1799999999999997</v>
      </c>
      <c r="Q130" s="42">
        <f t="shared" si="139"/>
        <v>6.3599999999999994</v>
      </c>
      <c r="R130" s="42">
        <f t="shared" si="139"/>
        <v>12.719999999999999</v>
      </c>
      <c r="S130" s="42">
        <f t="shared" si="139"/>
        <v>25.439999999999998</v>
      </c>
      <c r="T130" s="42">
        <f t="shared" ref="T130:X130" si="140">T129*$J$130</f>
        <v>38.159999999999997</v>
      </c>
      <c r="U130" s="42">
        <f t="shared" si="140"/>
        <v>41.975999999999999</v>
      </c>
      <c r="V130" s="42">
        <f t="shared" ref="V130:W130" si="141">V129*$J$130</f>
        <v>44.519999999999996</v>
      </c>
      <c r="W130" s="42">
        <f t="shared" si="141"/>
        <v>47.064</v>
      </c>
      <c r="X130" s="42">
        <f t="shared" si="140"/>
        <v>49.607999999999997</v>
      </c>
      <c r="Y130" s="42">
        <f t="shared" si="139"/>
        <v>50.879999999999995</v>
      </c>
      <c r="Z130" s="42">
        <f t="shared" ref="Z130:AC130" si="142">Z129*$J$130</f>
        <v>61.055999999999997</v>
      </c>
      <c r="AA130" s="42">
        <f t="shared" si="142"/>
        <v>71.231999999999999</v>
      </c>
      <c r="AB130" s="42">
        <f t="shared" si="142"/>
        <v>81.408000000000001</v>
      </c>
      <c r="AC130" s="42">
        <f t="shared" si="142"/>
        <v>91.583999999999989</v>
      </c>
      <c r="AD130" s="42">
        <f t="shared" si="139"/>
        <v>101.75999999999999</v>
      </c>
      <c r="AE130" s="42">
        <f t="shared" ref="AE130:AH130" si="143">AE129*$J$130</f>
        <v>122.11199999999999</v>
      </c>
      <c r="AF130" s="42">
        <f t="shared" si="143"/>
        <v>142.464</v>
      </c>
      <c r="AG130" s="42">
        <f t="shared" si="143"/>
        <v>162.816</v>
      </c>
      <c r="AH130" s="42">
        <f t="shared" si="143"/>
        <v>183.16799999999998</v>
      </c>
      <c r="AI130" s="42">
        <f t="shared" si="139"/>
        <v>203.51999999999998</v>
      </c>
      <c r="AJ130" s="42">
        <f t="shared" si="139"/>
        <v>407.03999999999996</v>
      </c>
      <c r="AK130" s="42">
        <f t="shared" si="139"/>
        <v>814.07999999999993</v>
      </c>
      <c r="AL130" s="42">
        <f t="shared" si="139"/>
        <v>1628.1599999999999</v>
      </c>
      <c r="AM130" s="42">
        <f t="shared" si="139"/>
        <v>3256.3199999999997</v>
      </c>
      <c r="AN130" s="42">
        <f t="shared" si="139"/>
        <v>6512.6399999999994</v>
      </c>
      <c r="AO130" s="42">
        <f t="shared" si="139"/>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44">L$69*$B$131</f>
        <v>0.5625</v>
      </c>
      <c r="M131" s="33">
        <f t="shared" si="144"/>
        <v>1.125</v>
      </c>
      <c r="N131" s="33">
        <f t="shared" si="144"/>
        <v>2.25</v>
      </c>
      <c r="O131" s="33">
        <f t="shared" si="144"/>
        <v>4.5</v>
      </c>
      <c r="P131" s="33">
        <f t="shared" si="144"/>
        <v>9</v>
      </c>
      <c r="Q131" s="33">
        <f t="shared" si="144"/>
        <v>18</v>
      </c>
      <c r="R131" s="33">
        <f t="shared" si="144"/>
        <v>36</v>
      </c>
      <c r="S131" s="33">
        <f t="shared" si="144"/>
        <v>72</v>
      </c>
      <c r="T131" s="33">
        <f t="shared" si="144"/>
        <v>107.99999999999999</v>
      </c>
      <c r="U131" s="33">
        <f t="shared" si="144"/>
        <v>118.8</v>
      </c>
      <c r="V131" s="33">
        <f t="shared" si="144"/>
        <v>125.99999999999999</v>
      </c>
      <c r="W131" s="33">
        <f t="shared" si="144"/>
        <v>133.19999999999999</v>
      </c>
      <c r="X131" s="33">
        <f t="shared" si="144"/>
        <v>140.39999999999998</v>
      </c>
      <c r="Y131" s="33">
        <f t="shared" si="144"/>
        <v>144</v>
      </c>
      <c r="Z131" s="33">
        <f t="shared" si="144"/>
        <v>172.79999999999998</v>
      </c>
      <c r="AA131" s="33">
        <f t="shared" si="144"/>
        <v>201.6</v>
      </c>
      <c r="AB131" s="33">
        <f t="shared" si="144"/>
        <v>230.39999999999998</v>
      </c>
      <c r="AC131" s="33">
        <f t="shared" si="144"/>
        <v>259.2</v>
      </c>
      <c r="AD131" s="33">
        <f t="shared" si="144"/>
        <v>288</v>
      </c>
      <c r="AE131" s="33">
        <f t="shared" si="144"/>
        <v>345.59999999999997</v>
      </c>
      <c r="AF131" s="33">
        <f t="shared" si="144"/>
        <v>403.2</v>
      </c>
      <c r="AG131" s="33">
        <f t="shared" si="144"/>
        <v>460.79999999999995</v>
      </c>
      <c r="AH131" s="33">
        <f t="shared" si="144"/>
        <v>518.4</v>
      </c>
      <c r="AI131" s="33">
        <f t="shared" si="144"/>
        <v>576</v>
      </c>
      <c r="AJ131" s="33">
        <f t="shared" si="144"/>
        <v>1152</v>
      </c>
      <c r="AK131" s="33">
        <f t="shared" si="144"/>
        <v>2304</v>
      </c>
      <c r="AL131" s="33">
        <f t="shared" si="144"/>
        <v>4608</v>
      </c>
      <c r="AM131" s="33">
        <f t="shared" si="144"/>
        <v>9216</v>
      </c>
      <c r="AN131" s="33">
        <f t="shared" si="144"/>
        <v>18432</v>
      </c>
      <c r="AO131" s="33">
        <f t="shared" si="144"/>
        <v>36864</v>
      </c>
      <c r="AP131" s="33">
        <f t="shared" si="144"/>
        <v>73728</v>
      </c>
      <c r="AQ131" s="84">
        <f t="shared" si="144"/>
        <v>147456</v>
      </c>
      <c r="AR131" s="33">
        <f t="shared" si="144"/>
        <v>294912</v>
      </c>
      <c r="AS131" s="84">
        <f t="shared" si="144"/>
        <v>461411.99999999994</v>
      </c>
      <c r="AT131" s="57"/>
    </row>
    <row r="132" spans="1:46" x14ac:dyDescent="0.25">
      <c r="A132" s="53"/>
      <c r="B132" s="28"/>
      <c r="C132" s="28"/>
      <c r="D132" s="37"/>
      <c r="E132" s="37"/>
      <c r="F132" s="37"/>
      <c r="G132" s="37"/>
      <c r="H132" s="37"/>
      <c r="I132" s="37"/>
      <c r="J132" s="58">
        <v>5.6000000000000001E-2</v>
      </c>
      <c r="K132" s="28"/>
      <c r="L132" s="41">
        <f t="shared" ref="L132:AO132" si="145">L131*$J$132</f>
        <v>3.15E-2</v>
      </c>
      <c r="M132" s="42">
        <f t="shared" si="145"/>
        <v>6.3E-2</v>
      </c>
      <c r="N132" s="42">
        <f t="shared" si="145"/>
        <v>0.126</v>
      </c>
      <c r="O132" s="42">
        <f t="shared" si="145"/>
        <v>0.252</v>
      </c>
      <c r="P132" s="42">
        <f t="shared" si="145"/>
        <v>0.504</v>
      </c>
      <c r="Q132" s="42">
        <f t="shared" si="145"/>
        <v>1.008</v>
      </c>
      <c r="R132" s="42">
        <f t="shared" si="145"/>
        <v>2.016</v>
      </c>
      <c r="S132" s="42">
        <f t="shared" si="145"/>
        <v>4.032</v>
      </c>
      <c r="T132" s="42">
        <f t="shared" ref="T132:X132" si="146">T131*$J$132</f>
        <v>6.0479999999999992</v>
      </c>
      <c r="U132" s="42">
        <f t="shared" si="146"/>
        <v>6.6528</v>
      </c>
      <c r="V132" s="42">
        <f t="shared" ref="V132:W132" si="147">V131*$J$132</f>
        <v>7.0559999999999992</v>
      </c>
      <c r="W132" s="42">
        <f t="shared" si="147"/>
        <v>7.4591999999999992</v>
      </c>
      <c r="X132" s="42">
        <f t="shared" si="146"/>
        <v>7.8623999999999992</v>
      </c>
      <c r="Y132" s="42">
        <f t="shared" si="145"/>
        <v>8.0640000000000001</v>
      </c>
      <c r="Z132" s="42">
        <f t="shared" ref="Z132:AC132" si="148">Z131*$J$132</f>
        <v>9.6768000000000001</v>
      </c>
      <c r="AA132" s="42">
        <f t="shared" si="148"/>
        <v>11.2896</v>
      </c>
      <c r="AB132" s="42">
        <f t="shared" si="148"/>
        <v>12.902399999999998</v>
      </c>
      <c r="AC132" s="42">
        <f t="shared" si="148"/>
        <v>14.5152</v>
      </c>
      <c r="AD132" s="42">
        <f t="shared" si="145"/>
        <v>16.128</v>
      </c>
      <c r="AE132" s="42">
        <f t="shared" ref="AE132:AH132" si="149">AE131*$J$132</f>
        <v>19.3536</v>
      </c>
      <c r="AF132" s="42">
        <f t="shared" si="149"/>
        <v>22.5792</v>
      </c>
      <c r="AG132" s="42">
        <f t="shared" si="149"/>
        <v>25.804799999999997</v>
      </c>
      <c r="AH132" s="42">
        <f t="shared" si="149"/>
        <v>29.0304</v>
      </c>
      <c r="AI132" s="42">
        <f t="shared" si="145"/>
        <v>32.256</v>
      </c>
      <c r="AJ132" s="42">
        <f t="shared" si="145"/>
        <v>64.512</v>
      </c>
      <c r="AK132" s="42">
        <f t="shared" si="145"/>
        <v>129.024</v>
      </c>
      <c r="AL132" s="42">
        <f t="shared" si="145"/>
        <v>258.048</v>
      </c>
      <c r="AM132" s="42">
        <f t="shared" si="145"/>
        <v>516.096</v>
      </c>
      <c r="AN132" s="42">
        <f t="shared" si="145"/>
        <v>1032.192</v>
      </c>
      <c r="AO132" s="42">
        <f t="shared" si="145"/>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50">L$69*$B$133</f>
        <v>4.75</v>
      </c>
      <c r="M133" s="33">
        <f t="shared" si="150"/>
        <v>9.5</v>
      </c>
      <c r="N133" s="33">
        <f t="shared" si="150"/>
        <v>19</v>
      </c>
      <c r="O133" s="33">
        <f t="shared" si="150"/>
        <v>38</v>
      </c>
      <c r="P133" s="33">
        <f t="shared" si="150"/>
        <v>76</v>
      </c>
      <c r="Q133" s="33">
        <f t="shared" si="150"/>
        <v>152</v>
      </c>
      <c r="R133" s="33">
        <f t="shared" si="150"/>
        <v>304</v>
      </c>
      <c r="S133" s="33">
        <f t="shared" si="150"/>
        <v>608</v>
      </c>
      <c r="T133" s="33">
        <f t="shared" si="150"/>
        <v>912</v>
      </c>
      <c r="U133" s="33">
        <f t="shared" si="150"/>
        <v>1003.1999999999999</v>
      </c>
      <c r="V133" s="33">
        <f t="shared" si="150"/>
        <v>1064</v>
      </c>
      <c r="W133" s="33">
        <f t="shared" si="150"/>
        <v>1124.8</v>
      </c>
      <c r="X133" s="33">
        <f t="shared" si="150"/>
        <v>1185.5999999999999</v>
      </c>
      <c r="Y133" s="33">
        <f t="shared" si="150"/>
        <v>1216</v>
      </c>
      <c r="Z133" s="33">
        <f t="shared" si="150"/>
        <v>1459.2</v>
      </c>
      <c r="AA133" s="33">
        <f t="shared" si="150"/>
        <v>1702.3999999999999</v>
      </c>
      <c r="AB133" s="33">
        <f t="shared" si="150"/>
        <v>1945.6</v>
      </c>
      <c r="AC133" s="33">
        <f t="shared" si="150"/>
        <v>2188.7999999999997</v>
      </c>
      <c r="AD133" s="33">
        <f t="shared" si="150"/>
        <v>2432</v>
      </c>
      <c r="AE133" s="33">
        <f t="shared" si="150"/>
        <v>2918.4</v>
      </c>
      <c r="AF133" s="33">
        <f t="shared" si="150"/>
        <v>3404.7999999999997</v>
      </c>
      <c r="AG133" s="33">
        <f t="shared" si="150"/>
        <v>3891.2</v>
      </c>
      <c r="AH133" s="33">
        <f t="shared" si="150"/>
        <v>4377.5999999999995</v>
      </c>
      <c r="AI133" s="33">
        <f t="shared" si="150"/>
        <v>4864</v>
      </c>
      <c r="AJ133" s="33">
        <f t="shared" si="150"/>
        <v>9728</v>
      </c>
      <c r="AK133" s="33">
        <f t="shared" si="150"/>
        <v>19456</v>
      </c>
      <c r="AL133" s="33">
        <f t="shared" si="150"/>
        <v>38912</v>
      </c>
      <c r="AM133" s="33">
        <f t="shared" si="150"/>
        <v>77824</v>
      </c>
      <c r="AN133" s="33">
        <f t="shared" si="150"/>
        <v>155648</v>
      </c>
      <c r="AO133" s="33">
        <f t="shared" si="150"/>
        <v>311296</v>
      </c>
      <c r="AP133" s="33">
        <f t="shared" si="150"/>
        <v>622592</v>
      </c>
      <c r="AQ133" s="84">
        <f t="shared" si="150"/>
        <v>1245184</v>
      </c>
      <c r="AR133" s="33">
        <f t="shared" si="150"/>
        <v>2490368</v>
      </c>
      <c r="AS133" s="84">
        <f t="shared" si="150"/>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51">SUM(M123,M125,M127,M129,M131,M133)</f>
        <v>42.8125</v>
      </c>
      <c r="N135" s="31">
        <f t="shared" si="151"/>
        <v>85.625</v>
      </c>
      <c r="O135" s="31">
        <f t="shared" si="151"/>
        <v>171.25</v>
      </c>
      <c r="P135" s="31">
        <f t="shared" si="151"/>
        <v>342.5</v>
      </c>
      <c r="Q135" s="31">
        <f t="shared" si="151"/>
        <v>685</v>
      </c>
      <c r="R135" s="31">
        <f>SUM(R123,R125,R127,R129,R131,R133)</f>
        <v>1370</v>
      </c>
      <c r="S135" s="31">
        <f t="shared" si="151"/>
        <v>2740</v>
      </c>
      <c r="T135" s="31">
        <f t="shared" ref="T135:X135" si="152">SUM(T123,T125,T127,T129,T131,T133)</f>
        <v>4110</v>
      </c>
      <c r="U135" s="31">
        <f t="shared" si="152"/>
        <v>4521</v>
      </c>
      <c r="V135" s="31">
        <f t="shared" ref="V135:W135" si="153">SUM(V123,V125,V127,V129,V131,V133)</f>
        <v>4795</v>
      </c>
      <c r="W135" s="31">
        <f t="shared" si="153"/>
        <v>5069</v>
      </c>
      <c r="X135" s="31">
        <f t="shared" si="152"/>
        <v>5343</v>
      </c>
      <c r="Y135" s="31">
        <f t="shared" si="151"/>
        <v>5480</v>
      </c>
      <c r="Z135" s="31">
        <f t="shared" ref="Z135:AC135" si="154">SUM(Z123,Z125,Z127,Z129,Z131,Z133)</f>
        <v>6576</v>
      </c>
      <c r="AA135" s="31">
        <f t="shared" si="154"/>
        <v>7672</v>
      </c>
      <c r="AB135" s="31">
        <f t="shared" si="154"/>
        <v>8768</v>
      </c>
      <c r="AC135" s="31">
        <f t="shared" si="154"/>
        <v>9864</v>
      </c>
      <c r="AD135" s="31">
        <f t="shared" si="151"/>
        <v>10960</v>
      </c>
      <c r="AE135" s="31">
        <f t="shared" ref="AE135:AH135" si="155">SUM(AE123,AE125,AE127,AE129,AE131,AE133)</f>
        <v>13152</v>
      </c>
      <c r="AF135" s="31">
        <f t="shared" si="155"/>
        <v>15344</v>
      </c>
      <c r="AG135" s="31">
        <f t="shared" si="155"/>
        <v>17536</v>
      </c>
      <c r="AH135" s="31">
        <f t="shared" si="155"/>
        <v>19728</v>
      </c>
      <c r="AI135" s="31">
        <f t="shared" si="151"/>
        <v>21920</v>
      </c>
      <c r="AJ135" s="31">
        <f t="shared" si="151"/>
        <v>43840</v>
      </c>
      <c r="AK135" s="31">
        <f t="shared" si="151"/>
        <v>87680</v>
      </c>
      <c r="AL135" s="31">
        <f t="shared" si="151"/>
        <v>175360</v>
      </c>
      <c r="AM135" s="31">
        <f t="shared" si="151"/>
        <v>350720</v>
      </c>
      <c r="AN135" s="31">
        <f t="shared" si="151"/>
        <v>701440</v>
      </c>
      <c r="AO135" s="31">
        <f t="shared" si="151"/>
        <v>1402880</v>
      </c>
      <c r="AP135" s="31">
        <f t="shared" ref="AP135:AS136" si="156">SUM(AP123,AP125,AP127,AP129,AP131,AP133)</f>
        <v>2805760</v>
      </c>
      <c r="AQ135" s="72">
        <f t="shared" si="156"/>
        <v>5611520</v>
      </c>
      <c r="AR135" s="33">
        <f t="shared" si="156"/>
        <v>11223040</v>
      </c>
      <c r="AS135" s="84">
        <f t="shared" si="156"/>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57">SUM(M124,M126,M128,M130,M132,M134)</f>
        <v>2.2328125000000001</v>
      </c>
      <c r="N136" s="44">
        <f t="shared" si="157"/>
        <v>4.4656250000000002</v>
      </c>
      <c r="O136" s="44">
        <f t="shared" si="157"/>
        <v>8.9312500000000004</v>
      </c>
      <c r="P136" s="44">
        <f t="shared" si="157"/>
        <v>17.862500000000001</v>
      </c>
      <c r="Q136" s="44">
        <f t="shared" si="157"/>
        <v>35.725000000000001</v>
      </c>
      <c r="R136" s="44">
        <f t="shared" si="157"/>
        <v>71.45</v>
      </c>
      <c r="S136" s="44">
        <f t="shared" si="157"/>
        <v>142.9</v>
      </c>
      <c r="T136" s="44">
        <f t="shared" ref="T136:X136" si="158">SUM(T124,T126,T128,T130,T132,T134)</f>
        <v>214.35</v>
      </c>
      <c r="U136" s="44">
        <f t="shared" si="158"/>
        <v>235.78500000000003</v>
      </c>
      <c r="V136" s="44">
        <f t="shared" ref="V136:W136" si="159">SUM(V124,V126,V128,V130,V132,V134)</f>
        <v>250.07500000000002</v>
      </c>
      <c r="W136" s="44">
        <f t="shared" si="159"/>
        <v>264.36500000000001</v>
      </c>
      <c r="X136" s="44">
        <f t="shared" si="158"/>
        <v>278.65499999999997</v>
      </c>
      <c r="Y136" s="44">
        <f t="shared" si="157"/>
        <v>285.8</v>
      </c>
      <c r="Z136" s="44">
        <f t="shared" ref="Z136:AC136" si="160">SUM(Z124,Z126,Z128,Z130,Z132,Z134)</f>
        <v>342.96</v>
      </c>
      <c r="AA136" s="44">
        <f t="shared" si="160"/>
        <v>400.11999999999995</v>
      </c>
      <c r="AB136" s="44">
        <f t="shared" si="160"/>
        <v>457.28000000000003</v>
      </c>
      <c r="AC136" s="44">
        <f t="shared" si="160"/>
        <v>514.44000000000005</v>
      </c>
      <c r="AD136" s="44">
        <f t="shared" si="157"/>
        <v>571.6</v>
      </c>
      <c r="AE136" s="44">
        <f t="shared" ref="AE136:AH136" si="161">SUM(AE124,AE126,AE128,AE130,AE132,AE134)</f>
        <v>685.92</v>
      </c>
      <c r="AF136" s="44">
        <f t="shared" si="161"/>
        <v>800.2399999999999</v>
      </c>
      <c r="AG136" s="44">
        <f t="shared" si="161"/>
        <v>914.56000000000006</v>
      </c>
      <c r="AH136" s="44">
        <f t="shared" si="161"/>
        <v>1028.8800000000001</v>
      </c>
      <c r="AI136" s="44">
        <f t="shared" si="157"/>
        <v>1143.2</v>
      </c>
      <c r="AJ136" s="44">
        <f t="shared" si="157"/>
        <v>2286.4</v>
      </c>
      <c r="AK136" s="44">
        <f t="shared" si="157"/>
        <v>4572.8</v>
      </c>
      <c r="AL136" s="44">
        <f t="shared" si="157"/>
        <v>9145.6</v>
      </c>
      <c r="AM136" s="44">
        <f t="shared" si="157"/>
        <v>18291.2</v>
      </c>
      <c r="AN136" s="44">
        <f t="shared" si="157"/>
        <v>36582.400000000001</v>
      </c>
      <c r="AO136" s="44">
        <f t="shared" si="157"/>
        <v>73164.800000000003</v>
      </c>
      <c r="AP136" s="44">
        <f t="shared" si="156"/>
        <v>146329.60000000001</v>
      </c>
      <c r="AQ136" s="85">
        <f t="shared" si="156"/>
        <v>292659.20000000001</v>
      </c>
      <c r="AR136" s="44">
        <f t="shared" si="156"/>
        <v>585318.40000000002</v>
      </c>
      <c r="AS136" s="85">
        <f t="shared" si="156"/>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0" sqref="O10"/>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27595</v>
      </c>
    </row>
    <row r="7" spans="2:10" x14ac:dyDescent="0.25">
      <c r="B7" s="195" t="s">
        <v>221</v>
      </c>
      <c r="C7" s="177">
        <f ca="1">NOW()</f>
        <v>44136.695180092589</v>
      </c>
    </row>
    <row r="8" spans="2:10" x14ac:dyDescent="0.25">
      <c r="B8" s="195" t="s">
        <v>238</v>
      </c>
      <c r="C8" s="178">
        <f ca="1">C7-C5</f>
        <v>244.695180092589</v>
      </c>
    </row>
    <row r="9" spans="2:10" x14ac:dyDescent="0.25">
      <c r="B9" s="195" t="s">
        <v>220</v>
      </c>
      <c r="C9" s="180">
        <f ca="1">C8/(LOG(C6/C4)/LOG(2))</f>
        <v>25.091487649131547</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64848.25</v>
      </c>
    </row>
    <row r="13" spans="2:10" s="81" customFormat="1" x14ac:dyDescent="0.25">
      <c r="B13" s="60" t="s">
        <v>273</v>
      </c>
      <c r="C13" s="186">
        <f ca="1">(C4/Projections!B57)*(2^(((C7-21)-C5)/C9))</f>
        <v>36304.047936423514</v>
      </c>
    </row>
    <row r="14" spans="2:10" s="81" customFormat="1" x14ac:dyDescent="0.25">
      <c r="B14" s="61" t="s">
        <v>274</v>
      </c>
      <c r="C14" s="165">
        <f ca="1">C12-C13</f>
        <v>28544.202063576486</v>
      </c>
      <c r="E14" s="182"/>
      <c r="F14" s="183" t="s">
        <v>243</v>
      </c>
      <c r="G14" s="181"/>
    </row>
    <row r="15" spans="2:10" x14ac:dyDescent="0.25">
      <c r="B15" s="16" t="s">
        <v>240</v>
      </c>
      <c r="C15" s="76">
        <f>C6*Projections!B61</f>
        <v>22351.95</v>
      </c>
      <c r="I15" s="176"/>
    </row>
    <row r="16" spans="2:10" x14ac:dyDescent="0.25">
      <c r="B16" s="53" t="s">
        <v>250</v>
      </c>
      <c r="C16" s="95">
        <f ca="1">(C4*Projections!B61)*(2^(((C7-21)-C5)/C9))</f>
        <v>12513.310139788531</v>
      </c>
      <c r="I16" s="176"/>
    </row>
    <row r="17" spans="2:9" x14ac:dyDescent="0.25">
      <c r="B17" s="53" t="s">
        <v>241</v>
      </c>
      <c r="C17" s="95">
        <f ca="1">C15-C16</f>
        <v>9838.6398602114696</v>
      </c>
      <c r="F17" t="s">
        <v>244</v>
      </c>
      <c r="I17" s="176"/>
    </row>
    <row r="18" spans="2:9" x14ac:dyDescent="0.25">
      <c r="B18" s="16" t="s">
        <v>246</v>
      </c>
      <c r="C18" s="76">
        <f>C6*Projections!B62</f>
        <v>3863.3</v>
      </c>
    </row>
    <row r="19" spans="2:9" x14ac:dyDescent="0.25">
      <c r="B19" s="53" t="s">
        <v>251</v>
      </c>
      <c r="C19" s="95">
        <f ca="1">(C4*Projections!B62)*(2^(((C7-49)-C5)/C9))</f>
        <v>997.9090176223026</v>
      </c>
    </row>
    <row r="20" spans="2:9" x14ac:dyDescent="0.25">
      <c r="B20" s="53" t="s">
        <v>245</v>
      </c>
      <c r="C20" s="95">
        <f ca="1">C18-C19</f>
        <v>2865.3909823776976</v>
      </c>
      <c r="F20" t="s">
        <v>249</v>
      </c>
    </row>
    <row r="21" spans="2:9" x14ac:dyDescent="0.25">
      <c r="B21" s="16" t="s">
        <v>247</v>
      </c>
      <c r="C21" s="76">
        <f>C6*Projections!B63</f>
        <v>275.95</v>
      </c>
      <c r="I21" s="176"/>
    </row>
    <row r="22" spans="2:9" x14ac:dyDescent="0.25">
      <c r="B22" s="53" t="s">
        <v>252</v>
      </c>
      <c r="C22" s="95">
        <f ca="1">(C4*Projections!B63)*(2^(((C7-49)-C5)/C9))</f>
        <v>71.279215544450182</v>
      </c>
      <c r="I22" s="176"/>
    </row>
    <row r="23" spans="2:9" x14ac:dyDescent="0.25">
      <c r="B23" s="53" t="s">
        <v>248</v>
      </c>
      <c r="C23" s="95">
        <f ca="1">C21-C22</f>
        <v>204.67078445554981</v>
      </c>
      <c r="I23" s="176"/>
    </row>
    <row r="24" spans="2:9" x14ac:dyDescent="0.25">
      <c r="B24" s="16" t="s">
        <v>253</v>
      </c>
      <c r="C24" s="76">
        <f>C6*Projections!B64</f>
        <v>648.48249999999996</v>
      </c>
    </row>
    <row r="25" spans="2:9" x14ac:dyDescent="0.25">
      <c r="B25" s="49" t="s">
        <v>254</v>
      </c>
      <c r="C25" s="73">
        <f ca="1">(C4*Projections!B64)*(2^(((C7-42)-C5)/C9))</f>
        <v>203.2412434522343</v>
      </c>
      <c r="F25" t="s">
        <v>255</v>
      </c>
    </row>
    <row r="26" spans="2:9" x14ac:dyDescent="0.25">
      <c r="B26" s="53" t="s">
        <v>231</v>
      </c>
      <c r="C26" s="189">
        <f ca="1">C9*(LOG(C10/C21)/LOG(2))</f>
        <v>198.62470666383345</v>
      </c>
      <c r="D26" t="s">
        <v>196</v>
      </c>
      <c r="F26" s="81" t="s">
        <v>256</v>
      </c>
    </row>
    <row r="27" spans="2:9" x14ac:dyDescent="0.25">
      <c r="B27" s="49" t="s">
        <v>227</v>
      </c>
      <c r="C27" s="188">
        <f ca="1">C7+C26</f>
        <v>44335.319886756421</v>
      </c>
      <c r="F27" t="s">
        <v>257</v>
      </c>
    </row>
    <row r="28" spans="2:9" x14ac:dyDescent="0.25">
      <c r="B28" s="16" t="s">
        <v>232</v>
      </c>
      <c r="C28" s="187">
        <f ca="1">C9*(LOG(C11/C21)/LOG(2))</f>
        <v>69.783868433807299</v>
      </c>
      <c r="D28" t="s">
        <v>196</v>
      </c>
    </row>
    <row r="29" spans="2:9" x14ac:dyDescent="0.25">
      <c r="B29" s="49" t="s">
        <v>228</v>
      </c>
      <c r="C29" s="188">
        <f ca="1">C7+C28</f>
        <v>44206.479048526395</v>
      </c>
      <c r="F29" t="s">
        <v>257</v>
      </c>
    </row>
    <row r="30" spans="2:9" x14ac:dyDescent="0.25">
      <c r="B30" s="16" t="s">
        <v>233</v>
      </c>
      <c r="C30" s="187">
        <f ca="1">C9*(LOG((C3*0.6)/C12)/LOG(2))</f>
        <v>197.96706180051896</v>
      </c>
      <c r="D30" t="s">
        <v>196</v>
      </c>
    </row>
    <row r="31" spans="2:9" x14ac:dyDescent="0.25">
      <c r="B31" s="49" t="s">
        <v>230</v>
      </c>
      <c r="C31" s="188">
        <f ca="1">C7+C30</f>
        <v>44334.662241893107</v>
      </c>
    </row>
    <row r="34" spans="2:6" x14ac:dyDescent="0.25">
      <c r="B34" s="16" t="s">
        <v>234</v>
      </c>
      <c r="C34" s="177">
        <f ca="1">C7+30</f>
        <v>44166.695180092589</v>
      </c>
      <c r="F34" t="s">
        <v>275</v>
      </c>
    </row>
    <row r="35" spans="2:6" x14ac:dyDescent="0.25">
      <c r="B35" s="53" t="s">
        <v>235</v>
      </c>
      <c r="C35" s="95">
        <f ca="1">C6*(2^((C34-C7)/C9))</f>
        <v>63204.684522469761</v>
      </c>
      <c r="F35" t="s">
        <v>242</v>
      </c>
    </row>
    <row r="36" spans="2:6" x14ac:dyDescent="0.25">
      <c r="B36" s="53" t="s">
        <v>229</v>
      </c>
      <c r="C36" s="95">
        <f ca="1">C35/Projections!B57</f>
        <v>148531.00862780394</v>
      </c>
    </row>
    <row r="37" spans="2:6" x14ac:dyDescent="0.25">
      <c r="B37" s="53" t="s">
        <v>171</v>
      </c>
      <c r="C37" s="95">
        <f ca="1">C35*Projections!B61</f>
        <v>51195.794463200509</v>
      </c>
    </row>
    <row r="38" spans="2:6" x14ac:dyDescent="0.25">
      <c r="B38" s="53" t="s">
        <v>222</v>
      </c>
      <c r="C38" s="95">
        <f ca="1">C35*Projections!B62</f>
        <v>8848.6558331457672</v>
      </c>
    </row>
    <row r="39" spans="2:6" x14ac:dyDescent="0.25">
      <c r="B39" s="53" t="s">
        <v>223</v>
      </c>
      <c r="C39" s="95">
        <f ca="1">C35*Projections!B63</f>
        <v>632.04684522469768</v>
      </c>
    </row>
    <row r="40" spans="2:6" x14ac:dyDescent="0.25">
      <c r="B40" s="49" t="s">
        <v>224</v>
      </c>
      <c r="C40" s="73">
        <f ca="1">C35*Projections!B64</f>
        <v>1485.3100862780393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2020-11-01T05:41:03Z</dcterms:modified>
</cp:coreProperties>
</file>