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Python\Aus COVID-19 Projections\Aus-COVID-19-Projections\"/>
    </mc:Choice>
  </mc:AlternateContent>
  <xr:revisionPtr revIDLastSave="0" documentId="13_ncr:1_{F20FE533-AC68-4D79-B065-A3B4D7DE2664}"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62" i="1" l="1"/>
  <c r="AF62" i="1" l="1"/>
  <c r="C7" i="5" l="1"/>
  <c r="AE62" i="1" l="1"/>
  <c r="AD62" i="1" l="1"/>
  <c r="AC62" i="1" l="1"/>
  <c r="AB62" i="1" l="1"/>
  <c r="B23" i="1" l="1"/>
  <c r="AA62" i="1" l="1"/>
  <c r="Z62" i="1" l="1"/>
  <c r="Y62" i="1" l="1"/>
  <c r="Q62" i="1" l="1"/>
  <c r="R62" i="1"/>
  <c r="S62" i="1"/>
  <c r="T62" i="1"/>
  <c r="U62" i="1"/>
  <c r="V62" i="1"/>
  <c r="W62" i="1"/>
  <c r="X62" i="1"/>
  <c r="P62" i="1"/>
  <c r="E34" i="4" l="1"/>
  <c r="C45" i="4"/>
  <c r="C21" i="5" l="1"/>
  <c r="C26" i="1"/>
  <c r="D26" i="1" s="1"/>
  <c r="C25" i="1"/>
  <c r="B14" i="3"/>
  <c r="P58" i="1"/>
  <c r="B83" i="1"/>
  <c r="B81" i="1"/>
  <c r="B79" i="1"/>
  <c r="B77" i="1"/>
  <c r="B75" i="1"/>
  <c r="B73" i="1"/>
  <c r="B71" i="1"/>
  <c r="B69" i="1"/>
  <c r="B67" i="1"/>
  <c r="C23" i="2"/>
  <c r="D23" i="2" s="1"/>
  <c r="D24" i="2"/>
  <c r="D18" i="2"/>
  <c r="D16" i="2"/>
  <c r="D14" i="2"/>
  <c r="D12" i="2"/>
  <c r="D10" i="2"/>
  <c r="D8" i="2"/>
  <c r="D6" i="2"/>
  <c r="D4" i="2"/>
  <c r="C18" i="2"/>
  <c r="C16" i="2"/>
  <c r="C14" i="2"/>
  <c r="C12" i="2"/>
  <c r="C10" i="2"/>
  <c r="C8" i="2"/>
  <c r="C6" i="2"/>
  <c r="C4" i="2"/>
  <c r="B25" i="2"/>
  <c r="AQ39" i="1" l="1"/>
  <c r="AQ36" i="1"/>
  <c r="AQ35" i="1" s="1"/>
  <c r="AQ43" i="1" s="1"/>
  <c r="AO39" i="1"/>
  <c r="AQ41" i="1" l="1"/>
  <c r="AQ40" i="1"/>
  <c r="C5" i="5"/>
  <c r="C4" i="5"/>
  <c r="Q34" i="1"/>
  <c r="R34" i="1" l="1"/>
  <c r="S34" i="1" s="1"/>
  <c r="Q60" i="1"/>
  <c r="T34" i="1" l="1"/>
  <c r="Q58" i="1"/>
  <c r="P60" i="1"/>
  <c r="P57" i="1"/>
  <c r="U34" i="1" l="1"/>
  <c r="R58" i="1"/>
  <c r="P45" i="1"/>
  <c r="P46" i="1" s="1"/>
  <c r="P47" i="1"/>
  <c r="P48" i="1" s="1"/>
  <c r="V34" i="1" l="1"/>
  <c r="S58" i="1"/>
  <c r="P43" i="1"/>
  <c r="P44" i="1" s="1"/>
  <c r="P39" i="1"/>
  <c r="P41" i="1" s="1"/>
  <c r="P42" i="1" s="1"/>
  <c r="C12" i="5"/>
  <c r="C8" i="5"/>
  <c r="C9" i="5" s="1"/>
  <c r="C18" i="5"/>
  <c r="C15" i="5"/>
  <c r="C24" i="5"/>
  <c r="C3" i="5"/>
  <c r="W34" i="1" l="1"/>
  <c r="C30" i="5"/>
  <c r="P40" i="1"/>
  <c r="T58" i="1"/>
  <c r="P37" i="1"/>
  <c r="P38" i="1" s="1"/>
  <c r="C34" i="5"/>
  <c r="X34" i="1" l="1"/>
  <c r="U58" i="1"/>
  <c r="C13" i="5"/>
  <c r="C14" i="5" s="1"/>
  <c r="AP35" i="1"/>
  <c r="P53" i="1"/>
  <c r="P51" i="1"/>
  <c r="P54" i="1"/>
  <c r="P52" i="1"/>
  <c r="X60" i="1" l="1"/>
  <c r="Y34" i="1"/>
  <c r="AP92" i="1"/>
  <c r="AP93" i="1" s="1"/>
  <c r="AP90" i="1"/>
  <c r="AP96" i="1"/>
  <c r="AP97" i="1" s="1"/>
  <c r="AP100" i="1"/>
  <c r="AP94" i="1"/>
  <c r="AP95" i="1" s="1"/>
  <c r="AP98" i="1"/>
  <c r="AP99" i="1" s="1"/>
  <c r="V58" i="1"/>
  <c r="AP36" i="1"/>
  <c r="AQ49" i="1"/>
  <c r="AQ47" i="1"/>
  <c r="AQ45" i="1"/>
  <c r="AP59" i="1"/>
  <c r="AQ59" i="1" s="1"/>
  <c r="AP43" i="1"/>
  <c r="AP39" i="1"/>
  <c r="AP41" i="1" s="1"/>
  <c r="C22" i="5"/>
  <c r="C23" i="5" s="1"/>
  <c r="C35" i="5"/>
  <c r="C40" i="5" s="1"/>
  <c r="C25" i="5"/>
  <c r="C19" i="5"/>
  <c r="C20" i="5" s="1"/>
  <c r="C16" i="5"/>
  <c r="C17" i="5" s="1"/>
  <c r="C31" i="5"/>
  <c r="AP25" i="4"/>
  <c r="E31" i="4"/>
  <c r="B17" i="4" s="1"/>
  <c r="K20" i="4" l="1"/>
  <c r="B18" i="4"/>
  <c r="B19" i="4" s="1"/>
  <c r="Z34" i="1"/>
  <c r="AP91" i="1"/>
  <c r="AP103" i="1" s="1"/>
  <c r="AP102"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A34" i="1"/>
  <c r="E18" i="4"/>
  <c r="K21" i="4" s="1"/>
  <c r="N20" i="4"/>
  <c r="H17" i="4"/>
  <c r="P90" i="1"/>
  <c r="P91" i="1" s="1"/>
  <c r="AB34" i="1" l="1"/>
  <c r="E19" i="4"/>
  <c r="Q20" i="4"/>
  <c r="H18" i="4"/>
  <c r="N22" i="4" s="1"/>
  <c r="K17" i="4"/>
  <c r="Y24" i="4"/>
  <c r="AC34" i="1" l="1"/>
  <c r="H19" i="4"/>
  <c r="T20" i="4"/>
  <c r="K18" i="4"/>
  <c r="K19" i="4" s="1"/>
  <c r="N21" i="4"/>
  <c r="AB24" i="4" s="1"/>
  <c r="N17" i="4"/>
  <c r="AD34" i="1" l="1"/>
  <c r="Q17" i="4"/>
  <c r="T17" i="4" s="1"/>
  <c r="W20" i="4"/>
  <c r="N18" i="4"/>
  <c r="N19" i="4" s="1"/>
  <c r="Q21" i="4"/>
  <c r="AE24" i="4" s="1"/>
  <c r="Q22" i="4"/>
  <c r="AE34" i="1" l="1"/>
  <c r="AF34" i="1" s="1"/>
  <c r="AG34" i="1" s="1"/>
  <c r="AH34" i="1" s="1"/>
  <c r="AI34" i="1" s="1"/>
  <c r="AJ34" i="1" s="1"/>
  <c r="AK34" i="1" s="1"/>
  <c r="T18" i="4"/>
  <c r="T19" i="4" s="1"/>
  <c r="AC20" i="4"/>
  <c r="Z20" i="4"/>
  <c r="Q18" i="4"/>
  <c r="Q19" i="4" s="1"/>
  <c r="T21" i="4"/>
  <c r="AH24" i="4" s="1"/>
  <c r="T22" i="4"/>
  <c r="T23" i="4"/>
  <c r="W21" i="4"/>
  <c r="AK24" i="4" s="1"/>
  <c r="W17" i="4"/>
  <c r="W23" i="4" l="1"/>
  <c r="AJ57" i="1"/>
  <c r="AJ58" i="1"/>
  <c r="W18" i="4"/>
  <c r="W19" i="4" s="1"/>
  <c r="AF20" i="4"/>
  <c r="W22" i="4"/>
  <c r="Z21" i="4"/>
  <c r="AN24" i="4" s="1"/>
  <c r="Z23" i="4"/>
  <c r="Z22" i="4"/>
  <c r="Z17" i="4"/>
  <c r="C100" i="1"/>
  <c r="C98" i="1"/>
  <c r="C96" i="1"/>
  <c r="C94" i="1"/>
  <c r="C92" i="1"/>
  <c r="C90" i="1"/>
  <c r="P49" i="1"/>
  <c r="D69" i="1"/>
  <c r="AL34" i="1" l="1"/>
  <c r="AK57" i="1"/>
  <c r="AK58" i="1"/>
  <c r="Z18" i="4"/>
  <c r="Z19" i="4" s="1"/>
  <c r="AI20" i="4"/>
  <c r="AP69" i="1"/>
  <c r="AP70" i="1"/>
  <c r="AC21" i="4"/>
  <c r="AC22" i="4"/>
  <c r="AC23" i="4"/>
  <c r="AC17" i="4"/>
  <c r="AP49" i="1"/>
  <c r="D73" i="1"/>
  <c r="D67" i="1"/>
  <c r="D83" i="1"/>
  <c r="D81" i="1"/>
  <c r="D79" i="1"/>
  <c r="D77" i="1"/>
  <c r="D75" i="1"/>
  <c r="D71" i="1"/>
  <c r="C10" i="5"/>
  <c r="C26" i="5" s="1"/>
  <c r="C27" i="5" s="1"/>
  <c r="C11" i="5"/>
  <c r="P70" i="1"/>
  <c r="P100" i="1"/>
  <c r="P98" i="1"/>
  <c r="P96" i="1"/>
  <c r="P97" i="1" s="1"/>
  <c r="P94" i="1"/>
  <c r="P95" i="1" s="1"/>
  <c r="P92" i="1"/>
  <c r="P93" i="1" s="1"/>
  <c r="C69" i="1"/>
  <c r="C71" i="1"/>
  <c r="C73" i="1"/>
  <c r="C75" i="1"/>
  <c r="C77" i="1"/>
  <c r="C79" i="1"/>
  <c r="C81" i="1"/>
  <c r="C83" i="1"/>
  <c r="C67" i="1"/>
  <c r="P36" i="1"/>
  <c r="Q35" i="1"/>
  <c r="C28" i="5" l="1"/>
  <c r="C29" i="5" s="1"/>
  <c r="AM34" i="1"/>
  <c r="AN34" i="1" s="1"/>
  <c r="AL57" i="1"/>
  <c r="AL58" i="1"/>
  <c r="AP67" i="1"/>
  <c r="AP68" i="1"/>
  <c r="AL20" i="4"/>
  <c r="AC18" i="4"/>
  <c r="AC19" i="4" s="1"/>
  <c r="AP79" i="1"/>
  <c r="AP80" i="1"/>
  <c r="AP72" i="1"/>
  <c r="AP71" i="1"/>
  <c r="AP75" i="1"/>
  <c r="AP76" i="1"/>
  <c r="AP82" i="1"/>
  <c r="AP81" i="1"/>
  <c r="AP74" i="1"/>
  <c r="AP73" i="1"/>
  <c r="AP78" i="1"/>
  <c r="AP77" i="1"/>
  <c r="P84" i="1"/>
  <c r="AP84" i="1"/>
  <c r="AP83" i="1"/>
  <c r="Q45" i="1"/>
  <c r="Q47" i="1"/>
  <c r="Q48" i="1" s="1"/>
  <c r="Q43" i="1"/>
  <c r="Q44" i="1" s="1"/>
  <c r="Q51" i="1"/>
  <c r="Q54" i="1"/>
  <c r="Q57" i="1"/>
  <c r="Q52" i="1"/>
  <c r="Q53" i="1"/>
  <c r="Q39" i="1"/>
  <c r="AF22" i="4"/>
  <c r="AF23" i="4"/>
  <c r="AF21" i="4"/>
  <c r="AF17" i="4"/>
  <c r="P68" i="1"/>
  <c r="P67" i="1"/>
  <c r="P76" i="1"/>
  <c r="P75" i="1"/>
  <c r="P79" i="1"/>
  <c r="P78" i="1"/>
  <c r="P81" i="1"/>
  <c r="P71" i="1"/>
  <c r="R35" i="1"/>
  <c r="R43" i="1" s="1"/>
  <c r="R44" i="1" s="1"/>
  <c r="Q94" i="1"/>
  <c r="Q95" i="1" s="1"/>
  <c r="P72" i="1"/>
  <c r="Q83" i="1"/>
  <c r="Q92" i="1"/>
  <c r="Q93" i="1" s="1"/>
  <c r="P80" i="1"/>
  <c r="Q81" i="1"/>
  <c r="Q100" i="1"/>
  <c r="P69" i="1"/>
  <c r="P77" i="1"/>
  <c r="Q98" i="1"/>
  <c r="Q99" i="1" s="1"/>
  <c r="Q96" i="1"/>
  <c r="Q97" i="1" s="1"/>
  <c r="Q79" i="1"/>
  <c r="Q72" i="1"/>
  <c r="Q76" i="1"/>
  <c r="Q80" i="1"/>
  <c r="Q84" i="1"/>
  <c r="P102" i="1"/>
  <c r="Q90" i="1"/>
  <c r="Q91" i="1" s="1"/>
  <c r="P73" i="1"/>
  <c r="Q69" i="1"/>
  <c r="P74" i="1"/>
  <c r="P82" i="1"/>
  <c r="Q73" i="1"/>
  <c r="Q70" i="1"/>
  <c r="Q77" i="1"/>
  <c r="P83" i="1"/>
  <c r="Q67" i="1"/>
  <c r="Q74" i="1"/>
  <c r="Q78" i="1"/>
  <c r="Q82" i="1"/>
  <c r="Q71" i="1"/>
  <c r="Q68" i="1"/>
  <c r="Q75" i="1"/>
  <c r="P99" i="1"/>
  <c r="P103" i="1" s="1"/>
  <c r="Q36" i="1"/>
  <c r="Q49" i="1"/>
  <c r="AN57" i="1" l="1"/>
  <c r="AN58" i="1"/>
  <c r="AO34" i="1"/>
  <c r="AM57" i="1"/>
  <c r="AM58" i="1"/>
  <c r="AO20" i="4"/>
  <c r="AF18" i="4"/>
  <c r="AF19" i="4" s="1"/>
  <c r="AP86" i="1"/>
  <c r="AP85" i="1"/>
  <c r="Q46" i="1"/>
  <c r="Q37" i="1" s="1"/>
  <c r="Q38" i="1" s="1"/>
  <c r="R92" i="1"/>
  <c r="R93" i="1" s="1"/>
  <c r="R73" i="1"/>
  <c r="R47" i="1"/>
  <c r="R48" i="1" s="1"/>
  <c r="R98" i="1"/>
  <c r="R99" i="1" s="1"/>
  <c r="R69" i="1"/>
  <c r="R68" i="1"/>
  <c r="R90" i="1"/>
  <c r="R91" i="1" s="1"/>
  <c r="R70" i="1"/>
  <c r="R36" i="1"/>
  <c r="Q40" i="1"/>
  <c r="Q41" i="1"/>
  <c r="Q42" i="1" s="1"/>
  <c r="R60" i="1"/>
  <c r="S35" i="1"/>
  <c r="S43" i="1" s="1"/>
  <c r="R39" i="1"/>
  <c r="R49" i="1"/>
  <c r="R83" i="1"/>
  <c r="R82" i="1"/>
  <c r="R94" i="1"/>
  <c r="R95" i="1" s="1"/>
  <c r="R78" i="1"/>
  <c r="R77" i="1"/>
  <c r="R53" i="1"/>
  <c r="R51" i="1"/>
  <c r="R54" i="1"/>
  <c r="R57" i="1"/>
  <c r="R52" i="1"/>
  <c r="AI23" i="4"/>
  <c r="AI21" i="4"/>
  <c r="AI22" i="4"/>
  <c r="AI17" i="4"/>
  <c r="AI18" i="4" s="1"/>
  <c r="P86" i="1"/>
  <c r="Q86" i="1"/>
  <c r="R80" i="1"/>
  <c r="R79" i="1"/>
  <c r="R75" i="1"/>
  <c r="R72" i="1"/>
  <c r="R74" i="1"/>
  <c r="R67" i="1"/>
  <c r="R76" i="1"/>
  <c r="R81" i="1"/>
  <c r="R100" i="1"/>
  <c r="R71" i="1"/>
  <c r="R96" i="1"/>
  <c r="R97" i="1" s="1"/>
  <c r="R84" i="1"/>
  <c r="Q102" i="1"/>
  <c r="P85" i="1"/>
  <c r="Q85" i="1"/>
  <c r="Q103" i="1"/>
  <c r="AP34" i="1" l="1"/>
  <c r="AP57" i="1" s="1"/>
  <c r="AO57" i="1"/>
  <c r="AO58" i="1"/>
  <c r="S74" i="1"/>
  <c r="S72" i="1"/>
  <c r="S70" i="1"/>
  <c r="S84" i="1"/>
  <c r="S92" i="1"/>
  <c r="S93" i="1" s="1"/>
  <c r="S80" i="1"/>
  <c r="S79" i="1"/>
  <c r="S71" i="1"/>
  <c r="S82" i="1"/>
  <c r="S77" i="1"/>
  <c r="S100" i="1"/>
  <c r="S67" i="1"/>
  <c r="S78" i="1"/>
  <c r="S76" i="1"/>
  <c r="S69" i="1"/>
  <c r="S90" i="1"/>
  <c r="S91" i="1" s="1"/>
  <c r="S73" i="1"/>
  <c r="T35" i="1"/>
  <c r="T79" i="1" s="1"/>
  <c r="S83" i="1"/>
  <c r="S81" i="1"/>
  <c r="S49" i="1"/>
  <c r="S94" i="1"/>
  <c r="S95" i="1" s="1"/>
  <c r="R103" i="1"/>
  <c r="S68" i="1"/>
  <c r="S96" i="1"/>
  <c r="S97" i="1" s="1"/>
  <c r="S98" i="1"/>
  <c r="S99" i="1" s="1"/>
  <c r="S36" i="1"/>
  <c r="S75" i="1"/>
  <c r="S60" i="1"/>
  <c r="R40" i="1"/>
  <c r="R41" i="1"/>
  <c r="R42" i="1" s="1"/>
  <c r="S52" i="1"/>
  <c r="S53" i="1"/>
  <c r="S54" i="1"/>
  <c r="S57" i="1"/>
  <c r="S51" i="1"/>
  <c r="R102" i="1"/>
  <c r="S39" i="1"/>
  <c r="AL22" i="4"/>
  <c r="AL21" i="4"/>
  <c r="AL23" i="4"/>
  <c r="AL17" i="4"/>
  <c r="AL18" i="4" s="1"/>
  <c r="AI19" i="4"/>
  <c r="R85" i="1"/>
  <c r="R86" i="1"/>
  <c r="T83" i="1" l="1"/>
  <c r="T80" i="1"/>
  <c r="T92" i="1"/>
  <c r="T93" i="1" s="1"/>
  <c r="T77" i="1"/>
  <c r="T78" i="1"/>
  <c r="T69" i="1"/>
  <c r="T75" i="1"/>
  <c r="T90" i="1"/>
  <c r="T91" i="1" s="1"/>
  <c r="S86" i="1"/>
  <c r="T76" i="1"/>
  <c r="T68" i="1"/>
  <c r="T98" i="1"/>
  <c r="T99" i="1" s="1"/>
  <c r="T82" i="1"/>
  <c r="T74" i="1"/>
  <c r="T81" i="1"/>
  <c r="T96" i="1"/>
  <c r="T97" i="1" s="1"/>
  <c r="S103" i="1"/>
  <c r="T43" i="1"/>
  <c r="T36" i="1"/>
  <c r="T70" i="1"/>
  <c r="T71" i="1"/>
  <c r="T94" i="1"/>
  <c r="T95" i="1" s="1"/>
  <c r="T39" i="1"/>
  <c r="T41" i="1" s="1"/>
  <c r="T49" i="1"/>
  <c r="T73" i="1"/>
  <c r="U35" i="1"/>
  <c r="U80" i="1" s="1"/>
  <c r="T84" i="1"/>
  <c r="S85" i="1"/>
  <c r="T72" i="1"/>
  <c r="T100" i="1"/>
  <c r="S102" i="1"/>
  <c r="T67" i="1"/>
  <c r="T60" i="1"/>
  <c r="S40" i="1"/>
  <c r="S41" i="1"/>
  <c r="T52" i="1"/>
  <c r="T57" i="1"/>
  <c r="T53" i="1"/>
  <c r="T54" i="1"/>
  <c r="T51" i="1"/>
  <c r="AO21" i="4"/>
  <c r="AO22" i="4"/>
  <c r="AO23" i="4"/>
  <c r="AO17" i="4"/>
  <c r="AO18" i="4" s="1"/>
  <c r="AO19" i="4" s="1"/>
  <c r="AL19" i="4"/>
  <c r="U77" i="1"/>
  <c r="U67" i="1"/>
  <c r="U70" i="1" l="1"/>
  <c r="T85" i="1"/>
  <c r="T103" i="1"/>
  <c r="U83" i="1"/>
  <c r="U49" i="1"/>
  <c r="V35" i="1"/>
  <c r="V81" i="1" s="1"/>
  <c r="U72" i="1"/>
  <c r="U98" i="1"/>
  <c r="U99" i="1" s="1"/>
  <c r="U78" i="1"/>
  <c r="U79" i="1"/>
  <c r="T102" i="1"/>
  <c r="U75" i="1"/>
  <c r="T86" i="1"/>
  <c r="U36" i="1"/>
  <c r="U73" i="1"/>
  <c r="U96" i="1"/>
  <c r="U97" i="1" s="1"/>
  <c r="U43" i="1"/>
  <c r="U92" i="1"/>
  <c r="U93" i="1" s="1"/>
  <c r="U74" i="1"/>
  <c r="U39" i="1"/>
  <c r="U40" i="1" s="1"/>
  <c r="U82" i="1"/>
  <c r="U81" i="1"/>
  <c r="U76" i="1"/>
  <c r="U94" i="1"/>
  <c r="U95" i="1" s="1"/>
  <c r="U69" i="1"/>
  <c r="U90" i="1"/>
  <c r="U91" i="1" s="1"/>
  <c r="U100" i="1"/>
  <c r="U71" i="1"/>
  <c r="T40" i="1"/>
  <c r="U68" i="1"/>
  <c r="U84" i="1"/>
  <c r="V39" i="1"/>
  <c r="V43" i="1"/>
  <c r="U60" i="1"/>
  <c r="U52" i="1"/>
  <c r="U53" i="1"/>
  <c r="U51" i="1"/>
  <c r="U54" i="1"/>
  <c r="U57" i="1"/>
  <c r="V49" i="1" l="1"/>
  <c r="V78" i="1"/>
  <c r="V90" i="1"/>
  <c r="V91" i="1" s="1"/>
  <c r="V100" i="1"/>
  <c r="V75" i="1"/>
  <c r="V76" i="1"/>
  <c r="V68" i="1"/>
  <c r="V82" i="1"/>
  <c r="V69" i="1"/>
  <c r="V67" i="1"/>
  <c r="V72" i="1"/>
  <c r="V79" i="1"/>
  <c r="V80" i="1"/>
  <c r="V36" i="1"/>
  <c r="V92" i="1"/>
  <c r="V93" i="1" s="1"/>
  <c r="V77" i="1"/>
  <c r="V70" i="1"/>
  <c r="V96" i="1"/>
  <c r="V97" i="1" s="1"/>
  <c r="V94" i="1"/>
  <c r="V95" i="1" s="1"/>
  <c r="V74" i="1"/>
  <c r="V73" i="1"/>
  <c r="W35" i="1"/>
  <c r="W77" i="1" s="1"/>
  <c r="V84" i="1"/>
  <c r="V83" i="1"/>
  <c r="V98" i="1"/>
  <c r="V99" i="1" s="1"/>
  <c r="V71" i="1"/>
  <c r="U103" i="1"/>
  <c r="U86" i="1"/>
  <c r="U102" i="1"/>
  <c r="U85" i="1"/>
  <c r="U41" i="1"/>
  <c r="V60" i="1"/>
  <c r="V40" i="1"/>
  <c r="V41" i="1"/>
  <c r="V52" i="1"/>
  <c r="V53" i="1"/>
  <c r="V54" i="1"/>
  <c r="V51" i="1"/>
  <c r="V57" i="1"/>
  <c r="W80" i="1" l="1"/>
  <c r="W92" i="1"/>
  <c r="W93" i="1" s="1"/>
  <c r="W67" i="1"/>
  <c r="W90" i="1"/>
  <c r="W91" i="1" s="1"/>
  <c r="W49" i="1"/>
  <c r="W78" i="1"/>
  <c r="W83" i="1"/>
  <c r="W100" i="1"/>
  <c r="W72" i="1"/>
  <c r="X35" i="1"/>
  <c r="X43" i="1" s="1"/>
  <c r="W79" i="1"/>
  <c r="W84" i="1"/>
  <c r="W68" i="1"/>
  <c r="V85" i="1"/>
  <c r="W74" i="1"/>
  <c r="V86" i="1"/>
  <c r="V102" i="1"/>
  <c r="W70" i="1"/>
  <c r="W81" i="1"/>
  <c r="W76" i="1"/>
  <c r="W75" i="1"/>
  <c r="W94" i="1"/>
  <c r="W95" i="1" s="1"/>
  <c r="V103" i="1"/>
  <c r="W39" i="1"/>
  <c r="W40" i="1" s="1"/>
  <c r="W96" i="1"/>
  <c r="W97" i="1" s="1"/>
  <c r="W43" i="1"/>
  <c r="W36" i="1"/>
  <c r="W69" i="1"/>
  <c r="W71" i="1"/>
  <c r="W82" i="1"/>
  <c r="W98" i="1"/>
  <c r="W99" i="1" s="1"/>
  <c r="W73" i="1"/>
  <c r="W60" i="1"/>
  <c r="W58" i="1"/>
  <c r="W57" i="1"/>
  <c r="W52" i="1"/>
  <c r="W54" i="1"/>
  <c r="W53" i="1"/>
  <c r="W51" i="1"/>
  <c r="X80" i="1" l="1"/>
  <c r="X83" i="1"/>
  <c r="X84" i="1"/>
  <c r="X36" i="1"/>
  <c r="X98" i="1"/>
  <c r="X99" i="1" s="1"/>
  <c r="X96" i="1"/>
  <c r="X97" i="1" s="1"/>
  <c r="X94" i="1"/>
  <c r="X95" i="1" s="1"/>
  <c r="X75" i="1"/>
  <c r="X92" i="1"/>
  <c r="X93" i="1" s="1"/>
  <c r="X78" i="1"/>
  <c r="X70" i="1"/>
  <c r="X68" i="1"/>
  <c r="X67" i="1"/>
  <c r="X76" i="1"/>
  <c r="X82" i="1"/>
  <c r="X49" i="1"/>
  <c r="X69" i="1"/>
  <c r="X77" i="1"/>
  <c r="X81" i="1"/>
  <c r="X90" i="1"/>
  <c r="X91" i="1" s="1"/>
  <c r="X74" i="1"/>
  <c r="X79" i="1"/>
  <c r="X73" i="1"/>
  <c r="X72" i="1"/>
  <c r="Y35" i="1"/>
  <c r="Y49" i="1" s="1"/>
  <c r="X71" i="1"/>
  <c r="X100" i="1"/>
  <c r="X39" i="1"/>
  <c r="X40" i="1" s="1"/>
  <c r="W86" i="1"/>
  <c r="W41" i="1"/>
  <c r="W85" i="1"/>
  <c r="W102" i="1"/>
  <c r="W103" i="1"/>
  <c r="X57" i="1"/>
  <c r="X58" i="1"/>
  <c r="X52" i="1"/>
  <c r="X54" i="1"/>
  <c r="X51" i="1"/>
  <c r="X53" i="1"/>
  <c r="Y39" i="1" l="1"/>
  <c r="Y36" i="1"/>
  <c r="Y73" i="1"/>
  <c r="Y96" i="1"/>
  <c r="Y97" i="1" s="1"/>
  <c r="Y100" i="1"/>
  <c r="X103" i="1"/>
  <c r="X102" i="1"/>
  <c r="X86" i="1"/>
  <c r="X85" i="1"/>
  <c r="Y70" i="1"/>
  <c r="Y72" i="1"/>
  <c r="Y80" i="1"/>
  <c r="Y67" i="1"/>
  <c r="Z35" i="1"/>
  <c r="Z43" i="1" s="1"/>
  <c r="Y81" i="1"/>
  <c r="Y94" i="1"/>
  <c r="Y95" i="1" s="1"/>
  <c r="Y90" i="1"/>
  <c r="Y91" i="1" s="1"/>
  <c r="Y83" i="1"/>
  <c r="Y92" i="1"/>
  <c r="Y93" i="1" s="1"/>
  <c r="Y78" i="1"/>
  <c r="Y74" i="1"/>
  <c r="Y79" i="1"/>
  <c r="Y69" i="1"/>
  <c r="Y43" i="1"/>
  <c r="Y77" i="1"/>
  <c r="Y75" i="1"/>
  <c r="Y68" i="1"/>
  <c r="Y84" i="1"/>
  <c r="Y76" i="1"/>
  <c r="Y98" i="1"/>
  <c r="Y99" i="1" s="1"/>
  <c r="Y82" i="1"/>
  <c r="Y71" i="1"/>
  <c r="X41" i="1"/>
  <c r="Y40" i="1"/>
  <c r="Y41" i="1"/>
  <c r="Y60" i="1"/>
  <c r="Y58" i="1"/>
  <c r="Y57" i="1"/>
  <c r="Y53" i="1"/>
  <c r="Y54" i="1"/>
  <c r="Y51" i="1"/>
  <c r="Y52" i="1"/>
  <c r="Z72" i="1" l="1"/>
  <c r="Z77" i="1"/>
  <c r="Z75" i="1"/>
  <c r="Z92" i="1"/>
  <c r="Z93" i="1" s="1"/>
  <c r="Z79" i="1"/>
  <c r="Y85" i="1"/>
  <c r="Z83" i="1"/>
  <c r="Z90" i="1"/>
  <c r="Z91" i="1" s="1"/>
  <c r="Z69" i="1"/>
  <c r="Z76" i="1"/>
  <c r="Z49" i="1"/>
  <c r="Z94" i="1"/>
  <c r="Z95" i="1" s="1"/>
  <c r="Z81" i="1"/>
  <c r="Z78" i="1"/>
  <c r="Z84" i="1"/>
  <c r="Z70" i="1"/>
  <c r="Z74" i="1"/>
  <c r="Z96" i="1"/>
  <c r="Z97" i="1" s="1"/>
  <c r="Z82" i="1"/>
  <c r="AA35" i="1"/>
  <c r="AA36" i="1" s="1"/>
  <c r="Z67" i="1"/>
  <c r="Z39" i="1"/>
  <c r="Z41" i="1" s="1"/>
  <c r="Y86" i="1"/>
  <c r="Z80" i="1"/>
  <c r="Z73" i="1"/>
  <c r="Z98" i="1"/>
  <c r="Z99" i="1" s="1"/>
  <c r="Z68" i="1"/>
  <c r="Z71" i="1"/>
  <c r="Z100" i="1"/>
  <c r="Z36" i="1"/>
  <c r="Y102" i="1"/>
  <c r="Y103" i="1"/>
  <c r="Z60" i="1"/>
  <c r="Z58" i="1"/>
  <c r="Z57" i="1"/>
  <c r="Z54" i="1"/>
  <c r="Z51" i="1"/>
  <c r="Z53" i="1"/>
  <c r="Z52" i="1"/>
  <c r="Z40" i="1" l="1"/>
  <c r="AA81" i="1"/>
  <c r="AA94" i="1"/>
  <c r="AA95" i="1" s="1"/>
  <c r="AA79" i="1"/>
  <c r="AA72" i="1"/>
  <c r="AA98" i="1"/>
  <c r="AA99" i="1" s="1"/>
  <c r="AA100" i="1"/>
  <c r="AA84" i="1"/>
  <c r="AA74" i="1"/>
  <c r="AA75" i="1"/>
  <c r="AA73" i="1"/>
  <c r="AA70" i="1"/>
  <c r="AA83" i="1"/>
  <c r="AA67" i="1"/>
  <c r="Z102" i="1"/>
  <c r="Z85" i="1"/>
  <c r="AA77" i="1"/>
  <c r="AA82" i="1"/>
  <c r="AA49" i="1"/>
  <c r="AA80" i="1"/>
  <c r="AA43" i="1"/>
  <c r="AA71" i="1"/>
  <c r="AA69" i="1"/>
  <c r="AB35" i="1"/>
  <c r="AB43" i="1" s="1"/>
  <c r="AA68" i="1"/>
  <c r="AA39" i="1"/>
  <c r="AA41" i="1" s="1"/>
  <c r="AA78" i="1"/>
  <c r="AA96" i="1"/>
  <c r="AA97" i="1" s="1"/>
  <c r="AA76" i="1"/>
  <c r="Z86" i="1"/>
  <c r="Z103" i="1"/>
  <c r="AA92" i="1"/>
  <c r="AA93" i="1" s="1"/>
  <c r="AA90" i="1"/>
  <c r="AA91" i="1" s="1"/>
  <c r="AA58" i="1"/>
  <c r="AA60" i="1"/>
  <c r="AA51" i="1"/>
  <c r="AA53" i="1"/>
  <c r="AA57" i="1"/>
  <c r="AA52" i="1"/>
  <c r="AA54" i="1"/>
  <c r="AB92" i="1" l="1"/>
  <c r="AB93" i="1" s="1"/>
  <c r="AB81" i="1"/>
  <c r="AB74" i="1"/>
  <c r="AB71" i="1"/>
  <c r="AB77" i="1"/>
  <c r="AB100" i="1"/>
  <c r="AB36" i="1"/>
  <c r="AB94" i="1"/>
  <c r="AB95" i="1" s="1"/>
  <c r="AB70" i="1"/>
  <c r="AB39" i="1"/>
  <c r="AB40" i="1" s="1"/>
  <c r="AA86" i="1"/>
  <c r="AB78" i="1"/>
  <c r="AB75" i="1"/>
  <c r="AA85" i="1"/>
  <c r="AB67" i="1"/>
  <c r="AB68" i="1"/>
  <c r="AB76" i="1"/>
  <c r="AB72" i="1"/>
  <c r="AB69" i="1"/>
  <c r="AB79" i="1"/>
  <c r="AB96" i="1"/>
  <c r="AB97" i="1" s="1"/>
  <c r="AB82" i="1"/>
  <c r="AB73" i="1"/>
  <c r="AA40" i="1"/>
  <c r="AB83" i="1"/>
  <c r="AC35" i="1"/>
  <c r="AC43" i="1" s="1"/>
  <c r="AB98" i="1"/>
  <c r="AB99" i="1" s="1"/>
  <c r="AA102" i="1"/>
  <c r="AB90" i="1"/>
  <c r="AB91" i="1" s="1"/>
  <c r="AB80" i="1"/>
  <c r="AB84" i="1"/>
  <c r="AB49" i="1"/>
  <c r="AA103" i="1"/>
  <c r="AB58" i="1"/>
  <c r="AB60" i="1"/>
  <c r="AB51" i="1"/>
  <c r="AB53" i="1"/>
  <c r="AB54" i="1"/>
  <c r="AB57" i="1"/>
  <c r="AB52" i="1"/>
  <c r="AB85" i="1" l="1"/>
  <c r="AB41" i="1"/>
  <c r="AC73" i="1"/>
  <c r="AB103" i="1"/>
  <c r="AC71" i="1"/>
  <c r="AC77" i="1"/>
  <c r="AC72" i="1"/>
  <c r="AD35" i="1"/>
  <c r="AD84" i="1" s="1"/>
  <c r="AC39" i="1"/>
  <c r="AC41" i="1" s="1"/>
  <c r="AC94" i="1"/>
  <c r="AC95" i="1" s="1"/>
  <c r="AC79" i="1"/>
  <c r="AC49" i="1"/>
  <c r="AC80" i="1"/>
  <c r="AC74" i="1"/>
  <c r="AC83" i="1"/>
  <c r="AC69" i="1"/>
  <c r="AC81" i="1"/>
  <c r="AB86" i="1"/>
  <c r="AC70" i="1"/>
  <c r="AC92" i="1"/>
  <c r="AC93" i="1" s="1"/>
  <c r="AC36" i="1"/>
  <c r="AC84" i="1"/>
  <c r="AC67" i="1"/>
  <c r="AC78" i="1"/>
  <c r="AC100" i="1"/>
  <c r="AC68" i="1"/>
  <c r="AC76" i="1"/>
  <c r="AB102" i="1"/>
  <c r="AC90" i="1"/>
  <c r="AC75" i="1"/>
  <c r="AC82" i="1"/>
  <c r="AC98" i="1"/>
  <c r="AC99" i="1" s="1"/>
  <c r="AC96" i="1"/>
  <c r="AC97" i="1" s="1"/>
  <c r="AC58" i="1"/>
  <c r="X50" i="1" s="1"/>
  <c r="AC60" i="1"/>
  <c r="AD39" i="1"/>
  <c r="AC54" i="1"/>
  <c r="AC53" i="1"/>
  <c r="AC51" i="1"/>
  <c r="AC57" i="1"/>
  <c r="AC52" i="1"/>
  <c r="AD79" i="1" l="1"/>
  <c r="AD71" i="1"/>
  <c r="AD83" i="1"/>
  <c r="AD82" i="1"/>
  <c r="AD75" i="1"/>
  <c r="AD74" i="1"/>
  <c r="AD73" i="1"/>
  <c r="AD67" i="1"/>
  <c r="AD69" i="1"/>
  <c r="AE35" i="1"/>
  <c r="AD100" i="1"/>
  <c r="AD70" i="1"/>
  <c r="AD78" i="1"/>
  <c r="AD68" i="1"/>
  <c r="AD80" i="1"/>
  <c r="AD92" i="1"/>
  <c r="AD93" i="1" s="1"/>
  <c r="AD43" i="1"/>
  <c r="AD94" i="1"/>
  <c r="AD95" i="1" s="1"/>
  <c r="AD76" i="1"/>
  <c r="AC40" i="1"/>
  <c r="AC86" i="1"/>
  <c r="R45" i="1"/>
  <c r="R46" i="1" s="1"/>
  <c r="S47" i="1"/>
  <c r="S48" i="1" s="1"/>
  <c r="S42" i="1"/>
  <c r="S45" i="1"/>
  <c r="S46" i="1" s="1"/>
  <c r="T42" i="1"/>
  <c r="T47" i="1"/>
  <c r="T48" i="1" s="1"/>
  <c r="U42" i="1"/>
  <c r="U47" i="1"/>
  <c r="U48" i="1" s="1"/>
  <c r="V47" i="1"/>
  <c r="V48" i="1" s="1"/>
  <c r="V42" i="1"/>
  <c r="W42" i="1"/>
  <c r="W47" i="1"/>
  <c r="W48" i="1" s="1"/>
  <c r="Y50" i="1"/>
  <c r="Z50" i="1"/>
  <c r="AA50" i="1"/>
  <c r="AB50" i="1"/>
  <c r="AC50" i="1"/>
  <c r="AD50" i="1"/>
  <c r="S44" i="1"/>
  <c r="T44" i="1"/>
  <c r="U44" i="1"/>
  <c r="V44" i="1"/>
  <c r="W44" i="1"/>
  <c r="AC102" i="1"/>
  <c r="AC85" i="1"/>
  <c r="AD36" i="1"/>
  <c r="AD81" i="1"/>
  <c r="AC91" i="1"/>
  <c r="AC103" i="1" s="1"/>
  <c r="AD72" i="1"/>
  <c r="AD77" i="1"/>
  <c r="AD49" i="1"/>
  <c r="AD90" i="1"/>
  <c r="AD91" i="1" s="1"/>
  <c r="AD96" i="1"/>
  <c r="AD97" i="1" s="1"/>
  <c r="AD98" i="1"/>
  <c r="AD99" i="1" s="1"/>
  <c r="Y42" i="1"/>
  <c r="Z42" i="1"/>
  <c r="X42" i="1"/>
  <c r="AA42" i="1"/>
  <c r="AB42" i="1"/>
  <c r="AC42" i="1"/>
  <c r="T45" i="1"/>
  <c r="Z44" i="1"/>
  <c r="U45" i="1"/>
  <c r="U46" i="1" s="1"/>
  <c r="Z47" i="1"/>
  <c r="Z48" i="1" s="1"/>
  <c r="X44" i="1"/>
  <c r="Y45" i="1"/>
  <c r="Y47" i="1"/>
  <c r="Y48" i="1" s="1"/>
  <c r="W45" i="1"/>
  <c r="W46" i="1" s="1"/>
  <c r="Y44" i="1"/>
  <c r="X47" i="1"/>
  <c r="X48" i="1" s="1"/>
  <c r="X45" i="1"/>
  <c r="X46" i="1" s="1"/>
  <c r="V45" i="1"/>
  <c r="V46" i="1" s="1"/>
  <c r="Z45" i="1"/>
  <c r="AE39" i="1"/>
  <c r="AE43" i="1"/>
  <c r="AD58" i="1"/>
  <c r="AD60" i="1"/>
  <c r="AD40" i="1"/>
  <c r="AD41" i="1"/>
  <c r="AD54" i="1"/>
  <c r="AD51" i="1"/>
  <c r="AD53" i="1"/>
  <c r="AD57" i="1"/>
  <c r="AD52" i="1"/>
  <c r="AE49" i="1"/>
  <c r="AF35" i="1"/>
  <c r="AE94" i="1"/>
  <c r="AE95" i="1" s="1"/>
  <c r="AE72" i="1"/>
  <c r="AE68" i="1"/>
  <c r="AE77" i="1"/>
  <c r="AE98" i="1"/>
  <c r="AE99" i="1" s="1"/>
  <c r="AE70" i="1"/>
  <c r="AE96" i="1"/>
  <c r="AE97" i="1" s="1"/>
  <c r="AE76" i="1"/>
  <c r="AE69" i="1"/>
  <c r="AE74" i="1"/>
  <c r="AE90" i="1"/>
  <c r="AE73" i="1"/>
  <c r="AE78" i="1"/>
  <c r="AE80" i="1"/>
  <c r="AE36" i="1"/>
  <c r="AE92" i="1"/>
  <c r="AE93" i="1" s="1"/>
  <c r="AE83" i="1"/>
  <c r="AE71" i="1"/>
  <c r="AE84" i="1"/>
  <c r="AE67" i="1"/>
  <c r="AE82" i="1"/>
  <c r="AE81" i="1"/>
  <c r="AE75" i="1"/>
  <c r="AE100" i="1"/>
  <c r="AE79" i="1"/>
  <c r="AD86" i="1" l="1"/>
  <c r="AD85" i="1"/>
  <c r="Y46" i="1"/>
  <c r="Y37" i="1" s="1"/>
  <c r="Y38" i="1" s="1"/>
  <c r="R37" i="1"/>
  <c r="R38" i="1" s="1"/>
  <c r="Z46" i="1"/>
  <c r="Z37" i="1" s="1"/>
  <c r="Z38" i="1" s="1"/>
  <c r="AD102" i="1"/>
  <c r="S37" i="1"/>
  <c r="S38" i="1" s="1"/>
  <c r="AD103" i="1"/>
  <c r="T46" i="1"/>
  <c r="T37" i="1" s="1"/>
  <c r="T38" i="1" s="1"/>
  <c r="U37" i="1"/>
  <c r="U38" i="1" s="1"/>
  <c r="V37" i="1"/>
  <c r="V38" i="1" s="1"/>
  <c r="X37" i="1"/>
  <c r="X38" i="1" s="1"/>
  <c r="W37" i="1"/>
  <c r="W38" i="1" s="1"/>
  <c r="AE60" i="1"/>
  <c r="AE58" i="1"/>
  <c r="AF39" i="1"/>
  <c r="AF43" i="1"/>
  <c r="AE40" i="1"/>
  <c r="AE41" i="1"/>
  <c r="AE51" i="1"/>
  <c r="AE53" i="1"/>
  <c r="AE57" i="1"/>
  <c r="AE52" i="1"/>
  <c r="AE54" i="1"/>
  <c r="AF49" i="1"/>
  <c r="AG35" i="1"/>
  <c r="AE85" i="1"/>
  <c r="AE86" i="1"/>
  <c r="AE91" i="1"/>
  <c r="AE103" i="1" s="1"/>
  <c r="AE102" i="1"/>
  <c r="AF73" i="1"/>
  <c r="AF79" i="1"/>
  <c r="AF76" i="1"/>
  <c r="AF68" i="1"/>
  <c r="AF70" i="1"/>
  <c r="AF67" i="1"/>
  <c r="AF100" i="1"/>
  <c r="AF77" i="1"/>
  <c r="AF98" i="1"/>
  <c r="AF99" i="1" s="1"/>
  <c r="AF71" i="1"/>
  <c r="AF80" i="1"/>
  <c r="AF74" i="1"/>
  <c r="AF82" i="1"/>
  <c r="AF96" i="1"/>
  <c r="AF97" i="1" s="1"/>
  <c r="AF92" i="1"/>
  <c r="AF93" i="1" s="1"/>
  <c r="AF90" i="1"/>
  <c r="AF69" i="1"/>
  <c r="AF83" i="1"/>
  <c r="AF84" i="1"/>
  <c r="AF81" i="1"/>
  <c r="AF94" i="1"/>
  <c r="AF95" i="1" s="1"/>
  <c r="AF75" i="1"/>
  <c r="AF78" i="1"/>
  <c r="AF72" i="1"/>
  <c r="AF36" i="1"/>
  <c r="AG39" i="1" l="1"/>
  <c r="AG41" i="1" s="1"/>
  <c r="AG43" i="1"/>
  <c r="AF60" i="1"/>
  <c r="AF58" i="1"/>
  <c r="AD42" i="1" s="1"/>
  <c r="AF40" i="1"/>
  <c r="AF41" i="1"/>
  <c r="AF57" i="1"/>
  <c r="AF52" i="1"/>
  <c r="AF51" i="1"/>
  <c r="AF53" i="1"/>
  <c r="AF54" i="1"/>
  <c r="AG49" i="1"/>
  <c r="AH35" i="1"/>
  <c r="AH59" i="1" s="1"/>
  <c r="AG90" i="1"/>
  <c r="AG96" i="1"/>
  <c r="AG97" i="1" s="1"/>
  <c r="AG92" i="1"/>
  <c r="AG93" i="1" s="1"/>
  <c r="AG36" i="1"/>
  <c r="AG98" i="1"/>
  <c r="AG99" i="1" s="1"/>
  <c r="AG94" i="1"/>
  <c r="AG95" i="1" s="1"/>
  <c r="AG100" i="1"/>
  <c r="AG69" i="1"/>
  <c r="AG70" i="1"/>
  <c r="AG76" i="1"/>
  <c r="AG71" i="1"/>
  <c r="AG84" i="1"/>
  <c r="AG75" i="1"/>
  <c r="AG83" i="1"/>
  <c r="AG81" i="1"/>
  <c r="AG67" i="1"/>
  <c r="AG72" i="1"/>
  <c r="AG82" i="1"/>
  <c r="AG77" i="1"/>
  <c r="AG68" i="1"/>
  <c r="AG78" i="1"/>
  <c r="AG79" i="1"/>
  <c r="AG73" i="1"/>
  <c r="AG80" i="1"/>
  <c r="AG74" i="1"/>
  <c r="AF85" i="1"/>
  <c r="AF91" i="1"/>
  <c r="AF103" i="1" s="1"/>
  <c r="AF102" i="1"/>
  <c r="AF86" i="1"/>
  <c r="AE42" i="1" l="1"/>
  <c r="AF42" i="1"/>
  <c r="AB44" i="1"/>
  <c r="AC44" i="1"/>
  <c r="AD44" i="1"/>
  <c r="AA44" i="1"/>
  <c r="AA47" i="1"/>
  <c r="AA48" i="1" s="1"/>
  <c r="AA45" i="1"/>
  <c r="AB45" i="1"/>
  <c r="AB47" i="1"/>
  <c r="AB48" i="1" s="1"/>
  <c r="AC47" i="1"/>
  <c r="AC48" i="1" s="1"/>
  <c r="AC45" i="1"/>
  <c r="AD47" i="1"/>
  <c r="AD48" i="1" s="1"/>
  <c r="AE47" i="1"/>
  <c r="AE48" i="1" s="1"/>
  <c r="AE50" i="1"/>
  <c r="AF50" i="1"/>
  <c r="AH39" i="1"/>
  <c r="AH41" i="1" s="1"/>
  <c r="AH43" i="1"/>
  <c r="AG58" i="1"/>
  <c r="AG60" i="1"/>
  <c r="AG40" i="1"/>
  <c r="AG52" i="1"/>
  <c r="AG53" i="1"/>
  <c r="AG51" i="1"/>
  <c r="AG54" i="1"/>
  <c r="AG57" i="1"/>
  <c r="AH49" i="1"/>
  <c r="AG91" i="1"/>
  <c r="AG103" i="1" s="1"/>
  <c r="AG102" i="1"/>
  <c r="AG85" i="1"/>
  <c r="AG86" i="1"/>
  <c r="AH90" i="1"/>
  <c r="AH96" i="1"/>
  <c r="AH97" i="1" s="1"/>
  <c r="AH98" i="1"/>
  <c r="AH99" i="1" s="1"/>
  <c r="AH94" i="1"/>
  <c r="AH95" i="1" s="1"/>
  <c r="AH100" i="1"/>
  <c r="AH92" i="1"/>
  <c r="AH93" i="1" s="1"/>
  <c r="AH70" i="1"/>
  <c r="AI35" i="1"/>
  <c r="AH36" i="1"/>
  <c r="AH69" i="1"/>
  <c r="AH75" i="1"/>
  <c r="AH71" i="1"/>
  <c r="AH84" i="1"/>
  <c r="AH68" i="1"/>
  <c r="AH76" i="1"/>
  <c r="AH72" i="1"/>
  <c r="AH78" i="1"/>
  <c r="AH83" i="1"/>
  <c r="AH74" i="1"/>
  <c r="AH67" i="1"/>
  <c r="AH77" i="1"/>
  <c r="AH79" i="1"/>
  <c r="AH73" i="1"/>
  <c r="AH82" i="1"/>
  <c r="AH81" i="1"/>
  <c r="AH80" i="1"/>
  <c r="AI39" i="1" l="1"/>
  <c r="AI41" i="1" s="1"/>
  <c r="AI59" i="1"/>
  <c r="AB46" i="1"/>
  <c r="AB37" i="1" s="1"/>
  <c r="AB38" i="1" s="1"/>
  <c r="AA46" i="1"/>
  <c r="AA37" i="1" s="1"/>
  <c r="AA38" i="1" s="1"/>
  <c r="AC46" i="1"/>
  <c r="AC37" i="1" s="1"/>
  <c r="AC38" i="1" s="1"/>
  <c r="AI40" i="1"/>
  <c r="AI79" i="1"/>
  <c r="AJ35" i="1"/>
  <c r="AJ59" i="1" s="1"/>
  <c r="AJ60" i="1" s="1"/>
  <c r="AE44" i="1"/>
  <c r="AH58" i="1"/>
  <c r="AG42" i="1" s="1"/>
  <c r="AH60" i="1"/>
  <c r="AI49" i="1"/>
  <c r="AI43" i="1"/>
  <c r="AH40" i="1"/>
  <c r="AH53" i="1"/>
  <c r="AH52" i="1"/>
  <c r="AH51" i="1"/>
  <c r="AH54" i="1"/>
  <c r="AH57" i="1"/>
  <c r="AH86" i="1"/>
  <c r="AH102" i="1"/>
  <c r="AH91" i="1"/>
  <c r="AH103" i="1" s="1"/>
  <c r="AH85" i="1"/>
  <c r="AI94" i="1"/>
  <c r="AI95" i="1" s="1"/>
  <c r="AI90" i="1"/>
  <c r="AI96" i="1"/>
  <c r="AI97" i="1" s="1"/>
  <c r="AI92" i="1"/>
  <c r="AI93" i="1" s="1"/>
  <c r="AI98" i="1"/>
  <c r="AI99" i="1" s="1"/>
  <c r="AI100" i="1"/>
  <c r="AI70" i="1"/>
  <c r="AI69" i="1"/>
  <c r="AI80" i="1"/>
  <c r="AI74" i="1"/>
  <c r="AI77" i="1"/>
  <c r="AI68" i="1"/>
  <c r="AI75" i="1"/>
  <c r="AI73" i="1"/>
  <c r="AI81" i="1"/>
  <c r="AI78" i="1"/>
  <c r="AI83" i="1"/>
  <c r="AI76" i="1"/>
  <c r="AI71" i="1"/>
  <c r="AI36" i="1"/>
  <c r="AI67" i="1"/>
  <c r="AI84" i="1"/>
  <c r="AI72" i="1"/>
  <c r="AI82" i="1"/>
  <c r="AH42" i="1" l="1"/>
  <c r="AJ39" i="1"/>
  <c r="AJ41" i="1" s="1"/>
  <c r="AJ94" i="1"/>
  <c r="AJ95" i="1" s="1"/>
  <c r="AJ98" i="1"/>
  <c r="AJ99" i="1" s="1"/>
  <c r="AJ67" i="1"/>
  <c r="AJ69" i="1"/>
  <c r="AJ71" i="1"/>
  <c r="AJ73" i="1"/>
  <c r="AJ75" i="1"/>
  <c r="AJ77" i="1"/>
  <c r="AJ79" i="1"/>
  <c r="AJ81" i="1"/>
  <c r="AJ83" i="1"/>
  <c r="AJ92" i="1"/>
  <c r="AJ93" i="1" s="1"/>
  <c r="AJ90" i="1"/>
  <c r="AJ96" i="1"/>
  <c r="AJ97" i="1" s="1"/>
  <c r="AJ100" i="1"/>
  <c r="AJ68" i="1"/>
  <c r="AJ70" i="1"/>
  <c r="AJ72" i="1"/>
  <c r="AJ74" i="1"/>
  <c r="AJ76" i="1"/>
  <c r="AJ78" i="1"/>
  <c r="AJ80" i="1"/>
  <c r="AJ82" i="1"/>
  <c r="AJ84" i="1"/>
  <c r="AK35" i="1"/>
  <c r="AJ36" i="1"/>
  <c r="AJ43" i="1"/>
  <c r="AJ49" i="1"/>
  <c r="AI58" i="1"/>
  <c r="AI60" i="1"/>
  <c r="AI54" i="1"/>
  <c r="AI51" i="1"/>
  <c r="AI57" i="1"/>
  <c r="AI52" i="1"/>
  <c r="AI53" i="1"/>
  <c r="AI86" i="1"/>
  <c r="AI85" i="1"/>
  <c r="AI91" i="1"/>
  <c r="AI103" i="1" s="1"/>
  <c r="AI102" i="1"/>
  <c r="AK59" i="1" l="1"/>
  <c r="D31" i="1"/>
  <c r="AJ42" i="1"/>
  <c r="AI42" i="1"/>
  <c r="AJ50" i="1"/>
  <c r="AJ85" i="1"/>
  <c r="AJ86" i="1"/>
  <c r="AK100" i="1"/>
  <c r="AK68" i="1"/>
  <c r="AK70" i="1"/>
  <c r="AK72" i="1"/>
  <c r="AK74" i="1"/>
  <c r="AK76" i="1"/>
  <c r="AK78" i="1"/>
  <c r="AK80" i="1"/>
  <c r="AK82" i="1"/>
  <c r="AK84" i="1"/>
  <c r="AK39" i="1"/>
  <c r="AK94" i="1"/>
  <c r="AK95" i="1" s="1"/>
  <c r="AK98" i="1"/>
  <c r="AK99" i="1" s="1"/>
  <c r="AK67" i="1"/>
  <c r="AK69" i="1"/>
  <c r="AK71" i="1"/>
  <c r="AK73" i="1"/>
  <c r="AK75" i="1"/>
  <c r="AK77" i="1"/>
  <c r="AK79" i="1"/>
  <c r="AK81" i="1"/>
  <c r="AK83" i="1"/>
  <c r="AK92" i="1"/>
  <c r="AK93" i="1" s="1"/>
  <c r="AK90" i="1"/>
  <c r="AK96" i="1"/>
  <c r="AK97" i="1" s="1"/>
  <c r="AJ91" i="1"/>
  <c r="AJ103" i="1" s="1"/>
  <c r="AJ102" i="1"/>
  <c r="AJ40" i="1"/>
  <c r="AJ44" i="1"/>
  <c r="AJ47" i="1"/>
  <c r="AJ48" i="1" s="1"/>
  <c r="AK50" i="1"/>
  <c r="AK36" i="1"/>
  <c r="AK49" i="1"/>
  <c r="AK43" i="1"/>
  <c r="AK44" i="1" s="1"/>
  <c r="AL35" i="1"/>
  <c r="AJ45" i="1"/>
  <c r="AK47" i="1"/>
  <c r="AK48" i="1" s="1"/>
  <c r="AK45" i="1"/>
  <c r="AD45" i="1"/>
  <c r="AD46" i="1" s="1"/>
  <c r="AG50" i="1"/>
  <c r="AH50" i="1"/>
  <c r="AI50" i="1"/>
  <c r="AI45" i="1"/>
  <c r="AP58" i="1"/>
  <c r="AP60" i="1"/>
  <c r="AP45" i="1" s="1"/>
  <c r="AP54" i="1"/>
  <c r="AP51" i="1"/>
  <c r="AQ34" i="1"/>
  <c r="AP53" i="1"/>
  <c r="AP52" i="1"/>
  <c r="AL39" i="1" l="1"/>
  <c r="AL40" i="1" s="1"/>
  <c r="AL59" i="1"/>
  <c r="AK60" i="1"/>
  <c r="AL50" i="1" s="1"/>
  <c r="AK86" i="1"/>
  <c r="AK85" i="1"/>
  <c r="AK91" i="1"/>
  <c r="AK103" i="1" s="1"/>
  <c r="AK102" i="1"/>
  <c r="AL90" i="1"/>
  <c r="AL96" i="1"/>
  <c r="AL97" i="1" s="1"/>
  <c r="AL81" i="1"/>
  <c r="AL100" i="1"/>
  <c r="AL68" i="1"/>
  <c r="AL70" i="1"/>
  <c r="AL72" i="1"/>
  <c r="AL74" i="1"/>
  <c r="AL76" i="1"/>
  <c r="AL78" i="1"/>
  <c r="AL80" i="1"/>
  <c r="AL82" i="1"/>
  <c r="AL84" i="1"/>
  <c r="AL71" i="1"/>
  <c r="AL83" i="1"/>
  <c r="AL67" i="1"/>
  <c r="AL75" i="1"/>
  <c r="AL94" i="1"/>
  <c r="AL95" i="1" s="1"/>
  <c r="AL98" i="1"/>
  <c r="AL99" i="1" s="1"/>
  <c r="AL73" i="1"/>
  <c r="AL69" i="1"/>
  <c r="AL92" i="1"/>
  <c r="AL93" i="1" s="1"/>
  <c r="AL79" i="1"/>
  <c r="AL77" i="1"/>
  <c r="AK40" i="1"/>
  <c r="AK41" i="1"/>
  <c r="AK42" i="1" s="1"/>
  <c r="AJ46" i="1"/>
  <c r="AJ37" i="1" s="1"/>
  <c r="AJ38" i="1" s="1"/>
  <c r="AD37" i="1"/>
  <c r="AD38" i="1" s="1"/>
  <c r="AH44" i="1"/>
  <c r="AK46" i="1"/>
  <c r="AK37" i="1" s="1"/>
  <c r="AK38" i="1" s="1"/>
  <c r="AL36" i="1"/>
  <c r="AL43" i="1"/>
  <c r="AL49" i="1"/>
  <c r="AM35" i="1"/>
  <c r="AI47" i="1"/>
  <c r="AI48" i="1" s="1"/>
  <c r="AI46" i="1" s="1"/>
  <c r="AG45" i="1"/>
  <c r="AE45" i="1"/>
  <c r="AE46" i="1" s="1"/>
  <c r="AG44" i="1"/>
  <c r="AI44" i="1"/>
  <c r="AF45" i="1"/>
  <c r="AH47" i="1"/>
  <c r="AH48" i="1" s="1"/>
  <c r="AF47" i="1"/>
  <c r="AF48" i="1" s="1"/>
  <c r="AF44" i="1"/>
  <c r="AH45" i="1"/>
  <c r="AG47" i="1"/>
  <c r="AG48" i="1" s="1"/>
  <c r="AQ58" i="1"/>
  <c r="AQ57" i="1"/>
  <c r="AQ60" i="1"/>
  <c r="AQ50" i="1" s="1"/>
  <c r="AL47" i="1" l="1"/>
  <c r="AL48" i="1" s="1"/>
  <c r="AL45" i="1"/>
  <c r="AM59" i="1"/>
  <c r="AL60" i="1"/>
  <c r="AM50" i="1" s="1"/>
  <c r="AN35" i="1"/>
  <c r="AN39" i="1" s="1"/>
  <c r="AM39" i="1"/>
  <c r="AN68" i="1"/>
  <c r="AN80" i="1"/>
  <c r="AN69" i="1"/>
  <c r="AN81" i="1"/>
  <c r="AN71" i="1"/>
  <c r="AN92" i="1"/>
  <c r="AN93" i="1" s="1"/>
  <c r="AN36" i="1"/>
  <c r="AN43" i="1"/>
  <c r="AL85" i="1"/>
  <c r="AL86" i="1"/>
  <c r="AL91" i="1"/>
  <c r="AL103" i="1" s="1"/>
  <c r="AL102" i="1"/>
  <c r="AL41" i="1"/>
  <c r="AL42" i="1" s="1"/>
  <c r="AM90" i="1"/>
  <c r="AM96" i="1"/>
  <c r="AM97" i="1" s="1"/>
  <c r="AM94" i="1"/>
  <c r="AM95" i="1" s="1"/>
  <c r="AM100" i="1"/>
  <c r="AM68" i="1"/>
  <c r="AM70" i="1"/>
  <c r="AM72" i="1"/>
  <c r="AM74" i="1"/>
  <c r="AM76" i="1"/>
  <c r="AM78" i="1"/>
  <c r="AM80" i="1"/>
  <c r="AM82" i="1"/>
  <c r="AM84" i="1"/>
  <c r="AM98" i="1"/>
  <c r="AM99" i="1" s="1"/>
  <c r="AM67" i="1"/>
  <c r="AM69" i="1"/>
  <c r="AM71" i="1"/>
  <c r="AM73" i="1"/>
  <c r="AM75" i="1"/>
  <c r="AM77" i="1"/>
  <c r="AM79" i="1"/>
  <c r="AM81" i="1"/>
  <c r="AM83" i="1"/>
  <c r="AM92" i="1"/>
  <c r="AM93" i="1" s="1"/>
  <c r="AE37" i="1"/>
  <c r="AE38" i="1" s="1"/>
  <c r="AM36" i="1"/>
  <c r="AM49" i="1"/>
  <c r="AM43" i="1"/>
  <c r="AM44" i="1" s="1"/>
  <c r="AL44" i="1"/>
  <c r="AG46" i="1"/>
  <c r="AG37" i="1" s="1"/>
  <c r="AG38" i="1" s="1"/>
  <c r="AF46" i="1"/>
  <c r="AF37" i="1" s="1"/>
  <c r="AF38" i="1" s="1"/>
  <c r="AH46" i="1"/>
  <c r="AH37" i="1" s="1"/>
  <c r="AH38" i="1" s="1"/>
  <c r="AI37" i="1"/>
  <c r="AI38" i="1" s="1"/>
  <c r="AO35" i="1" l="1"/>
  <c r="AN100" i="1"/>
  <c r="AN96" i="1"/>
  <c r="AN97" i="1" s="1"/>
  <c r="AN76" i="1"/>
  <c r="AL46" i="1"/>
  <c r="AL37" i="1" s="1"/>
  <c r="AL38" i="1" s="1"/>
  <c r="AN73" i="1"/>
  <c r="AN72" i="1"/>
  <c r="AN90" i="1"/>
  <c r="AN91" i="1" s="1"/>
  <c r="AN78" i="1"/>
  <c r="AN49" i="1"/>
  <c r="AN94" i="1"/>
  <c r="AN95" i="1" s="1"/>
  <c r="AN98" i="1"/>
  <c r="AN99" i="1" s="1"/>
  <c r="AN84" i="1"/>
  <c r="AM45" i="1"/>
  <c r="AM47" i="1"/>
  <c r="AM48" i="1" s="1"/>
  <c r="AN75" i="1"/>
  <c r="AN83" i="1"/>
  <c r="AO59" i="1"/>
  <c r="AO60" i="1" s="1"/>
  <c r="AN59" i="1"/>
  <c r="AN60" i="1" s="1"/>
  <c r="AM60" i="1"/>
  <c r="AO50" i="1" s="1"/>
  <c r="AN79" i="1"/>
  <c r="AN77" i="1"/>
  <c r="AN67" i="1"/>
  <c r="AN82" i="1"/>
  <c r="AN74" i="1"/>
  <c r="AN70" i="1"/>
  <c r="AN41" i="1"/>
  <c r="AN40" i="1"/>
  <c r="AM86" i="1"/>
  <c r="AO92" i="1"/>
  <c r="AO93" i="1" s="1"/>
  <c r="AO90" i="1"/>
  <c r="AO96" i="1"/>
  <c r="AO97" i="1" s="1"/>
  <c r="AO100" i="1"/>
  <c r="AO68" i="1"/>
  <c r="AO70" i="1"/>
  <c r="AO72" i="1"/>
  <c r="AO74" i="1"/>
  <c r="AO76" i="1"/>
  <c r="AO78" i="1"/>
  <c r="AO80" i="1"/>
  <c r="AO82" i="1"/>
  <c r="AO84" i="1"/>
  <c r="AO94" i="1"/>
  <c r="AO95" i="1" s="1"/>
  <c r="AO98" i="1"/>
  <c r="AO99" i="1" s="1"/>
  <c r="AO67" i="1"/>
  <c r="AO69" i="1"/>
  <c r="AO71" i="1"/>
  <c r="AO73" i="1"/>
  <c r="AO75" i="1"/>
  <c r="AO77" i="1"/>
  <c r="AO79" i="1"/>
  <c r="AO81" i="1"/>
  <c r="AO83" i="1"/>
  <c r="AM41" i="1"/>
  <c r="AM42" i="1" s="1"/>
  <c r="AM40" i="1"/>
  <c r="AM91" i="1"/>
  <c r="AM103" i="1" s="1"/>
  <c r="AM102" i="1"/>
  <c r="AM85" i="1"/>
  <c r="AO49" i="1"/>
  <c r="AO36" i="1"/>
  <c r="AO43" i="1"/>
  <c r="AN50" i="1" l="1"/>
  <c r="AN85" i="1"/>
  <c r="AO44" i="1"/>
  <c r="AN86" i="1"/>
  <c r="AN102" i="1"/>
  <c r="AM46" i="1"/>
  <c r="AM37" i="1" s="1"/>
  <c r="AM38" i="1" s="1"/>
  <c r="AN103" i="1"/>
  <c r="AN47" i="1"/>
  <c r="AN48" i="1" s="1"/>
  <c r="AN45" i="1"/>
  <c r="AO47" i="1"/>
  <c r="AO48" i="1" s="1"/>
  <c r="AP50" i="1"/>
  <c r="AO45" i="1"/>
  <c r="AN42" i="1"/>
  <c r="AP42" i="1"/>
  <c r="AP47" i="1"/>
  <c r="AP48" i="1" s="1"/>
  <c r="AP46" i="1" s="1"/>
  <c r="AP44" i="1"/>
  <c r="AN44" i="1"/>
  <c r="AO85" i="1"/>
  <c r="AO86" i="1"/>
  <c r="AO40" i="1"/>
  <c r="AO41" i="1"/>
  <c r="AO42" i="1" s="1"/>
  <c r="AO91" i="1"/>
  <c r="AO103" i="1" s="1"/>
  <c r="AO102" i="1"/>
  <c r="AN46" i="1" l="1"/>
  <c r="AN37" i="1" s="1"/>
  <c r="AN38" i="1" s="1"/>
  <c r="AO46" i="1"/>
  <c r="AO37" i="1" s="1"/>
  <c r="AO38" i="1" s="1"/>
  <c r="AP37" i="1"/>
  <c r="AP38" i="1" s="1"/>
</calcChain>
</file>

<file path=xl/sharedStrings.xml><?xml version="1.0" encoding="utf-8"?>
<sst xmlns="http://schemas.openxmlformats.org/spreadsheetml/2006/main" count="297" uniqueCount="224">
  <si>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</si>
  <si>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</si>
  <si>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</si>
  <si>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</si>
  <si>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</si>
  <si>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</si>
  <si>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</si>
  <si>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</si>
  <si>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</si>
  <si>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</si>
  <si>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</si>
  <si>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</si>
  <si>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</si>
  <si>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</si>
  <si>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</si>
  <si>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</si>
  <si>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</si>
  <si>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</si>
  <si>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</si>
  <si>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</si>
  <si>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</si>
  <si>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</si>
  <si>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</si>
  <si>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</si>
  <si>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</si>
  <si>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</si>
  <si>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</si>
  <si>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</si>
  <si>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</si>
  <si>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</si>
  <si>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</si>
  <si>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</si>
  <si>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</si>
  <si>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</si>
  <si>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</si>
  <si>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</si>
  <si>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</si>
  <si>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</si>
  <si>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</si>
  <si>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</si>
  <si>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</si>
  <si>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</si>
  <si>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</si>
  <si>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</si>
  <si>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</si>
  <si>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</si>
  <si>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</si>
  <si>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</si>
  <si>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</si>
  <si>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</si>
  <si>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</si>
  <si>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</si>
  <si>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</si>
  <si>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</si>
  <si>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</si>
  <si>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</si>
  <si>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</si>
  <si>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</si>
  <si>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</si>
  <si>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</si>
  <si>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</si>
  <si>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</si>
  <si>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</si>
  <si>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</si>
  <si>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</si>
  <si>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</si>
  <si>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</si>
  <si>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</si>
  <si>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</si>
  <si>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</si>
  <si>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</si>
  <si>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</si>
  <si>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</si>
  <si>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</si>
  <si>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</si>
  <si>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</si>
  <si>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</si>
  <si>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</si>
  <si>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</si>
  <si>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</si>
  <si>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</si>
  <si>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</si>
  <si>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</si>
  <si>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</si>
  <si>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</si>
  <si>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</si>
  <si>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</si>
  <si>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</si>
  <si>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</si>
  <si>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</si>
  <si>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</si>
  <si>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</si>
  <si>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</si>
  <si>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</si>
  <si>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</si>
  <si>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</si>
  <si>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</si>
  <si>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</si>
  <si>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</si>
  <si>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</si>
  <si>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</si>
  <si>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</si>
  <si>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</si>
  <si>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</si>
  <si>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</si>
  <si>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</si>
  <si>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</si>
  <si>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</si>
  <si>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</si>
  <si>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</si>
  <si>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</si>
  <si>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</si>
  <si>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</si>
  <si>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</si>
  <si>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</si>
  <si>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</si>
  <si>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</si>
  <si>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</si>
  <si>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</si>
  <si>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</si>
  <si>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</si>
  <si>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</si>
  <si>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</si>
  <si>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</si>
  <si>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</si>
  <si>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</si>
  <si>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</si>
  <si>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</si>
  <si>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</si>
  <si>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</si>
  <si>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</si>
  <si>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</si>
  <si>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</si>
  <si>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</si>
  <si>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</si>
  <si>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</si>
  <si>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</si>
  <si>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</si>
  <si>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</si>
  <si>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</si>
  <si>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</si>
  <si>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</si>
  <si>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</si>
  <si>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</si>
  <si>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</si>
  <si>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</si>
  <si>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</si>
  <si>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</si>
  <si>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</si>
  <si>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</si>
  <si>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</si>
  <si>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</si>
  <si>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</si>
  <si>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</si>
  <si>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</si>
  <si>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</si>
  <si>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</si>
  <si>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</si>
  <si>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</si>
  <si>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</si>
  <si>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</si>
  <si>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</si>
  <si>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</si>
  <si>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</si>
  <si>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</si>
  <si>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</si>
  <si>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</si>
  <si>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</si>
  <si>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</si>
  <si>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</si>
  <si>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</si>
  <si>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</si>
  <si>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</si>
  <si>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</si>
  <si>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</si>
  <si>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</si>
  <si>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</si>
  <si>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</si>
  <si>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</si>
  <si>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</si>
  <si>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</si>
  <si>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</si>
  <si>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</si>
  <si>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</si>
  <si>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</si>
  <si>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</si>
  <si>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</si>
  <si>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</si>
  <si>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</si>
  <si>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</si>
  <si>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</si>
  <si>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</si>
  <si>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</si>
  <si>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</si>
  <si>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</si>
  <si>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</si>
  <si>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</si>
  <si>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</si>
  <si>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</si>
  <si>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</si>
  <si>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</si>
  <si>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</si>
  <si>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</si>
  <si>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</si>
  <si>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</si>
  <si>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</si>
  <si>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</si>
  <si>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</si>
  <si>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</si>
  <si>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</si>
  <si>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</si>
  <si>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</si>
  <si>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</si>
  <si>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</si>
  <si>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</si>
  <si>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</si>
  <si>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</si>
  <si>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</si>
  <si>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</si>
  <si>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</si>
  <si>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</si>
  <si>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</si>
  <si>
    <t>India's confirmed coronavirus cases surpass Brazil's, becoming the second highest behind the US.</t>
  </si>
  <si>
    <t>Cases Peak 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</si>
</sst>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171" fontId="6" fillId="0" borderId="18" xfId="0" applyNumberFormat="1" applyFont="1" applyFill="1" applyBorder="1"/>
    <xf numFmtId="9" fontId="2" fillId="0" borderId="0" xfId="1" applyNumberFormat="1" applyFill="1" applyBorder="1"/>
    <xf numFmtId="14" fontId="6" fillId="0" borderId="19"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1" xfId="0" applyNumberFormat="1" applyFill="1" applyBorder="1"/>
    <xf numFmtId="14" fontId="0" fillId="17" borderId="21" xfId="0" applyNumberFormat="1" applyFill="1" applyBorder="1"/>
    <xf numFmtId="14" fontId="0" fillId="4" borderId="21" xfId="0" applyNumberFormat="1" applyFill="1" applyBorder="1"/>
    <xf numFmtId="14" fontId="0" fillId="0" borderId="22" xfId="0" applyNumberFormat="1" applyFill="1" applyBorder="1"/>
    <xf numFmtId="164" fontId="0" fillId="9" borderId="2" xfId="0" applyNumberFormat="1" applyFill="1" applyBorder="1"/>
    <xf numFmtId="0" fontId="0" fillId="18" borderId="7" xfId="0" applyFill="1" applyBorder="1"/>
    <xf numFmtId="14" fontId="0" fillId="18" borderId="21" xfId="0" applyNumberFormat="1" applyFill="1" applyBorder="1"/>
    <xf numFmtId="14" fontId="0" fillId="17" borderId="20" xfId="0" applyNumberFormat="1" applyFill="1" applyBorder="1"/>
    <xf numFmtId="14" fontId="0" fillId="0" borderId="21" xfId="0" applyNumberFormat="1" applyFill="1" applyBorder="1"/>
    <xf numFmtId="3" fontId="6" fillId="4" borderId="3" xfId="0" applyNumberFormat="1" applyFont="1" applyFill="1" applyBorder="1"/>
    <xf numFmtId="3" fontId="6" fillId="4" borderId="4" xfId="0" applyNumberFormat="1" applyFont="1" applyFill="1" applyBorder="1"/>
    <xf numFmtId="1" fontId="0" fillId="0" borderId="0" xfId="0" applyNumberFormat="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50</c:v>
                </c:pt>
                <c:pt idx="1">
                  <c:v>100</c:v>
                </c:pt>
                <c:pt idx="2">
                  <c:v>200</c:v>
                </c:pt>
                <c:pt idx="3">
                  <c:v>400</c:v>
                </c:pt>
                <c:pt idx="4">
                  <c:v>800</c:v>
                </c:pt>
                <c:pt idx="5">
                  <c:v>1600</c:v>
                </c:pt>
                <c:pt idx="6">
                  <c:v>3200</c:v>
                </c:pt>
                <c:pt idx="7">
                  <c:v>6400</c:v>
                </c:pt>
                <c:pt idx="8">
                  <c:v>12800</c:v>
                </c:pt>
                <c:pt idx="9">
                  <c:v>25600</c:v>
                </c:pt>
                <c:pt idx="10">
                  <c:v>51200</c:v>
                </c:pt>
                <c:pt idx="11">
                  <c:v>102400</c:v>
                </c:pt>
                <c:pt idx="12">
                  <c:v>204800</c:v>
                </c:pt>
                <c:pt idx="13">
                  <c:v>409600</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21.428571428571431</c:v>
                </c:pt>
                <c:pt idx="1">
                  <c:v>42.857142857142861</c:v>
                </c:pt>
                <c:pt idx="2">
                  <c:v>85.714285714285722</c:v>
                </c:pt>
                <c:pt idx="3">
                  <c:v>171.42857142857144</c:v>
                </c:pt>
                <c:pt idx="4">
                  <c:v>342.85714285714289</c:v>
                </c:pt>
                <c:pt idx="5">
                  <c:v>685.71428571428578</c:v>
                </c:pt>
                <c:pt idx="6">
                  <c:v>1371.4285714285716</c:v>
                </c:pt>
                <c:pt idx="7">
                  <c:v>2742.8571428571431</c:v>
                </c:pt>
                <c:pt idx="8">
                  <c:v>5485.7142857142862</c:v>
                </c:pt>
                <c:pt idx="9">
                  <c:v>10971.428571428572</c:v>
                </c:pt>
                <c:pt idx="10">
                  <c:v>21942.857142857145</c:v>
                </c:pt>
                <c:pt idx="11">
                  <c:v>43885.71428571429</c:v>
                </c:pt>
                <c:pt idx="12">
                  <c:v>87771.42857142858</c:v>
                </c:pt>
                <c:pt idx="13">
                  <c:v>175542.85714285716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Projections!$P$34:$AH$34</c:f>
              <c:numCache>
                <c:formatCode>m/d/yyyy</c:formatCode>
                <c:ptCount val="19"/>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numCache>
            </c:numRef>
          </c:cat>
          <c:val>
            <c:numRef>
              <c:extLst>
                <c:ext xmlns:c15="http://schemas.microsoft.com/office/drawing/2012/chart" uri="{02D57815-91ED-43cb-92C2-25804820EDAC}">
                  <c15:fullRef>
                    <c15:sqref>Projections!$P$35:$AP$35</c15:sqref>
                  </c15:fullRef>
                </c:ext>
              </c:extLst>
              <c:f>Projections!$P$35:$AH$35</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8192000</c:v>
                </c:pt>
              </c:numCache>
            </c:numRef>
          </c:val>
          <c:smooth val="0"/>
          <c:extLst>
            <c:ext xmlns:c16="http://schemas.microsoft.com/office/drawing/2014/chart" uri="{C3380CC4-5D6E-409C-BE32-E72D297353CC}">
              <c16:uniqueId val="{00000004-8BCC-427B-903C-670C749E04E9}"/>
            </c:ext>
          </c:extLst>
        </c:ser>
        <c:ser>
          <c:idx val="1"/>
          <c:order val="1"/>
          <c:tx>
            <c:strRef>
              <c:f>Projections!$A$59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Projections!$P$34:$AH$34</c:f>
              <c:numCache>
                <c:formatCode>m/d/yyyy</c:formatCode>
                <c:ptCount val="19"/>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numCache>
            </c:numRef>
          </c:cat>
          <c:val>
            <c:numRef>
              <c:extLst>
                <c:ext xmlns:c15="http://schemas.microsoft.com/office/drawing/2012/chart" uri="{02D57815-91ED-43cb-92C2-25804820EDAC}">
                  <c15:fullRef>
                    <c15:sqref>Projections!$P$59:$AP$59</c15:sqref>
                  </c15:fullRef>
                </c:ext>
              </c:extLst>
              <c:f>Projections!$P$59:$AH$59</c:f>
              <c:numCache>
                <c:formatCode>General</c:formatCode>
                <c:ptCount val="19"/>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8192000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Projections!$P$34:$AH$34</c:f>
              <c:numCache>
                <c:formatCode>m/d/yyyy</c:formatCode>
                <c:ptCount val="19"/>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numCache>
            </c:numRef>
          </c:cat>
          <c:val>
            <c:numRef>
              <c:extLst>
                <c:ext xmlns:c15="http://schemas.microsoft.com/office/drawing/2012/chart" uri="{02D57815-91ED-43cb-92C2-25804820EDAC}">
                  <c15:fullRef>
                    <c15:sqref>Projections!$P$49:$AP$49</c15:sqref>
                  </c15:fullRef>
                </c:ext>
              </c:extLst>
              <c:f>Projections!$P$49:$AH$49</c:f>
              <c:numCache>
                <c:formatCode>#,##0_ ;[Red]\-#,##0\ </c:formatCode>
                <c:ptCount val="19"/>
                <c:pt idx="0">
                  <c:v>0.546875</c:v>
                </c:pt>
                <c:pt idx="1">
                  <c:v>1.09375</c:v>
                </c:pt>
                <c:pt idx="2">
                  <c:v>2.1875</c:v>
                </c:pt>
                <c:pt idx="3">
                  <c:v>4.375</c:v>
                </c:pt>
                <c:pt idx="4">
                  <c:v>8.75</c:v>
                </c:pt>
                <c:pt idx="5">
                  <c:v>17.5</c:v>
                </c:pt>
                <c:pt idx="6">
                  <c:v>35</c:v>
                </c:pt>
                <c:pt idx="7">
                  <c:v>70</c:v>
                </c:pt>
                <c:pt idx="8">
                  <c:v>140</c:v>
                </c:pt>
                <c:pt idx="9">
                  <c:v>280</c:v>
                </c:pt>
                <c:pt idx="10">
                  <c:v>560</c:v>
                </c:pt>
                <c:pt idx="11">
                  <c:v>1120</c:v>
                </c:pt>
                <c:pt idx="12">
                  <c:v>2240</c:v>
                </c:pt>
                <c:pt idx="13">
                  <c:v>4480</c:v>
                </c:pt>
                <c:pt idx="14">
                  <c:v>8960</c:v>
                </c:pt>
                <c:pt idx="15">
                  <c:v>17920</c:v>
                </c:pt>
                <c:pt idx="16">
                  <c:v>35840</c:v>
                </c:pt>
                <c:pt idx="17">
                  <c:v>71680</c:v>
                </c:pt>
                <c:pt idx="18">
                  <c:v>143360</c:v>
                </c:pt>
              </c:numCache>
            </c:numRef>
          </c:val>
          <c:smooth val="0"/>
          <c:extLst>
            <c:ext xmlns:c16="http://schemas.microsoft.com/office/drawing/2014/chart" uri="{C3380CC4-5D6E-409C-BE32-E72D297353CC}">
              <c16:uniqueId val="{00000000-50BE-40C1-B679-81AF0BCE3FCD}"/>
            </c:ext>
          </c:extLst>
        </c:ser>
        <c:ser>
          <c:idx val="1"/>
          <c:order val="1"/>
          <c:tx>
            <c:strRef>
              <c:f>Projections!$A$63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Projections!$P$34:$AH$34</c:f>
              <c:numCache>
                <c:formatCode>m/d/yyyy</c:formatCode>
                <c:ptCount val="19"/>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numCache>
            </c:numRef>
          </c:cat>
          <c:val>
            <c:numRef>
              <c:extLst>
                <c:ext xmlns:c15="http://schemas.microsoft.com/office/drawing/2012/chart" uri="{02D57815-91ED-43cb-92C2-25804820EDAC}">
                  <c15:fullRef>
                    <c15:sqref>Projections!$P$63:$AP$63</c15:sqref>
                  </c15:fullRef>
                </c:ext>
              </c:extLst>
              <c:f>Projections!$P$63:$AH$63</c:f>
              <c:numCache>
                <c:formatCode>General</c:formatCode>
                <c:ptCount val="19"/>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122149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Projections!$P$45:$AP$45</c15:sqref>
                  </c15:fullRef>
                </c:ext>
              </c:extLst>
              <c:f>Projections!$P$45:$AK$45</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21587499.783196583</c:v>
                </c:pt>
                <c:pt idx="19">
                  <c:v>22674214.033774186</c:v>
                </c:pt>
                <c:pt idx="20">
                  <c:v>30636777.575609867</c:v>
                </c:pt>
                <c:pt idx="21">
                  <c:v>47004683.981215782</c:v>
                </c:pt>
              </c:numCache>
            </c:numRef>
          </c:val>
          <c:smooth val="0"/>
          <c:extLst>
            <c:ext xmlns:c16="http://schemas.microsoft.com/office/drawing/2014/chart" uri="{C3380CC4-5D6E-409C-BE32-E72D297353CC}">
              <c16:uniqueId val="{00000000-A3C2-4B4C-996C-CDB1A252886F}"/>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Projections!$P$46:$AP$46</c15:sqref>
                  </c15:fullRef>
                </c:ext>
              </c:extLst>
              <c:f>Projections!$P$46:$AK$46</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17227495.424950056</c:v>
                </c:pt>
                <c:pt idx="19">
                  <c:v>17188729.309368558</c:v>
                </c:pt>
                <c:pt idx="20">
                  <c:v>22229098.01927815</c:v>
                </c:pt>
                <c:pt idx="21">
                  <c:v>32853404.396388024</c:v>
                </c:pt>
              </c:numCache>
            </c:numRef>
          </c:val>
          <c:smooth val="0"/>
          <c:extLst>
            <c:ext xmlns:c16="http://schemas.microsoft.com/office/drawing/2014/chart" uri="{C3380CC4-5D6E-409C-BE32-E72D297353CC}">
              <c16:uniqueId val="{00000001-A3C2-4B4C-996C-CDB1A252886F}"/>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Projections!$P$47:$AP$47</c15:sqref>
                  </c15:fullRef>
                </c:ext>
              </c:extLst>
              <c:f>Projections!$P$47:$AK$47</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3622402.1251440034</c:v>
                </c:pt>
                <c:pt idx="19">
                  <c:v>4154332.0277997837</c:v>
                </c:pt>
                <c:pt idx="20">
                  <c:v>5923647.1915277531</c:v>
                </c:pt>
                <c:pt idx="21">
                  <c:v>9425180.1812708918</c:v>
                </c:pt>
              </c:numCache>
            </c:numRef>
          </c:val>
          <c:smooth val="0"/>
          <c:extLst>
            <c:ext xmlns:c16="http://schemas.microsoft.com/office/drawing/2014/chart" uri="{C3380CC4-5D6E-409C-BE32-E72D297353CC}">
              <c16:uniqueId val="{00000002-A3C2-4B4C-996C-CDB1A252886F}"/>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Projections!$P$48:$AP$48</c15:sqref>
                  </c15:fullRef>
                </c:ext>
              </c:extLst>
              <c:f>Projections!$P$48:$AK$48</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2683262.0114808362</c:v>
                </c:pt>
                <c:pt idx="19">
                  <c:v>2752296.9496492799</c:v>
                </c:pt>
                <c:pt idx="20">
                  <c:v>3574131.8973493748</c:v>
                </c:pt>
                <c:pt idx="21">
                  <c:v>5255660.5428599622</c:v>
                </c:pt>
              </c:numCache>
            </c:numRef>
          </c:val>
          <c:smooth val="0"/>
          <c:extLst>
            <c:ext xmlns:c16="http://schemas.microsoft.com/office/drawing/2014/chart" uri="{C3380CC4-5D6E-409C-BE32-E72D297353CC}">
              <c16:uniqueId val="{00000003-A3C2-4B4C-996C-CDB1A252886F}"/>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Projections!$P$49:$AP$49</c15:sqref>
                  </c15:fullRef>
                </c:ext>
              </c:extLst>
              <c:f>Projections!$P$49:$AK$49</c:f>
              <c:numCache>
                <c:formatCode>#,##0_ ;[Red]\-#,##0\ </c:formatCode>
                <c:ptCount val="22"/>
                <c:pt idx="0">
                  <c:v>0.546875</c:v>
                </c:pt>
                <c:pt idx="1">
                  <c:v>1.09375</c:v>
                </c:pt>
                <c:pt idx="2">
                  <c:v>2.1875</c:v>
                </c:pt>
                <c:pt idx="3">
                  <c:v>4.375</c:v>
                </c:pt>
                <c:pt idx="4">
                  <c:v>8.75</c:v>
                </c:pt>
                <c:pt idx="5">
                  <c:v>17.5</c:v>
                </c:pt>
                <c:pt idx="6">
                  <c:v>35</c:v>
                </c:pt>
                <c:pt idx="7">
                  <c:v>70</c:v>
                </c:pt>
                <c:pt idx="8">
                  <c:v>140</c:v>
                </c:pt>
                <c:pt idx="9">
                  <c:v>280</c:v>
                </c:pt>
                <c:pt idx="10">
                  <c:v>560</c:v>
                </c:pt>
                <c:pt idx="11">
                  <c:v>1120</c:v>
                </c:pt>
                <c:pt idx="12">
                  <c:v>2240</c:v>
                </c:pt>
                <c:pt idx="13">
                  <c:v>4480</c:v>
                </c:pt>
                <c:pt idx="14">
                  <c:v>8960</c:v>
                </c:pt>
                <c:pt idx="15">
                  <c:v>17920</c:v>
                </c:pt>
                <c:pt idx="16">
                  <c:v>35840</c:v>
                </c:pt>
                <c:pt idx="17">
                  <c:v>71680</c:v>
                </c:pt>
                <c:pt idx="18">
                  <c:v>143360</c:v>
                </c:pt>
                <c:pt idx="19">
                  <c:v>286720</c:v>
                </c:pt>
                <c:pt idx="20">
                  <c:v>573440</c:v>
                </c:pt>
                <c:pt idx="21">
                  <c:v>1146880</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Projections!$P$67:$AP$67</c15:sqref>
                  </c15:fullRef>
                </c:ext>
              </c:extLst>
              <c:f>Projections!$P$67:$AK$67</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7972-43AB-83E8-C2C99B4277B0}"/>
            </c:ext>
          </c:extLst>
        </c:ser>
        <c:ser>
          <c:idx val="2"/>
          <c:order val="1"/>
          <c:tx>
            <c:strRef>
              <c:f>Projections!$A$69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Projections!$P$69:$AP$69</c15:sqref>
                  </c15:fullRef>
                </c:ext>
              </c:extLst>
              <c:f>Projections!$P$69:$AK$69</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1-7972-43AB-83E8-C2C99B4277B0}"/>
            </c:ext>
          </c:extLst>
        </c:ser>
        <c:ser>
          <c:idx val="4"/>
          <c:order val="2"/>
          <c:tx>
            <c:strRef>
              <c:f>Projections!$A$71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Projections!$P$71:$AP$71</c15:sqref>
                  </c15:fullRef>
                </c:ext>
              </c:extLst>
              <c:f>Projections!$P$71:$AK$71</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2-7972-43AB-83E8-C2C99B4277B0}"/>
            </c:ext>
          </c:extLst>
        </c:ser>
        <c:ser>
          <c:idx val="6"/>
          <c:order val="3"/>
          <c:tx>
            <c:strRef>
              <c:f>Projections!$A$73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Projections!$P$73:$AP$73</c15:sqref>
                  </c15:fullRef>
                </c:ext>
              </c:extLst>
              <c:f>Projections!$P$73:$AK$73</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3-7972-43AB-83E8-C2C99B4277B0}"/>
            </c:ext>
          </c:extLst>
        </c:ser>
        <c:ser>
          <c:idx val="8"/>
          <c:order val="4"/>
          <c:tx>
            <c:strRef>
              <c:f>Projections!$A$75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Projections!$P$75:$AP$75</c15:sqref>
                  </c15:fullRef>
                </c:ext>
              </c:extLst>
              <c:f>Projections!$P$75:$AK$75</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4-7972-43AB-83E8-C2C99B4277B0}"/>
            </c:ext>
          </c:extLst>
        </c:ser>
        <c:ser>
          <c:idx val="10"/>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Projections!$P$77:$AP$77</c15:sqref>
                  </c15:fullRef>
                </c:ext>
              </c:extLst>
              <c:f>Projections!$P$77:$AK$77</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5-7972-43AB-83E8-C2C99B4277B0}"/>
            </c:ext>
          </c:extLst>
        </c:ser>
        <c:ser>
          <c:idx val="12"/>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Projections!$P$79:$AP$79</c15:sqref>
                  </c15:fullRef>
                </c:ext>
              </c:extLst>
              <c:f>Projections!$P$79:$AK$79</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6-7972-43AB-83E8-C2C99B4277B0}"/>
            </c:ext>
          </c:extLst>
        </c:ser>
        <c:ser>
          <c:idx val="14"/>
          <c:order val="7"/>
          <c:tx>
            <c:strRef>
              <c:f>Projections!$A$81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Projections!$P$81:$AP$81</c15:sqref>
                  </c15:fullRef>
                </c:ext>
              </c:extLst>
              <c:f>Projections!$P$81:$AK$81</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7-7972-43AB-83E8-C2C99B4277B0}"/>
            </c:ext>
          </c:extLst>
        </c:ser>
        <c:ser>
          <c:idx val="16"/>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Projections!$P$83:$AP$83</c15:sqref>
                  </c15:fullRef>
                </c:ext>
              </c:extLst>
              <c:f>Projections!$P$83:$AK$83</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Projections!$P$68:$AP$68</c15:sqref>
                  </c15:fullRef>
                </c:ext>
              </c:extLst>
              <c:f>Projections!$P$68:$AK$68</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0-FE50-482D-905D-7C3B099138E4}"/>
            </c:ext>
          </c:extLst>
        </c:ser>
        <c:ser>
          <c:idx val="3"/>
          <c:order val="1"/>
          <c:tx>
            <c:strRef>
              <c:f>Projections!$A$69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Projections!$P$70:$AP$70</c15:sqref>
                  </c15:fullRef>
                </c:ext>
              </c:extLst>
              <c:f>Projections!$P$70:$AK$70</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1-FE50-482D-905D-7C3B099138E4}"/>
            </c:ext>
          </c:extLst>
        </c:ser>
        <c:ser>
          <c:idx val="5"/>
          <c:order val="2"/>
          <c:tx>
            <c:strRef>
              <c:f>Projections!$A$71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Projections!$P$72:$AP$72</c15:sqref>
                  </c15:fullRef>
                </c:ext>
              </c:extLst>
              <c:f>Projections!$P$72:$AK$72</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2-FE50-482D-905D-7C3B099138E4}"/>
            </c:ext>
          </c:extLst>
        </c:ser>
        <c:ser>
          <c:idx val="7"/>
          <c:order val="3"/>
          <c:tx>
            <c:strRef>
              <c:f>Projections!$A$73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Projections!$P$74:$AP$74</c15:sqref>
                  </c15:fullRef>
                </c:ext>
              </c:extLst>
              <c:f>Projections!$P$74:$AK$74</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3-FE50-482D-905D-7C3B099138E4}"/>
            </c:ext>
          </c:extLst>
        </c:ser>
        <c:ser>
          <c:idx val="9"/>
          <c:order val="4"/>
          <c:tx>
            <c:strRef>
              <c:f>Projections!$A$75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Projections!$P$76:$AP$76</c15:sqref>
                  </c15:fullRef>
                </c:ext>
              </c:extLst>
              <c:f>Projections!$P$76:$AK$76</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4-FE50-482D-905D-7C3B099138E4}"/>
            </c:ext>
          </c:extLst>
        </c:ser>
        <c:ser>
          <c:idx val="11"/>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Projections!$P$78:$AP$78</c15:sqref>
                  </c15:fullRef>
                </c:ext>
              </c:extLst>
              <c:f>Projections!$P$78:$AK$78</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5-FE50-482D-905D-7C3B099138E4}"/>
            </c:ext>
          </c:extLst>
        </c:ser>
        <c:ser>
          <c:idx val="13"/>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Projections!$P$80:$AP$80</c15:sqref>
                  </c15:fullRef>
                </c:ext>
              </c:extLst>
              <c:f>Projections!$P$80:$AK$80</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6-FE50-482D-905D-7C3B099138E4}"/>
            </c:ext>
          </c:extLst>
        </c:ser>
        <c:ser>
          <c:idx val="15"/>
          <c:order val="7"/>
          <c:tx>
            <c:strRef>
              <c:f>Projections!$A$81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Projections!$P$82:$AP$82</c15:sqref>
                  </c15:fullRef>
                </c:ext>
              </c:extLst>
              <c:f>Projections!$P$82:$AK$82</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7-FE50-482D-905D-7C3B099138E4}"/>
            </c:ext>
          </c:extLst>
        </c:ser>
        <c:ser>
          <c:idx val="17"/>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Projections!$P$84:$AP$84</c15:sqref>
                  </c15:fullRef>
                </c:ext>
              </c:extLst>
              <c:f>Projections!$P$84:$AK$84</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Projections!$P$96:$AP$96</c15:sqref>
                  </c15:fullRef>
                </c:ext>
              </c:extLst>
              <c:f>Projections!$P$96:$AK$96</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00-C5BA-4495-93D4-AC4CA8674604}"/>
            </c:ext>
          </c:extLst>
        </c:ser>
        <c:ser>
          <c:idx val="4"/>
          <c:order val="1"/>
          <c:tx>
            <c:strRef>
              <c:f>Projections!$A$94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Projections!$P$94:$AP$94</c15:sqref>
                  </c15:fullRef>
                </c:ext>
              </c:extLst>
              <c:f>Projections!$P$94:$AK$94</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01-C5BA-4495-93D4-AC4CA8674604}"/>
            </c:ext>
          </c:extLst>
        </c:ser>
        <c:ser>
          <c:idx val="10"/>
          <c:order val="2"/>
          <c:tx>
            <c:strRef>
              <c:f>Projections!$A$100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Projections!$P$100:$AP$100</c15:sqref>
                  </c15:fullRef>
                </c:ext>
              </c:extLst>
              <c:f>Projections!$P$100:$AK$100</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02-C5BA-4495-93D4-AC4CA8674604}"/>
            </c:ext>
          </c:extLst>
        </c:ser>
        <c:ser>
          <c:idx val="0"/>
          <c:order val="3"/>
          <c:tx>
            <c:strRef>
              <c:f>Projections!$A$90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Projections!$P$90:$AP$90</c15:sqref>
                  </c15:fullRef>
                </c:ext>
              </c:extLst>
              <c:f>Projections!$P$90:$AK$90</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03-C5BA-4495-93D4-AC4CA8674604}"/>
            </c:ext>
          </c:extLst>
        </c:ser>
        <c:ser>
          <c:idx val="2"/>
          <c:order val="4"/>
          <c:tx>
            <c:strRef>
              <c:f>Projections!$A$92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Projections!$P$92:$AP$92</c15:sqref>
                  </c15:fullRef>
                </c:ext>
              </c:extLst>
              <c:f>Projections!$P$92:$AK$92</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04-C5BA-4495-93D4-AC4CA8674604}"/>
            </c:ext>
          </c:extLst>
        </c:ser>
        <c:ser>
          <c:idx val="8"/>
          <c:order val="5"/>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Projections!$P$98:$AP$98</c15:sqref>
                  </c15:fullRef>
                </c:ext>
              </c:extLst>
              <c:f>Projections!$P$98:$AK$98</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Projections!$P$97:$AP$97</c15:sqref>
                  </c15:fullRef>
                </c:ext>
              </c:extLst>
              <c:f>Projections!$P$97:$AK$97</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0-5E66-4AF0-A3CA-7CF12153AA8E}"/>
            </c:ext>
          </c:extLst>
        </c:ser>
        <c:ser>
          <c:idx val="5"/>
          <c:order val="1"/>
          <c:tx>
            <c:strRef>
              <c:f>Projections!$A$94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Projections!$P$95:$AP$95</c15:sqref>
                  </c15:fullRef>
                </c:ext>
              </c:extLst>
              <c:f>Projections!$P$95:$AK$95</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1-5E66-4AF0-A3CA-7CF12153AA8E}"/>
            </c:ext>
          </c:extLst>
        </c:ser>
        <c:ser>
          <c:idx val="1"/>
          <c:order val="2"/>
          <c:tx>
            <c:strRef>
              <c:f>Projections!$A$90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Projections!$P$91:$AP$91</c15:sqref>
                  </c15:fullRef>
                </c:ext>
              </c:extLst>
              <c:f>Projections!$P$91:$AK$91</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2-5E66-4AF0-A3CA-7CF12153AA8E}"/>
            </c:ext>
          </c:extLst>
        </c:ser>
        <c:ser>
          <c:idx val="3"/>
          <c:order val="3"/>
          <c:tx>
            <c:strRef>
              <c:f>Projections!$A$92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Projections!$P$93:$AP$93</c15:sqref>
                  </c15:fullRef>
                </c:ext>
              </c:extLst>
              <c:f>Projections!$P$93:$AK$93</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5E66-4AF0-A3CA-7CF12153AA8E}"/>
            </c:ext>
          </c:extLst>
        </c:ser>
        <c:ser>
          <c:idx val="9"/>
          <c:order val="4"/>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Projections!$P$99:$AP$99</c15:sqref>
                  </c15:fullRef>
                </c:ext>
              </c:extLst>
              <c:f>Projections!$P$99:$AK$99</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Projections!$P$34:$AH$34</c:f>
              <c:numCache>
                <c:formatCode>m/d/yyyy</c:formatCode>
                <c:ptCount val="19"/>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numCache>
            </c:numRef>
          </c:cat>
          <c:val>
            <c:numRef>
              <c:extLst>
                <c:ext xmlns:c15="http://schemas.microsoft.com/office/drawing/2012/chart" uri="{02D57815-91ED-43cb-92C2-25804820EDAC}">
                  <c15:fullRef>
                    <c15:sqref>Projections!$P$35:$AP$35</c15:sqref>
                  </c15:fullRef>
                </c:ext>
              </c:extLst>
              <c:f>Projections!$P$35:$AH$35</c:f>
              <c:numCache>
                <c:formatCode>#,##0_ ;[Red]\-#,##0\ </c:formatCode>
                <c:ptCount val="19"/>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8192000</c:v>
                </c:pt>
              </c:numCache>
            </c:numRef>
          </c:val>
          <c:smooth val="0"/>
          <c:extLst>
            <c:ext xmlns:c16="http://schemas.microsoft.com/office/drawing/2014/chart" uri="{C3380CC4-5D6E-409C-BE32-E72D297353CC}">
              <c16:uniqueId val="{00000000-9DE3-43B6-B60B-9B4AA4851702}"/>
            </c:ext>
          </c:extLst>
        </c:ser>
        <c:ser>
          <c:idx val="1"/>
          <c:order val="1"/>
          <c:tx>
            <c:strRef>
              <c:f>Projections!$A$59</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Projections!$P$34:$AH$34</c:f>
              <c:numCache>
                <c:formatCode>m/d/yyyy</c:formatCode>
                <c:ptCount val="19"/>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numCache>
            </c:numRef>
          </c:cat>
          <c:val>
            <c:numRef>
              <c:extLst>
                <c:ext xmlns:c15="http://schemas.microsoft.com/office/drawing/2012/chart" uri="{02D57815-91ED-43cb-92C2-25804820EDAC}">
                  <c15:fullRef>
                    <c15:sqref>Projections!$P$59:$AP$59</c15:sqref>
                  </c15:fullRef>
                </c:ext>
              </c:extLst>
              <c:f>Projections!$P$59:$AH$59</c:f>
              <c:numCache>
                <c:formatCode>General</c:formatCode>
                <c:ptCount val="19"/>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8192000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Projections!$P$34:$AH$34</c:f>
              <c:numCache>
                <c:formatCode>m/d/yyyy</c:formatCode>
                <c:ptCount val="19"/>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numCache>
            </c:numRef>
          </c:cat>
          <c:val>
            <c:numRef>
              <c:extLst>
                <c:ext xmlns:c15="http://schemas.microsoft.com/office/drawing/2012/chart" uri="{02D57815-91ED-43cb-92C2-25804820EDAC}">
                  <c15:fullRef>
                    <c15:sqref>Projections!$P$49:$AP$49</c15:sqref>
                  </c15:fullRef>
                </c:ext>
              </c:extLst>
              <c:f>Projections!$P$49:$AH$49</c:f>
              <c:numCache>
                <c:formatCode>#,##0_ ;[Red]\-#,##0\ </c:formatCode>
                <c:ptCount val="19"/>
                <c:pt idx="0">
                  <c:v>0.546875</c:v>
                </c:pt>
                <c:pt idx="1">
                  <c:v>1.09375</c:v>
                </c:pt>
                <c:pt idx="2">
                  <c:v>2.1875</c:v>
                </c:pt>
                <c:pt idx="3">
                  <c:v>4.375</c:v>
                </c:pt>
                <c:pt idx="4">
                  <c:v>8.75</c:v>
                </c:pt>
                <c:pt idx="5">
                  <c:v>17.5</c:v>
                </c:pt>
                <c:pt idx="6">
                  <c:v>35</c:v>
                </c:pt>
                <c:pt idx="7">
                  <c:v>70</c:v>
                </c:pt>
                <c:pt idx="8">
                  <c:v>140</c:v>
                </c:pt>
                <c:pt idx="9">
                  <c:v>280</c:v>
                </c:pt>
                <c:pt idx="10">
                  <c:v>560</c:v>
                </c:pt>
                <c:pt idx="11">
                  <c:v>1120</c:v>
                </c:pt>
                <c:pt idx="12">
                  <c:v>2240</c:v>
                </c:pt>
                <c:pt idx="13">
                  <c:v>4480</c:v>
                </c:pt>
                <c:pt idx="14">
                  <c:v>8960</c:v>
                </c:pt>
                <c:pt idx="15">
                  <c:v>17920</c:v>
                </c:pt>
                <c:pt idx="16">
                  <c:v>35840</c:v>
                </c:pt>
                <c:pt idx="17">
                  <c:v>71680</c:v>
                </c:pt>
                <c:pt idx="18">
                  <c:v>143360</c:v>
                </c:pt>
              </c:numCache>
            </c:numRef>
          </c:val>
          <c:smooth val="0"/>
          <c:extLst>
            <c:ext xmlns:c16="http://schemas.microsoft.com/office/drawing/2014/chart" uri="{C3380CC4-5D6E-409C-BE32-E72D297353CC}">
              <c16:uniqueId val="{00000000-FE1B-4946-A476-7952C5C71231}"/>
            </c:ext>
          </c:extLst>
        </c:ser>
        <c:ser>
          <c:idx val="1"/>
          <c:order val="1"/>
          <c:tx>
            <c:strRef>
              <c:f>Projections!$A$63</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Projections!$P$34:$AH$34</c:f>
              <c:numCache>
                <c:formatCode>m/d/yyyy</c:formatCode>
                <c:ptCount val="19"/>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numCache>
            </c:numRef>
          </c:cat>
          <c:val>
            <c:numRef>
              <c:extLst>
                <c:ext xmlns:c15="http://schemas.microsoft.com/office/drawing/2012/chart" uri="{02D57815-91ED-43cb-92C2-25804820EDAC}">
                  <c15:fullRef>
                    <c15:sqref>Projections!$P$63:$AP$63</c15:sqref>
                  </c15:fullRef>
                </c:ext>
              </c:extLst>
              <c:f>Projections!$P$63:$AH$63</c:f>
              <c:numCache>
                <c:formatCode>General</c:formatCode>
                <c:ptCount val="19"/>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122149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50</c:v>
                </c:pt>
                <c:pt idx="1">
                  <c:v>100</c:v>
                </c:pt>
                <c:pt idx="2">
                  <c:v>200</c:v>
                </c:pt>
                <c:pt idx="3">
                  <c:v>400</c:v>
                </c:pt>
                <c:pt idx="4">
                  <c:v>800</c:v>
                </c:pt>
                <c:pt idx="5">
                  <c:v>1600</c:v>
                </c:pt>
                <c:pt idx="6">
                  <c:v>3200</c:v>
                </c:pt>
                <c:pt idx="7">
                  <c:v>6400</c:v>
                </c:pt>
                <c:pt idx="8">
                  <c:v>12800</c:v>
                </c:pt>
                <c:pt idx="9">
                  <c:v>25600</c:v>
                </c:pt>
                <c:pt idx="10">
                  <c:v>51200</c:v>
                </c:pt>
                <c:pt idx="11">
                  <c:v>102400</c:v>
                </c:pt>
                <c:pt idx="12">
                  <c:v>204800</c:v>
                </c:pt>
                <c:pt idx="13">
                  <c:v>409600</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21.428571428571431</c:v>
                </c:pt>
                <c:pt idx="1">
                  <c:v>42.857142857142861</c:v>
                </c:pt>
                <c:pt idx="2">
                  <c:v>85.714285714285722</c:v>
                </c:pt>
                <c:pt idx="3">
                  <c:v>171.42857142857144</c:v>
                </c:pt>
                <c:pt idx="4">
                  <c:v>342.85714285714289</c:v>
                </c:pt>
                <c:pt idx="5">
                  <c:v>685.71428571428578</c:v>
                </c:pt>
                <c:pt idx="6">
                  <c:v>1371.4285714285716</c:v>
                </c:pt>
                <c:pt idx="7">
                  <c:v>2742.8571428571431</c:v>
                </c:pt>
                <c:pt idx="8">
                  <c:v>5485.7142857142862</c:v>
                </c:pt>
                <c:pt idx="9">
                  <c:v>10971.428571428572</c:v>
                </c:pt>
                <c:pt idx="10">
                  <c:v>21942.857142857145</c:v>
                </c:pt>
                <c:pt idx="11">
                  <c:v>43885.71428571429</c:v>
                </c:pt>
                <c:pt idx="12">
                  <c:v>87771.42857142858</c:v>
                </c:pt>
                <c:pt idx="13">
                  <c:v>175542.85714285716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44096.698564120372</c:v>
                </c:pt>
                <c:pt idx="1">
                  <c:v>44099.698564120372</c:v>
                </c:pt>
                <c:pt idx="2">
                  <c:v>44102.698564120372</c:v>
                </c:pt>
                <c:pt idx="3">
                  <c:v>44105.698564120372</c:v>
                </c:pt>
                <c:pt idx="4">
                  <c:v>44108.698564120372</c:v>
                </c:pt>
                <c:pt idx="5">
                  <c:v>44111.698564120372</c:v>
                </c:pt>
                <c:pt idx="6">
                  <c:v>44114.698564120372</c:v>
                </c:pt>
                <c:pt idx="7">
                  <c:v>44117.698564120372</c:v>
                </c:pt>
                <c:pt idx="8">
                  <c:v>44120.698564120372</c:v>
                </c:pt>
                <c:pt idx="9">
                  <c:v>44123.698564120372</c:v>
                </c:pt>
                <c:pt idx="10">
                  <c:v>44126.698564120372</c:v>
                </c:pt>
                <c:pt idx="11">
                  <c:v>44129.698564120372</c:v>
                </c:pt>
                <c:pt idx="12">
                  <c:v>44132.698564120372</c:v>
                </c:pt>
                <c:pt idx="13">
                  <c:v>44135.698564120372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Projections!$P$45:$AP$45</c15:sqref>
                  </c15:fullRef>
                </c:ext>
              </c:extLst>
              <c:f>Projections!$P$45:$AK$45</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21587499.783196583</c:v>
                </c:pt>
                <c:pt idx="19">
                  <c:v>22674214.033774186</c:v>
                </c:pt>
                <c:pt idx="20">
                  <c:v>30636777.575609867</c:v>
                </c:pt>
                <c:pt idx="21">
                  <c:v>47004683.981215782</c:v>
                </c:pt>
              </c:numCache>
            </c:numRef>
          </c:val>
          <c:smooth val="0"/>
          <c:extLst>
            <c:ext xmlns:c16="http://schemas.microsoft.com/office/drawing/2014/chart" uri="{C3380CC4-5D6E-409C-BE32-E72D297353CC}">
              <c16:uniqueId val="{00000003-5231-4BE2-97ED-54F0C3DB105C}"/>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Projections!$P$46:$AP$46</c15:sqref>
                  </c15:fullRef>
                </c:ext>
              </c:extLst>
              <c:f>Projections!$P$46:$AK$46</c:f>
              <c:numCache>
                <c:formatCode>#,##0_ ;[Red]\-#,##0\ </c:formatCode>
                <c:ptCount val="22"/>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17227495.424950056</c:v>
                </c:pt>
                <c:pt idx="19">
                  <c:v>17188729.309368558</c:v>
                </c:pt>
                <c:pt idx="20">
                  <c:v>22229098.01927815</c:v>
                </c:pt>
                <c:pt idx="21">
                  <c:v>32853404.396388024</c:v>
                </c:pt>
              </c:numCache>
            </c:numRef>
          </c:val>
          <c:smooth val="0"/>
          <c:extLst>
            <c:ext xmlns:c16="http://schemas.microsoft.com/office/drawing/2014/chart" uri="{C3380CC4-5D6E-409C-BE32-E72D297353CC}">
              <c16:uniqueId val="{00000002-9381-4A4E-BB43-DCD8EC2F4E00}"/>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Projections!$P$47:$AP$47</c15:sqref>
                  </c15:fullRef>
                </c:ext>
              </c:extLst>
              <c:f>Projections!$P$47:$AK$47</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3622402.1251440034</c:v>
                </c:pt>
                <c:pt idx="19">
                  <c:v>4154332.0277997837</c:v>
                </c:pt>
                <c:pt idx="20">
                  <c:v>5923647.1915277531</c:v>
                </c:pt>
                <c:pt idx="21">
                  <c:v>9425180.1812708918</c:v>
                </c:pt>
              </c:numCache>
            </c:numRef>
          </c:val>
          <c:smooth val="0"/>
          <c:extLst>
            <c:ext xmlns:c16="http://schemas.microsoft.com/office/drawing/2014/chart" uri="{C3380CC4-5D6E-409C-BE32-E72D297353CC}">
              <c16:uniqueId val="{00000000-9381-4A4E-BB43-DCD8EC2F4E00}"/>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Projections!$P$48:$AP$48</c15:sqref>
                  </c15:fullRef>
                </c:ext>
              </c:extLst>
              <c:f>Projections!$P$48:$AK$48</c:f>
              <c:numCache>
                <c:formatCode>#,##0_ ;[Red]\-#,##0\ </c:formatCode>
                <c:ptCount val="22"/>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2683262.0114808362</c:v>
                </c:pt>
                <c:pt idx="19">
                  <c:v>2752296.9496492799</c:v>
                </c:pt>
                <c:pt idx="20">
                  <c:v>3574131.8973493748</c:v>
                </c:pt>
                <c:pt idx="21">
                  <c:v>5255660.5428599622</c:v>
                </c:pt>
              </c:numCache>
            </c:numRef>
          </c:val>
          <c:smooth val="0"/>
          <c:extLst>
            <c:ext xmlns:c16="http://schemas.microsoft.com/office/drawing/2014/chart" uri="{C3380CC4-5D6E-409C-BE32-E72D297353CC}">
              <c16:uniqueId val="{00000003-9381-4A4E-BB43-DCD8EC2F4E00}"/>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Projections!$P$49:$AP$49</c15:sqref>
                  </c15:fullRef>
                </c:ext>
              </c:extLst>
              <c:f>Projections!$P$49:$AK$49</c:f>
              <c:numCache>
                <c:formatCode>#,##0_ ;[Red]\-#,##0\ </c:formatCode>
                <c:ptCount val="22"/>
                <c:pt idx="0">
                  <c:v>0.546875</c:v>
                </c:pt>
                <c:pt idx="1">
                  <c:v>1.09375</c:v>
                </c:pt>
                <c:pt idx="2">
                  <c:v>2.1875</c:v>
                </c:pt>
                <c:pt idx="3">
                  <c:v>4.375</c:v>
                </c:pt>
                <c:pt idx="4">
                  <c:v>8.75</c:v>
                </c:pt>
                <c:pt idx="5">
                  <c:v>17.5</c:v>
                </c:pt>
                <c:pt idx="6">
                  <c:v>35</c:v>
                </c:pt>
                <c:pt idx="7">
                  <c:v>70</c:v>
                </c:pt>
                <c:pt idx="8">
                  <c:v>140</c:v>
                </c:pt>
                <c:pt idx="9">
                  <c:v>280</c:v>
                </c:pt>
                <c:pt idx="10">
                  <c:v>560</c:v>
                </c:pt>
                <c:pt idx="11">
                  <c:v>1120</c:v>
                </c:pt>
                <c:pt idx="12">
                  <c:v>2240</c:v>
                </c:pt>
                <c:pt idx="13">
                  <c:v>4480</c:v>
                </c:pt>
                <c:pt idx="14">
                  <c:v>8960</c:v>
                </c:pt>
                <c:pt idx="15">
                  <c:v>17920</c:v>
                </c:pt>
                <c:pt idx="16">
                  <c:v>35840</c:v>
                </c:pt>
                <c:pt idx="17">
                  <c:v>71680</c:v>
                </c:pt>
                <c:pt idx="18">
                  <c:v>143360</c:v>
                </c:pt>
                <c:pt idx="19">
                  <c:v>286720</c:v>
                </c:pt>
                <c:pt idx="20">
                  <c:v>573440</c:v>
                </c:pt>
                <c:pt idx="21">
                  <c:v>1146880</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Projections!$A$67</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Projections!$P$67:$AP$67</c15:sqref>
                  </c15:fullRef>
                </c:ext>
              </c:extLst>
              <c:f>Projections!$P$67:$AK$67</c:f>
              <c:numCache>
                <c:formatCode>#,##0</c:formatCode>
                <c:ptCount val="22"/>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pt idx="19">
                  <c:v>163840</c:v>
                </c:pt>
                <c:pt idx="20">
                  <c:v>327680</c:v>
                </c:pt>
                <c:pt idx="21">
                  <c:v>655360</c:v>
                </c:pt>
              </c:numCache>
            </c:numRef>
          </c:val>
          <c:smooth val="0"/>
          <c:extLst>
            <c:ext xmlns:c16="http://schemas.microsoft.com/office/drawing/2014/chart" uri="{C3380CC4-5D6E-409C-BE32-E72D297353CC}">
              <c16:uniqueId val="{00000000-04B6-450D-AD81-6BF382C059D1}"/>
            </c:ext>
          </c:extLst>
        </c:ser>
        <c:ser>
          <c:idx val="2"/>
          <c:order val="1"/>
          <c:tx>
            <c:strRef>
              <c:f>Projections!$A$69</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Projections!$P$69:$AP$69</c15:sqref>
                  </c15:fullRef>
                </c:ext>
              </c:extLst>
              <c:f>Projections!$P$69:$AK$69</c:f>
              <c:numCache>
                <c:formatCode>#,##0</c:formatCode>
                <c:ptCount val="22"/>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pt idx="19">
                  <c:v>475136</c:v>
                </c:pt>
                <c:pt idx="20">
                  <c:v>950272</c:v>
                </c:pt>
                <c:pt idx="21">
                  <c:v>1900544</c:v>
                </c:pt>
              </c:numCache>
            </c:numRef>
          </c:val>
          <c:smooth val="0"/>
          <c:extLst>
            <c:ext xmlns:c16="http://schemas.microsoft.com/office/drawing/2014/chart" uri="{C3380CC4-5D6E-409C-BE32-E72D297353CC}">
              <c16:uniqueId val="{00000002-04B6-450D-AD81-6BF382C059D1}"/>
            </c:ext>
          </c:extLst>
        </c:ser>
        <c:ser>
          <c:idx val="4"/>
          <c:order val="2"/>
          <c:tx>
            <c:strRef>
              <c:f>Projections!$A$71</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Projections!$P$71:$AP$71</c15:sqref>
                  </c15:fullRef>
                </c:ext>
              </c:extLst>
              <c:f>Projections!$P$71:$AK$71</c:f>
              <c:numCache>
                <c:formatCode>#,##0</c:formatCode>
                <c:ptCount val="22"/>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pt idx="19">
                  <c:v>1982464</c:v>
                </c:pt>
                <c:pt idx="20">
                  <c:v>3964928</c:v>
                </c:pt>
                <c:pt idx="21">
                  <c:v>7929856</c:v>
                </c:pt>
              </c:numCache>
            </c:numRef>
          </c:val>
          <c:smooth val="0"/>
          <c:extLst>
            <c:ext xmlns:c16="http://schemas.microsoft.com/office/drawing/2014/chart" uri="{C3380CC4-5D6E-409C-BE32-E72D297353CC}">
              <c16:uniqueId val="{00000004-04B6-450D-AD81-6BF382C059D1}"/>
            </c:ext>
          </c:extLst>
        </c:ser>
        <c:ser>
          <c:idx val="6"/>
          <c:order val="3"/>
          <c:tx>
            <c:strRef>
              <c:f>Projections!$A$73</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Projections!$P$73:$AP$73</c15:sqref>
                  </c15:fullRef>
                </c:ext>
              </c:extLst>
              <c:f>Projections!$P$73:$AK$73</c:f>
              <c:numCache>
                <c:formatCode>#,##0</c:formatCode>
                <c:ptCount val="22"/>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pt idx="19">
                  <c:v>2605056</c:v>
                </c:pt>
                <c:pt idx="20">
                  <c:v>5210112</c:v>
                </c:pt>
                <c:pt idx="21">
                  <c:v>10420224</c:v>
                </c:pt>
              </c:numCache>
            </c:numRef>
          </c:val>
          <c:smooth val="0"/>
          <c:extLst>
            <c:ext xmlns:c16="http://schemas.microsoft.com/office/drawing/2014/chart" uri="{C3380CC4-5D6E-409C-BE32-E72D297353CC}">
              <c16:uniqueId val="{00000006-04B6-450D-AD81-6BF382C059D1}"/>
            </c:ext>
          </c:extLst>
        </c:ser>
        <c:ser>
          <c:idx val="8"/>
          <c:order val="4"/>
          <c:tx>
            <c:strRef>
              <c:f>Projections!$A$75</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Projections!$P$75:$AP$75</c15:sqref>
                  </c15:fullRef>
                </c:ext>
              </c:extLst>
              <c:f>Projections!$P$75:$AK$75</c:f>
              <c:numCache>
                <c:formatCode>#,##0</c:formatCode>
                <c:ptCount val="22"/>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pt idx="19">
                  <c:v>2801664</c:v>
                </c:pt>
                <c:pt idx="20">
                  <c:v>5603328</c:v>
                </c:pt>
                <c:pt idx="21">
                  <c:v>11206656</c:v>
                </c:pt>
              </c:numCache>
            </c:numRef>
          </c:val>
          <c:smooth val="0"/>
          <c:extLst>
            <c:ext xmlns:c16="http://schemas.microsoft.com/office/drawing/2014/chart" uri="{C3380CC4-5D6E-409C-BE32-E72D297353CC}">
              <c16:uniqueId val="{00000008-04B6-450D-AD81-6BF382C059D1}"/>
            </c:ext>
          </c:extLst>
        </c:ser>
        <c:ser>
          <c:idx val="10"/>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Projections!$P$77:$AP$77</c15:sqref>
                  </c15:fullRef>
                </c:ext>
              </c:extLst>
              <c:f>Projections!$P$77:$AK$77</c:f>
              <c:numCache>
                <c:formatCode>#,##0</c:formatCode>
                <c:ptCount val="22"/>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pt idx="19">
                  <c:v>3588096</c:v>
                </c:pt>
                <c:pt idx="20">
                  <c:v>7176192</c:v>
                </c:pt>
                <c:pt idx="21">
                  <c:v>14352384</c:v>
                </c:pt>
              </c:numCache>
            </c:numRef>
          </c:val>
          <c:smooth val="0"/>
          <c:extLst>
            <c:ext xmlns:c16="http://schemas.microsoft.com/office/drawing/2014/chart" uri="{C3380CC4-5D6E-409C-BE32-E72D297353CC}">
              <c16:uniqueId val="{0000000A-04B6-450D-AD81-6BF382C059D1}"/>
            </c:ext>
          </c:extLst>
        </c:ser>
        <c:ser>
          <c:idx val="12"/>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Projections!$P$79:$AP$79</c15:sqref>
                  </c15:fullRef>
                </c:ext>
              </c:extLst>
              <c:f>Projections!$P$79:$AK$79</c:f>
              <c:numCache>
                <c:formatCode>#,##0</c:formatCode>
                <c:ptCount val="22"/>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pt idx="19">
                  <c:v>3801088</c:v>
                </c:pt>
                <c:pt idx="20">
                  <c:v>7602176</c:v>
                </c:pt>
                <c:pt idx="21">
                  <c:v>15204352</c:v>
                </c:pt>
              </c:numCache>
            </c:numRef>
          </c:val>
          <c:smooth val="0"/>
          <c:extLst>
            <c:ext xmlns:c16="http://schemas.microsoft.com/office/drawing/2014/chart" uri="{C3380CC4-5D6E-409C-BE32-E72D297353CC}">
              <c16:uniqueId val="{0000000C-04B6-450D-AD81-6BF382C059D1}"/>
            </c:ext>
          </c:extLst>
        </c:ser>
        <c:ser>
          <c:idx val="14"/>
          <c:order val="7"/>
          <c:tx>
            <c:strRef>
              <c:f>Projections!$A$81</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Projections!$P$81:$AP$81</c15:sqref>
                  </c15:fullRef>
                </c:ext>
              </c:extLst>
              <c:f>Projections!$P$81:$AK$81</c:f>
              <c:numCache>
                <c:formatCode>#,##0</c:formatCode>
                <c:ptCount val="22"/>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pt idx="19">
                  <c:v>622592</c:v>
                </c:pt>
                <c:pt idx="20">
                  <c:v>1245184</c:v>
                </c:pt>
                <c:pt idx="21">
                  <c:v>2490368</c:v>
                </c:pt>
              </c:numCache>
            </c:numRef>
          </c:val>
          <c:smooth val="0"/>
          <c:extLst>
            <c:ext xmlns:c16="http://schemas.microsoft.com/office/drawing/2014/chart" uri="{C3380CC4-5D6E-409C-BE32-E72D297353CC}">
              <c16:uniqueId val="{0000000E-04B6-450D-AD81-6BF382C059D1}"/>
            </c:ext>
          </c:extLst>
        </c:ser>
        <c:ser>
          <c:idx val="16"/>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Projections!$P$83:$AP$83</c15:sqref>
                  </c15:fullRef>
                </c:ext>
              </c:extLst>
              <c:f>Projections!$P$83:$AK$83</c:f>
              <c:numCache>
                <c:formatCode>#,##0</c:formatCode>
                <c:ptCount val="22"/>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pt idx="19">
                  <c:v>344064</c:v>
                </c:pt>
                <c:pt idx="20">
                  <c:v>688128</c:v>
                </c:pt>
                <c:pt idx="21">
                  <c:v>1376256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Projections!$A$67</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Projections!$P$68:$AP$68</c15:sqref>
                  </c15:fullRef>
                </c:ext>
              </c:extLst>
              <c:f>Projections!$P$68:$AK$68</c:f>
              <c:numCache>
                <c:formatCode>#,##0</c:formatCode>
                <c:ptCount val="22"/>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pt idx="19">
                  <c:v>24248.32</c:v>
                </c:pt>
                <c:pt idx="20">
                  <c:v>48496.639999999999</c:v>
                </c:pt>
                <c:pt idx="21">
                  <c:v>96993.279999999999</c:v>
                </c:pt>
              </c:numCache>
            </c:numRef>
          </c:val>
          <c:smooth val="0"/>
          <c:extLst>
            <c:ext xmlns:c16="http://schemas.microsoft.com/office/drawing/2014/chart" uri="{C3380CC4-5D6E-409C-BE32-E72D297353CC}">
              <c16:uniqueId val="{00000001-EBAD-48A5-9277-83F388186C0C}"/>
            </c:ext>
          </c:extLst>
        </c:ser>
        <c:ser>
          <c:idx val="3"/>
          <c:order val="1"/>
          <c:tx>
            <c:strRef>
              <c:f>Projections!$A$69</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Projections!$P$70:$AP$70</c15:sqref>
                  </c15:fullRef>
                </c:ext>
              </c:extLst>
              <c:f>Projections!$P$70:$AK$70</c:f>
              <c:numCache>
                <c:formatCode>#,##0</c:formatCode>
                <c:ptCount val="22"/>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pt idx="19">
                  <c:v>38010.879999999997</c:v>
                </c:pt>
                <c:pt idx="20">
                  <c:v>76021.759999999995</c:v>
                </c:pt>
                <c:pt idx="21">
                  <c:v>152043.51999999999</c:v>
                </c:pt>
              </c:numCache>
            </c:numRef>
          </c:val>
          <c:smooth val="0"/>
          <c:extLst>
            <c:ext xmlns:c16="http://schemas.microsoft.com/office/drawing/2014/chart" uri="{C3380CC4-5D6E-409C-BE32-E72D297353CC}">
              <c16:uniqueId val="{00000003-EBAD-48A5-9277-83F388186C0C}"/>
            </c:ext>
          </c:extLst>
        </c:ser>
        <c:ser>
          <c:idx val="5"/>
          <c:order val="2"/>
          <c:tx>
            <c:strRef>
              <c:f>Projections!$A$71</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Projections!$P$72:$AP$72</c15:sqref>
                  </c15:fullRef>
                </c:ext>
              </c:extLst>
              <c:f>Projections!$P$72:$AK$72</c:f>
              <c:numCache>
                <c:formatCode>#,##0</c:formatCode>
                <c:ptCount val="22"/>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pt idx="19">
                  <c:v>71368.703999999998</c:v>
                </c:pt>
                <c:pt idx="20">
                  <c:v>142737.408</c:v>
                </c:pt>
                <c:pt idx="21">
                  <c:v>285474.81599999999</c:v>
                </c:pt>
              </c:numCache>
            </c:numRef>
          </c:val>
          <c:smooth val="0"/>
          <c:extLst>
            <c:ext xmlns:c16="http://schemas.microsoft.com/office/drawing/2014/chart" uri="{C3380CC4-5D6E-409C-BE32-E72D297353CC}">
              <c16:uniqueId val="{00000005-EBAD-48A5-9277-83F388186C0C}"/>
            </c:ext>
          </c:extLst>
        </c:ser>
        <c:ser>
          <c:idx val="7"/>
          <c:order val="3"/>
          <c:tx>
            <c:strRef>
              <c:f>Projections!$A$73</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Projections!$P$74:$AP$74</c15:sqref>
                  </c15:fullRef>
                </c:ext>
              </c:extLst>
              <c:f>Projections!$P$74:$AK$74</c:f>
              <c:numCache>
                <c:formatCode>#,##0</c:formatCode>
                <c:ptCount val="22"/>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pt idx="19">
                  <c:v>33865.727999999996</c:v>
                </c:pt>
                <c:pt idx="20">
                  <c:v>67731.455999999991</c:v>
                </c:pt>
                <c:pt idx="21">
                  <c:v>135462.91199999998</c:v>
                </c:pt>
              </c:numCache>
            </c:numRef>
          </c:val>
          <c:smooth val="0"/>
          <c:extLst>
            <c:ext xmlns:c16="http://schemas.microsoft.com/office/drawing/2014/chart" uri="{C3380CC4-5D6E-409C-BE32-E72D297353CC}">
              <c16:uniqueId val="{00000007-EBAD-48A5-9277-83F388186C0C}"/>
            </c:ext>
          </c:extLst>
        </c:ser>
        <c:ser>
          <c:idx val="9"/>
          <c:order val="4"/>
          <c:tx>
            <c:strRef>
              <c:f>Projections!$A$75</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Projections!$P$76:$AP$76</c15:sqref>
                  </c15:fullRef>
                </c:ext>
              </c:extLst>
              <c:f>Projections!$P$76:$AK$76</c:f>
              <c:numCache>
                <c:formatCode>#,##0</c:formatCode>
                <c:ptCount val="22"/>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pt idx="19">
                  <c:v>11206.656000000001</c:v>
                </c:pt>
                <c:pt idx="20">
                  <c:v>22413.312000000002</c:v>
                </c:pt>
                <c:pt idx="21">
                  <c:v>44826.624000000003</c:v>
                </c:pt>
              </c:numCache>
            </c:numRef>
          </c:val>
          <c:smooth val="0"/>
          <c:extLst>
            <c:ext xmlns:c16="http://schemas.microsoft.com/office/drawing/2014/chart" uri="{C3380CC4-5D6E-409C-BE32-E72D297353CC}">
              <c16:uniqueId val="{00000009-EBAD-48A5-9277-83F388186C0C}"/>
            </c:ext>
          </c:extLst>
        </c:ser>
        <c:ser>
          <c:idx val="11"/>
          <c:order val="5"/>
          <c:tx>
            <c:strRef>
              <c:f>Projections!$A$77</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Projections!$P$78:$AP$78</c15:sqref>
                  </c15:fullRef>
                </c:ext>
              </c:extLst>
              <c:f>Projections!$P$78:$AK$78</c:f>
              <c:numCache>
                <c:formatCode>#,##0</c:formatCode>
                <c:ptCount val="22"/>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pt idx="19">
                  <c:v>7176.192</c:v>
                </c:pt>
                <c:pt idx="20">
                  <c:v>14352.384</c:v>
                </c:pt>
                <c:pt idx="21">
                  <c:v>28704.768</c:v>
                </c:pt>
              </c:numCache>
            </c:numRef>
          </c:val>
          <c:smooth val="0"/>
          <c:extLst>
            <c:ext xmlns:c16="http://schemas.microsoft.com/office/drawing/2014/chart" uri="{C3380CC4-5D6E-409C-BE32-E72D297353CC}">
              <c16:uniqueId val="{0000000B-EBAD-48A5-9277-83F388186C0C}"/>
            </c:ext>
          </c:extLst>
        </c:ser>
        <c:ser>
          <c:idx val="13"/>
          <c:order val="6"/>
          <c:tx>
            <c:strRef>
              <c:f>Projections!$A$79</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Projections!$P$80:$AP$80</c15:sqref>
                  </c15:fullRef>
                </c:ext>
              </c:extLst>
              <c:f>Projections!$P$80:$AK$80</c:f>
              <c:numCache>
                <c:formatCode>#,##0</c:formatCode>
                <c:ptCount val="22"/>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pt idx="19">
                  <c:v>7602.1760000000004</c:v>
                </c:pt>
                <c:pt idx="20">
                  <c:v>15204.352000000001</c:v>
                </c:pt>
                <c:pt idx="21">
                  <c:v>30408.704000000002</c:v>
                </c:pt>
              </c:numCache>
            </c:numRef>
          </c:val>
          <c:smooth val="0"/>
          <c:extLst>
            <c:ext xmlns:c16="http://schemas.microsoft.com/office/drawing/2014/chart" uri="{C3380CC4-5D6E-409C-BE32-E72D297353CC}">
              <c16:uniqueId val="{0000000D-EBAD-48A5-9277-83F388186C0C}"/>
            </c:ext>
          </c:extLst>
        </c:ser>
        <c:ser>
          <c:idx val="15"/>
          <c:order val="7"/>
          <c:tx>
            <c:strRef>
              <c:f>Projections!$A$81</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Projections!$P$82:$AP$82</c15:sqref>
                  </c15:fullRef>
                </c:ext>
              </c:extLst>
              <c:f>Projections!$P$82:$AK$82</c:f>
              <c:numCache>
                <c:formatCode>#,##0</c:formatCode>
                <c:ptCount val="22"/>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pt idx="19">
                  <c:v>1245.184</c:v>
                </c:pt>
                <c:pt idx="20">
                  <c:v>2490.3679999999999</c:v>
                </c:pt>
                <c:pt idx="21">
                  <c:v>4980.7359999999999</c:v>
                </c:pt>
              </c:numCache>
            </c:numRef>
          </c:val>
          <c:smooth val="0"/>
          <c:extLst>
            <c:ext xmlns:c16="http://schemas.microsoft.com/office/drawing/2014/chart" uri="{C3380CC4-5D6E-409C-BE32-E72D297353CC}">
              <c16:uniqueId val="{0000000F-EBAD-48A5-9277-83F388186C0C}"/>
            </c:ext>
          </c:extLst>
        </c:ser>
        <c:ser>
          <c:idx val="17"/>
          <c:order val="8"/>
          <c:tx>
            <c:strRef>
              <c:f>Projections!$A$83</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Projections!$P$84:$AP$84</c15:sqref>
                  </c15:fullRef>
                </c:ext>
              </c:extLst>
              <c:f>Projections!$P$84:$AK$84</c:f>
              <c:numCache>
                <c:formatCode>#,##0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Projections!$P$96:$AP$96</c15:sqref>
                  </c15:fullRef>
                </c:ext>
              </c:extLst>
              <c:f>Projections!$P$96:$AK$96</c:f>
              <c:numCache>
                <c:formatCode>#,##0</c:formatCode>
                <c:ptCount val="22"/>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2441216</c:v>
                </c:pt>
                <c:pt idx="19">
                  <c:v>4882432</c:v>
                </c:pt>
                <c:pt idx="20">
                  <c:v>9764864</c:v>
                </c:pt>
                <c:pt idx="21">
                  <c:v>19529728</c:v>
                </c:pt>
              </c:numCache>
            </c:numRef>
          </c:val>
          <c:smooth val="0"/>
          <c:extLst>
            <c:ext xmlns:c16="http://schemas.microsoft.com/office/drawing/2014/chart" uri="{C3380CC4-5D6E-409C-BE32-E72D297353CC}">
              <c16:uniqueId val="{0000001E-05DD-4DD4-A5B5-12D162507280}"/>
            </c:ext>
          </c:extLst>
        </c:ser>
        <c:ser>
          <c:idx val="4"/>
          <c:order val="1"/>
          <c:tx>
            <c:strRef>
              <c:f>Projections!$A$94</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Projections!$P$94:$AP$94</c15:sqref>
                  </c15:fullRef>
                </c:ext>
              </c:extLst>
              <c:f>Projections!$P$94:$AK$94</c:f>
              <c:numCache>
                <c:formatCode>#,##0</c:formatCode>
                <c:ptCount val="22"/>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pt idx="19">
                  <c:v>3276800</c:v>
                </c:pt>
                <c:pt idx="20">
                  <c:v>6553600</c:v>
                </c:pt>
                <c:pt idx="21">
                  <c:v>13107200</c:v>
                </c:pt>
              </c:numCache>
            </c:numRef>
          </c:val>
          <c:smooth val="0"/>
          <c:extLst>
            <c:ext xmlns:c16="http://schemas.microsoft.com/office/drawing/2014/chart" uri="{C3380CC4-5D6E-409C-BE32-E72D297353CC}">
              <c16:uniqueId val="{0000001C-05DD-4DD4-A5B5-12D162507280}"/>
            </c:ext>
          </c:extLst>
        </c:ser>
        <c:ser>
          <c:idx val="10"/>
          <c:order val="2"/>
          <c:tx>
            <c:strRef>
              <c:f>Projections!$A$100</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Projections!$P$100:$AP$100</c15:sqref>
                  </c15:fullRef>
                </c:ext>
              </c:extLst>
              <c:f>Projections!$P$100:$AK$100</c:f>
              <c:numCache>
                <c:formatCode>#,##0</c:formatCode>
                <c:ptCount val="22"/>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1146880</c:v>
                </c:pt>
                <c:pt idx="19">
                  <c:v>2293760</c:v>
                </c:pt>
                <c:pt idx="20">
                  <c:v>4587520</c:v>
                </c:pt>
                <c:pt idx="21">
                  <c:v>9175040</c:v>
                </c:pt>
              </c:numCache>
            </c:numRef>
          </c:val>
          <c:smooth val="0"/>
          <c:extLst>
            <c:ext xmlns:c16="http://schemas.microsoft.com/office/drawing/2014/chart" uri="{C3380CC4-5D6E-409C-BE32-E72D297353CC}">
              <c16:uniqueId val="{00000022-05DD-4DD4-A5B5-12D162507280}"/>
            </c:ext>
          </c:extLst>
        </c:ser>
        <c:ser>
          <c:idx val="0"/>
          <c:order val="3"/>
          <c:tx>
            <c:strRef>
              <c:f>Projections!$A$90</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Projections!$P$90:$AP$90</c15:sqref>
                  </c15:fullRef>
                </c:ext>
              </c:extLst>
              <c:f>Projections!$P$90:$AK$90</c:f>
              <c:numCache>
                <c:formatCode>#,##0</c:formatCode>
                <c:ptCount val="22"/>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319488</c:v>
                </c:pt>
                <c:pt idx="19">
                  <c:v>638976</c:v>
                </c:pt>
                <c:pt idx="20">
                  <c:v>1277952</c:v>
                </c:pt>
                <c:pt idx="21">
                  <c:v>2555904</c:v>
                </c:pt>
              </c:numCache>
            </c:numRef>
          </c:val>
          <c:smooth val="0"/>
          <c:extLst>
            <c:ext xmlns:c16="http://schemas.microsoft.com/office/drawing/2014/chart" uri="{C3380CC4-5D6E-409C-BE32-E72D297353CC}">
              <c16:uniqueId val="{00000018-05DD-4DD4-A5B5-12D162507280}"/>
            </c:ext>
          </c:extLst>
        </c:ser>
        <c:ser>
          <c:idx val="2"/>
          <c:order val="4"/>
          <c:tx>
            <c:strRef>
              <c:f>Projections!$A$92</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Projections!$P$92:$AP$92</c15:sqref>
                  </c15:fullRef>
                </c:ext>
              </c:extLst>
              <c:f>Projections!$P$92:$AK$92</c:f>
              <c:numCache>
                <c:formatCode>#,##0</c:formatCode>
                <c:ptCount val="22"/>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729088</c:v>
                </c:pt>
                <c:pt idx="19">
                  <c:v>1458176</c:v>
                </c:pt>
                <c:pt idx="20">
                  <c:v>2916352</c:v>
                </c:pt>
                <c:pt idx="21">
                  <c:v>5832704</c:v>
                </c:pt>
              </c:numCache>
            </c:numRef>
          </c:val>
          <c:smooth val="0"/>
          <c:extLst>
            <c:ext xmlns:c16="http://schemas.microsoft.com/office/drawing/2014/chart" uri="{C3380CC4-5D6E-409C-BE32-E72D297353CC}">
              <c16:uniqueId val="{0000001A-05DD-4DD4-A5B5-12D162507280}"/>
            </c:ext>
          </c:extLst>
        </c:ser>
        <c:ser>
          <c:idx val="8"/>
          <c:order val="5"/>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Projections!$P$98:$AP$98</c15:sqref>
                  </c15:fullRef>
                </c:ext>
              </c:extLst>
              <c:f>Projections!$P$98:$AK$98</c:f>
              <c:numCache>
                <c:formatCode>#,##0</c:formatCode>
                <c:ptCount val="22"/>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7782.4</c:v>
                </c:pt>
                <c:pt idx="19">
                  <c:v>15564.8</c:v>
                </c:pt>
                <c:pt idx="20">
                  <c:v>31129.599999999999</c:v>
                </c:pt>
                <c:pt idx="21">
                  <c:v>62259.199999999997</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Projections!$A$96</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Projections!$P$97:$AP$97</c15:sqref>
                  </c15:fullRef>
                </c:ext>
              </c:extLst>
              <c:f>Projections!$P$97:$AK$97</c:f>
              <c:numCache>
                <c:formatCode>#,##0</c:formatCode>
                <c:ptCount val="22"/>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146472.95999999999</c:v>
                </c:pt>
                <c:pt idx="19">
                  <c:v>292945.91999999998</c:v>
                </c:pt>
                <c:pt idx="20">
                  <c:v>585891.83999999997</c:v>
                </c:pt>
                <c:pt idx="21">
                  <c:v>1171783.6799999999</c:v>
                </c:pt>
              </c:numCache>
            </c:numRef>
          </c:val>
          <c:smooth val="0"/>
          <c:extLst>
            <c:ext xmlns:c16="http://schemas.microsoft.com/office/drawing/2014/chart" uri="{C3380CC4-5D6E-409C-BE32-E72D297353CC}">
              <c16:uniqueId val="{00000007-65B4-47F9-9B97-64FB989C8893}"/>
            </c:ext>
          </c:extLst>
        </c:ser>
        <c:ser>
          <c:idx val="5"/>
          <c:order val="1"/>
          <c:tx>
            <c:strRef>
              <c:f>Projections!$A$94</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Projections!$P$95:$AP$95</c15:sqref>
                  </c15:fullRef>
                </c:ext>
              </c:extLst>
              <c:f>Projections!$P$95:$AK$95</c:f>
              <c:numCache>
                <c:formatCode>#,##0</c:formatCode>
                <c:ptCount val="22"/>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pt idx="19">
                  <c:v>206438.39999999999</c:v>
                </c:pt>
                <c:pt idx="20">
                  <c:v>412876.79999999999</c:v>
                </c:pt>
                <c:pt idx="21">
                  <c:v>825753.59999999998</c:v>
                </c:pt>
              </c:numCache>
            </c:numRef>
          </c:val>
          <c:smooth val="0"/>
          <c:extLst>
            <c:ext xmlns:c16="http://schemas.microsoft.com/office/drawing/2014/chart" uri="{C3380CC4-5D6E-409C-BE32-E72D297353CC}">
              <c16:uniqueId val="{00000005-65B4-47F9-9B97-64FB989C8893}"/>
            </c:ext>
          </c:extLst>
        </c:ser>
        <c:ser>
          <c:idx val="1"/>
          <c:order val="2"/>
          <c:tx>
            <c:strRef>
              <c:f>Projections!$A$90</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Projections!$P$91:$AP$91</c15:sqref>
                  </c15:fullRef>
                </c:ext>
              </c:extLst>
              <c:f>Projections!$P$91:$AK$91</c:f>
              <c:numCache>
                <c:formatCode>#,##0</c:formatCode>
                <c:ptCount val="22"/>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33546.239999999998</c:v>
                </c:pt>
                <c:pt idx="19">
                  <c:v>67092.479999999996</c:v>
                </c:pt>
                <c:pt idx="20">
                  <c:v>134184.95999999999</c:v>
                </c:pt>
                <c:pt idx="21">
                  <c:v>268369.91999999998</c:v>
                </c:pt>
              </c:numCache>
            </c:numRef>
          </c:val>
          <c:smooth val="0"/>
          <c:extLst>
            <c:ext xmlns:c16="http://schemas.microsoft.com/office/drawing/2014/chart" uri="{C3380CC4-5D6E-409C-BE32-E72D297353CC}">
              <c16:uniqueId val="{00000001-65B4-47F9-9B97-64FB989C8893}"/>
            </c:ext>
          </c:extLst>
        </c:ser>
        <c:ser>
          <c:idx val="3"/>
          <c:order val="3"/>
          <c:tx>
            <c:strRef>
              <c:f>Projections!$A$92</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Projections!$P$93:$AP$93</c15:sqref>
                  </c15:fullRef>
                </c:ext>
              </c:extLst>
              <c:f>Projections!$P$93:$AK$93</c:f>
              <c:numCache>
                <c:formatCode>#,##0</c:formatCode>
                <c:ptCount val="22"/>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53223.423999999999</c:v>
                </c:pt>
                <c:pt idx="19">
                  <c:v>106446.848</c:v>
                </c:pt>
                <c:pt idx="20">
                  <c:v>212893.696</c:v>
                </c:pt>
                <c:pt idx="21">
                  <c:v>425787.39199999999</c:v>
                </c:pt>
              </c:numCache>
            </c:numRef>
          </c:val>
          <c:smooth val="0"/>
          <c:extLst>
            <c:ext xmlns:c16="http://schemas.microsoft.com/office/drawing/2014/chart" uri="{C3380CC4-5D6E-409C-BE32-E72D297353CC}">
              <c16:uniqueId val="{00000003-65B4-47F9-9B97-64FB989C8893}"/>
            </c:ext>
          </c:extLst>
        </c:ser>
        <c:ser>
          <c:idx val="9"/>
          <c:order val="4"/>
          <c:tx>
            <c:strRef>
              <c:f>Projections!$A$98</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Projections!$P$34:$AP$34</c15:sqref>
                  </c15:fullRef>
                </c:ext>
              </c:extLst>
              <c:f>Projections!$P$34:$AK$34</c:f>
              <c:numCache>
                <c:formatCode>m/d/yyyy</c:formatCode>
                <c:ptCount val="22"/>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44137</c:v>
                </c:pt>
                <c:pt idx="19">
                  <c:v>44195</c:v>
                </c:pt>
                <c:pt idx="20">
                  <c:v>44253</c:v>
                </c:pt>
                <c:pt idx="21">
                  <c:v>44311</c:v>
                </c:pt>
              </c:numCache>
            </c:numRef>
          </c:cat>
          <c:val>
            <c:numRef>
              <c:extLst>
                <c:ext xmlns:c15="http://schemas.microsoft.com/office/drawing/2012/chart" uri="{02D57815-91ED-43cb-92C2-25804820EDAC}">
                  <c15:fullRef>
                    <c15:sqref>Projections!$P$99:$AP$99</c15:sqref>
                  </c15:fullRef>
                </c:ext>
              </c:extLst>
              <c:f>Projections!$P$99:$AK$99</c:f>
              <c:numCache>
                <c:formatCode>#,##0</c:formatCode>
                <c:ptCount val="22"/>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435.81439999999998</c:v>
                </c:pt>
                <c:pt idx="19">
                  <c:v>871.62879999999996</c:v>
                </c:pt>
                <c:pt idx="20">
                  <c:v>1743.2575999999999</c:v>
                </c:pt>
                <c:pt idx="21">
                  <c:v>3486.5151999999998</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43</xdr:col>
      <xdr:colOff>723901</xdr:colOff>
      <xdr:row>32</xdr:row>
      <xdr:rowOff>157162</xdr:rowOff>
    </xdr:from>
    <xdr:to>
      <xdr:col>55</xdr:col>
      <xdr:colOff>576263</xdr:colOff>
      <xdr:row>64</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712643</xdr:colOff>
      <xdr:row>104</xdr:row>
      <xdr:rowOff>172501</xdr:rowOff>
    </xdr:from>
    <xdr:to>
      <xdr:col>55</xdr:col>
      <xdr:colOff>614363</xdr:colOff>
      <xdr:row>127</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717406</xdr:colOff>
      <xdr:row>128</xdr:row>
      <xdr:rowOff>177263</xdr:rowOff>
    </xdr:from>
    <xdr:to>
      <xdr:col>56</xdr:col>
      <xdr:colOff>4763</xdr:colOff>
      <xdr:row>145</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717405</xdr:colOff>
      <xdr:row>146</xdr:row>
      <xdr:rowOff>158212</xdr:rowOff>
    </xdr:from>
    <xdr:to>
      <xdr:col>56</xdr:col>
      <xdr:colOff>14287</xdr:colOff>
      <xdr:row>162</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717407</xdr:colOff>
      <xdr:row>163</xdr:row>
      <xdr:rowOff>177262</xdr:rowOff>
    </xdr:from>
    <xdr:to>
      <xdr:col>55</xdr:col>
      <xdr:colOff>614363</xdr:colOff>
      <xdr:row>182</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714375</xdr:colOff>
      <xdr:row>66</xdr:row>
      <xdr:rowOff>171449</xdr:rowOff>
    </xdr:from>
    <xdr:to>
      <xdr:col>55</xdr:col>
      <xdr:colOff>614363</xdr:colOff>
      <xdr:row>86</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716416</xdr:colOff>
      <xdr:row>87</xdr:row>
      <xdr:rowOff>169408</xdr:rowOff>
    </xdr:from>
    <xdr:to>
      <xdr:col>55</xdr:col>
      <xdr:colOff>566738</xdr:colOff>
      <xdr:row>103</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595314</xdr:colOff>
      <xdr:row>32</xdr:row>
      <xdr:rowOff>157162</xdr:rowOff>
    </xdr:from>
    <xdr:to>
      <xdr:col>69</xdr:col>
      <xdr:colOff>138113</xdr:colOff>
      <xdr:row>64</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56</xdr:col>
      <xdr:colOff>584055</xdr:colOff>
      <xdr:row>104</xdr:row>
      <xdr:rowOff>153451</xdr:rowOff>
    </xdr:from>
    <xdr:to>
      <xdr:col>69</xdr:col>
      <xdr:colOff>185738</xdr:colOff>
      <xdr:row>127</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56</xdr:col>
      <xdr:colOff>574531</xdr:colOff>
      <xdr:row>128</xdr:row>
      <xdr:rowOff>167738</xdr:rowOff>
    </xdr:from>
    <xdr:to>
      <xdr:col>69</xdr:col>
      <xdr:colOff>176213</xdr:colOff>
      <xdr:row>145</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598342</xdr:colOff>
      <xdr:row>146</xdr:row>
      <xdr:rowOff>158212</xdr:rowOff>
    </xdr:from>
    <xdr:to>
      <xdr:col>69</xdr:col>
      <xdr:colOff>195262</xdr:colOff>
      <xdr:row>162</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617394</xdr:colOff>
      <xdr:row>163</xdr:row>
      <xdr:rowOff>177262</xdr:rowOff>
    </xdr:from>
    <xdr:to>
      <xdr:col>69</xdr:col>
      <xdr:colOff>204788</xdr:colOff>
      <xdr:row>182</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56</xdr:col>
      <xdr:colOff>576262</xdr:colOff>
      <xdr:row>66</xdr:row>
      <xdr:rowOff>180974</xdr:rowOff>
    </xdr:from>
    <xdr:to>
      <xdr:col>69</xdr:col>
      <xdr:colOff>176213</xdr:colOff>
      <xdr:row>86</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56</xdr:col>
      <xdr:colOff>583066</xdr:colOff>
      <xdr:row>87</xdr:row>
      <xdr:rowOff>169408</xdr:rowOff>
    </xdr:from>
    <xdr:to>
      <xdr:col>69</xdr:col>
      <xdr:colOff>138113</xdr:colOff>
      <xdr:row>103</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63</v>
      </c>
    </row>
    <row r="3" spans="2:2" x14ac:dyDescent="0.25">
      <c r="B3" t="s">
        <v>51</v>
      </c>
    </row>
    <row r="4" spans="2:2" x14ac:dyDescent="0.25">
      <c r="B4" t="s">
        <v>61</v>
      </c>
    </row>
    <row r="5" spans="2:2" x14ac:dyDescent="0.25">
      <c r="B5" t="s">
        <v>64</v>
      </c>
    </row>
    <row r="6" spans="2:2" x14ac:dyDescent="0.25">
      <c r="B6" t="s">
        <v>65</v>
      </c>
    </row>
    <row r="7" spans="2:2" x14ac:dyDescent="0.25">
      <c r="B7" t="s">
        <v>52</v>
      </c>
    </row>
    <row r="11" spans="2:2" x14ac:dyDescent="0.25">
      <c r="B11" t="s">
        <v>72</v>
      </c>
    </row>
    <row r="12" spans="2:2" x14ac:dyDescent="0.25">
      <c r="B12" t="s">
        <v>85</v>
      </c>
    </row>
    <row r="13" spans="2:2" x14ac:dyDescent="0.25">
      <c r="B13" t="s">
        <v>87</v>
      </c>
    </row>
    <row r="14" spans="2:2" x14ac:dyDescent="0.25">
      <c r="B14" t="s">
        <v>86</v>
      </c>
    </row>
    <row r="15" spans="2:2" x14ac:dyDescent="0.25">
      <c r="B15" t="s">
        <v>93</v>
      </c>
    </row>
    <row r="17" spans="1:43" x14ac:dyDescent="0.25">
      <c r="A17" t="s">
        <v>91</v>
      </c>
      <c r="B17" s="96">
        <f>(AP25/E31) /Projections!B23</f>
        <v>50</v>
      </c>
      <c r="C17" s="97"/>
      <c r="D17" s="98"/>
      <c r="E17" s="92">
        <f>B17*2</f>
        <v>100</v>
      </c>
      <c r="F17" s="97"/>
      <c r="G17" s="92"/>
      <c r="H17" s="92">
        <f>E17*2</f>
        <v>200</v>
      </c>
      <c r="I17" s="97"/>
      <c r="J17" s="98"/>
      <c r="K17" s="89">
        <f>H17*2</f>
        <v>400</v>
      </c>
      <c r="L17" s="87"/>
      <c r="M17" s="88"/>
      <c r="N17" s="89">
        <f>K17*2</f>
        <v>800</v>
      </c>
      <c r="O17" s="87"/>
      <c r="P17" s="88"/>
      <c r="Q17" s="89">
        <f>N17*2</f>
        <v>1600</v>
      </c>
      <c r="R17" s="87"/>
      <c r="S17" s="88"/>
      <c r="T17" s="89">
        <f>Q17*2</f>
        <v>3200</v>
      </c>
      <c r="U17" s="87"/>
      <c r="V17" s="88"/>
      <c r="W17" s="89">
        <f>T17*2</f>
        <v>6400</v>
      </c>
      <c r="X17" s="87"/>
      <c r="Y17" s="88"/>
      <c r="Z17" s="89">
        <f>W17*2</f>
        <v>12800</v>
      </c>
      <c r="AA17" s="87"/>
      <c r="AB17" s="88"/>
      <c r="AC17" s="89">
        <f>Z17*2</f>
        <v>25600</v>
      </c>
      <c r="AD17" s="87"/>
      <c r="AE17" s="88"/>
      <c r="AF17" s="89">
        <f>AC17*2</f>
        <v>51200</v>
      </c>
      <c r="AG17" s="87"/>
      <c r="AH17" s="88"/>
      <c r="AI17" s="89">
        <f>AF17*2</f>
        <v>102400</v>
      </c>
      <c r="AJ17" s="87"/>
      <c r="AK17" s="88"/>
      <c r="AL17" s="89">
        <f>AI17*2</f>
        <v>204800</v>
      </c>
      <c r="AM17" s="87"/>
      <c r="AN17" s="88"/>
      <c r="AO17" s="89">
        <f>AL17*2</f>
        <v>409600</v>
      </c>
      <c r="AP17" s="92"/>
      <c r="AQ17" t="s">
        <v>91</v>
      </c>
    </row>
    <row r="18" spans="1:43" s="66" customFormat="1" x14ac:dyDescent="0.25">
      <c r="A18" t="s">
        <v>165</v>
      </c>
      <c r="B18" s="82">
        <f>B17*$E$34</f>
        <v>21.428571428571431</v>
      </c>
      <c r="C18" s="99"/>
      <c r="D18" s="99"/>
      <c r="E18" s="99">
        <f>E17*$E$34</f>
        <v>42.857142857142861</v>
      </c>
      <c r="F18" s="99"/>
      <c r="G18" s="33"/>
      <c r="H18" s="99">
        <f>H17*$E$34</f>
        <v>85.714285714285722</v>
      </c>
      <c r="I18" s="99"/>
      <c r="J18" s="99"/>
      <c r="K18" s="99">
        <f>K17*$E$34</f>
        <v>171.42857142857144</v>
      </c>
      <c r="L18" s="99"/>
      <c r="M18" s="99"/>
      <c r="N18" s="99">
        <f>N17*$E$34</f>
        <v>342.85714285714289</v>
      </c>
      <c r="O18" s="99"/>
      <c r="P18" s="99"/>
      <c r="Q18" s="99">
        <f>Q17*$E$34</f>
        <v>685.71428571428578</v>
      </c>
      <c r="R18" s="99"/>
      <c r="S18" s="99"/>
      <c r="T18" s="99">
        <f>T17*$E$34</f>
        <v>1371.4285714285716</v>
      </c>
      <c r="U18" s="99"/>
      <c r="V18" s="99"/>
      <c r="W18" s="99">
        <f>W17*$E$34</f>
        <v>2742.8571428571431</v>
      </c>
      <c r="X18" s="99"/>
      <c r="Y18" s="99"/>
      <c r="Z18" s="99">
        <f>Z17*$E$34</f>
        <v>5485.7142857142862</v>
      </c>
      <c r="AA18" s="99"/>
      <c r="AB18" s="99"/>
      <c r="AC18" s="99">
        <f>AC17*$E$34</f>
        <v>10971.428571428572</v>
      </c>
      <c r="AD18" s="99"/>
      <c r="AE18" s="99"/>
      <c r="AF18" s="99">
        <f>AF17*$E$34</f>
        <v>21942.857142857145</v>
      </c>
      <c r="AG18" s="99"/>
      <c r="AH18" s="99"/>
      <c r="AI18" s="99">
        <f>AI17*$E$34</f>
        <v>43885.71428571429</v>
      </c>
      <c r="AJ18" s="99"/>
      <c r="AK18" s="99"/>
      <c r="AL18" s="99">
        <f>AL17*$E$34</f>
        <v>87771.42857142858</v>
      </c>
      <c r="AM18" s="99"/>
      <c r="AN18" s="99"/>
      <c r="AO18" s="99">
        <f>AO17*$E$34</f>
        <v>175542.85714285716</v>
      </c>
      <c r="AP18" s="33"/>
      <c r="AQ18" t="s">
        <v>165</v>
      </c>
    </row>
    <row r="19" spans="1:43" s="66" customFormat="1" x14ac:dyDescent="0.25">
      <c r="A19" t="s">
        <v>167</v>
      </c>
      <c r="B19" s="80">
        <f>B18</f>
        <v>21.428571428571431</v>
      </c>
      <c r="C19" s="81"/>
      <c r="D19" s="81"/>
      <c r="E19" s="81">
        <f>E18</f>
        <v>42.857142857142861</v>
      </c>
      <c r="F19" s="81"/>
      <c r="G19" s="34"/>
      <c r="H19" s="81">
        <f>H18</f>
        <v>85.714285714285722</v>
      </c>
      <c r="I19" s="81"/>
      <c r="J19" s="81"/>
      <c r="K19" s="81">
        <f>K18</f>
        <v>171.42857142857144</v>
      </c>
      <c r="L19" s="81"/>
      <c r="M19" s="81"/>
      <c r="N19" s="81">
        <f>N18</f>
        <v>342.85714285714289</v>
      </c>
      <c r="O19" s="81"/>
      <c r="P19" s="81"/>
      <c r="Q19" s="81">
        <f>Q18</f>
        <v>685.71428571428578</v>
      </c>
      <c r="R19" s="81"/>
      <c r="S19" s="81"/>
      <c r="T19" s="81">
        <f>T18</f>
        <v>1371.4285714285716</v>
      </c>
      <c r="U19" s="81"/>
      <c r="V19" s="81"/>
      <c r="W19" s="115">
        <f>W18-B18</f>
        <v>2721.4285714285716</v>
      </c>
      <c r="X19" s="115"/>
      <c r="Y19" s="115"/>
      <c r="Z19" s="115">
        <f>Z18-E18</f>
        <v>5442.8571428571431</v>
      </c>
      <c r="AA19" s="115"/>
      <c r="AB19" s="115"/>
      <c r="AC19" s="115">
        <f>AC18-H18</f>
        <v>10885.714285714286</v>
      </c>
      <c r="AD19" s="115"/>
      <c r="AE19" s="115"/>
      <c r="AF19" s="115">
        <f>AF18-K18</f>
        <v>21771.428571428572</v>
      </c>
      <c r="AG19" s="115"/>
      <c r="AH19" s="115"/>
      <c r="AI19" s="115">
        <f>AI18-N18</f>
        <v>43542.857142857145</v>
      </c>
      <c r="AJ19" s="115"/>
      <c r="AK19" s="115"/>
      <c r="AL19" s="115">
        <f>AL18-Q18</f>
        <v>87085.71428571429</v>
      </c>
      <c r="AM19" s="115"/>
      <c r="AN19" s="115"/>
      <c r="AO19" s="115">
        <f>AO18-T18</f>
        <v>174171.42857142858</v>
      </c>
      <c r="AP19" s="116"/>
      <c r="AQ19" t="s">
        <v>167</v>
      </c>
    </row>
    <row r="20" spans="1:43" s="66" customFormat="1" x14ac:dyDescent="0.25">
      <c r="A20" t="s">
        <v>92</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92</v>
      </c>
    </row>
    <row r="21" spans="1:43" s="66" customFormat="1" x14ac:dyDescent="0.25">
      <c r="A21" s="66" t="s">
        <v>73</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73</v>
      </c>
    </row>
    <row r="22" spans="1:43" s="66" customFormat="1" x14ac:dyDescent="0.25">
      <c r="A22" s="66" t="s">
        <v>74</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74</v>
      </c>
    </row>
    <row r="23" spans="1:43" s="66" customFormat="1" x14ac:dyDescent="0.25">
      <c r="A23" s="47" t="s">
        <v>75</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75</v>
      </c>
    </row>
    <row r="24" spans="1:43" s="66" customFormat="1" x14ac:dyDescent="0.25">
      <c r="A24" s="47" t="s">
        <v>80</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80</v>
      </c>
    </row>
    <row r="25" spans="1:43" x14ac:dyDescent="0.25">
      <c r="A25" s="47" t="s">
        <v>69</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69</v>
      </c>
    </row>
    <row r="26" spans="1:43" x14ac:dyDescent="0.25">
      <c r="A26" s="127" t="s">
        <v>96</v>
      </c>
      <c r="B26" s="83">
        <f t="shared" ref="B26:G26" ca="1" si="0">C26-1</f>
        <v>44096.698564120372</v>
      </c>
      <c r="C26" s="84">
        <f t="shared" ca="1" si="0"/>
        <v>44097.698564120372</v>
      </c>
      <c r="D26" s="84">
        <f t="shared" ca="1" si="0"/>
        <v>44098.698564120372</v>
      </c>
      <c r="E26" s="84">
        <f t="shared" ca="1" si="0"/>
        <v>44099.698564120372</v>
      </c>
      <c r="F26" s="84">
        <f t="shared" ca="1" si="0"/>
        <v>44100.698564120372</v>
      </c>
      <c r="G26" s="85">
        <f t="shared" ca="1" si="0"/>
        <v>44101.698564120372</v>
      </c>
      <c r="H26" s="84">
        <f t="shared" ref="H26:U26" ca="1" si="1">I26-1</f>
        <v>44102.698564120372</v>
      </c>
      <c r="I26" s="84">
        <f t="shared" ca="1" si="1"/>
        <v>44103.698564120372</v>
      </c>
      <c r="J26" s="84">
        <f t="shared" ca="1" si="1"/>
        <v>44104.698564120372</v>
      </c>
      <c r="K26" s="84">
        <f t="shared" ca="1" si="1"/>
        <v>44105.698564120372</v>
      </c>
      <c r="L26" s="84">
        <f t="shared" ca="1" si="1"/>
        <v>44106.698564120372</v>
      </c>
      <c r="M26" s="84">
        <f t="shared" ca="1" si="1"/>
        <v>44107.698564120372</v>
      </c>
      <c r="N26" s="85">
        <f t="shared" ca="1" si="1"/>
        <v>44108.698564120372</v>
      </c>
      <c r="O26" s="83">
        <f t="shared" ca="1" si="1"/>
        <v>44109.698564120372</v>
      </c>
      <c r="P26" s="84">
        <f t="shared" ca="1" si="1"/>
        <v>44110.698564120372</v>
      </c>
      <c r="Q26" s="84">
        <f t="shared" ca="1" si="1"/>
        <v>44111.698564120372</v>
      </c>
      <c r="R26" s="84">
        <f t="shared" ca="1" si="1"/>
        <v>44112.698564120372</v>
      </c>
      <c r="S26" s="84">
        <f t="shared" ca="1" si="1"/>
        <v>44113.698564120372</v>
      </c>
      <c r="T26" s="84">
        <f t="shared" ca="1" si="1"/>
        <v>44114.698564120372</v>
      </c>
      <c r="U26" s="85">
        <f t="shared" ca="1" si="1"/>
        <v>44115.698564120372</v>
      </c>
      <c r="V26" s="83">
        <f t="shared" ref="V26:AN26" ca="1" si="2">W26-1</f>
        <v>44116.698564120372</v>
      </c>
      <c r="W26" s="84">
        <f t="shared" ca="1" si="2"/>
        <v>44117.698564120372</v>
      </c>
      <c r="X26" s="84">
        <f t="shared" ca="1" si="2"/>
        <v>44118.698564120372</v>
      </c>
      <c r="Y26" s="84">
        <f t="shared" ca="1" si="2"/>
        <v>44119.698564120372</v>
      </c>
      <c r="Z26" s="84">
        <f t="shared" ca="1" si="2"/>
        <v>44120.698564120372</v>
      </c>
      <c r="AA26" s="84">
        <f t="shared" ca="1" si="2"/>
        <v>44121.698564120372</v>
      </c>
      <c r="AB26" s="85">
        <f t="shared" ca="1" si="2"/>
        <v>44122.698564120372</v>
      </c>
      <c r="AC26" s="83">
        <f t="shared" ca="1" si="2"/>
        <v>44123.698564120372</v>
      </c>
      <c r="AD26" s="84">
        <f t="shared" ca="1" si="2"/>
        <v>44124.698564120372</v>
      </c>
      <c r="AE26" s="84">
        <f t="shared" ca="1" si="2"/>
        <v>44125.698564120372</v>
      </c>
      <c r="AF26" s="84">
        <f t="shared" ca="1" si="2"/>
        <v>44126.698564120372</v>
      </c>
      <c r="AG26" s="84">
        <f t="shared" ca="1" si="2"/>
        <v>44127.698564120372</v>
      </c>
      <c r="AH26" s="84">
        <f t="shared" ca="1" si="2"/>
        <v>44128.698564120372</v>
      </c>
      <c r="AI26" s="85">
        <f t="shared" ca="1" si="2"/>
        <v>44129.698564120372</v>
      </c>
      <c r="AJ26" s="83">
        <f t="shared" ca="1" si="2"/>
        <v>44130.698564120372</v>
      </c>
      <c r="AK26" s="84">
        <f t="shared" ca="1" si="2"/>
        <v>44131.698564120372</v>
      </c>
      <c r="AL26" s="84">
        <f t="shared" ca="1" si="2"/>
        <v>44132.698564120372</v>
      </c>
      <c r="AM26" s="84">
        <f t="shared" ca="1" si="2"/>
        <v>44133.698564120372</v>
      </c>
      <c r="AN26" s="84">
        <f t="shared" ca="1" si="2"/>
        <v>44134.698564120372</v>
      </c>
      <c r="AO26" s="84">
        <f ca="1">AP26-1</f>
        <v>44135.698564120372</v>
      </c>
      <c r="AP26" s="105">
        <f ca="1">NOW()</f>
        <v>44136.698564120372</v>
      </c>
    </row>
    <row r="27" spans="1:43" x14ac:dyDescent="0.25">
      <c r="A27" s="128" t="s">
        <v>97</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98</v>
      </c>
      <c r="B28" s="295" t="s">
        <v>67</v>
      </c>
      <c r="C28" s="296"/>
      <c r="D28" s="296"/>
      <c r="E28" s="296"/>
      <c r="F28" s="296"/>
      <c r="G28" s="297"/>
      <c r="H28" s="301" t="s">
        <v>56</v>
      </c>
      <c r="I28" s="301"/>
      <c r="J28" s="301"/>
      <c r="K28" s="301"/>
      <c r="L28" s="301"/>
      <c r="M28" s="301"/>
      <c r="N28" s="302"/>
      <c r="O28" s="300" t="s">
        <v>57</v>
      </c>
      <c r="P28" s="301"/>
      <c r="Q28" s="301"/>
      <c r="R28" s="301"/>
      <c r="S28" s="301"/>
      <c r="T28" s="301"/>
      <c r="U28" s="302"/>
      <c r="V28" s="300" t="s">
        <v>58</v>
      </c>
      <c r="W28" s="301"/>
      <c r="X28" s="301"/>
      <c r="Y28" s="301"/>
      <c r="Z28" s="301"/>
      <c r="AA28" s="301"/>
      <c r="AB28" s="302"/>
      <c r="AC28" s="300" t="s">
        <v>59</v>
      </c>
      <c r="AD28" s="301"/>
      <c r="AE28" s="301"/>
      <c r="AF28" s="301"/>
      <c r="AG28" s="301"/>
      <c r="AH28" s="301"/>
      <c r="AI28" s="302"/>
      <c r="AJ28" s="300" t="s">
        <v>60</v>
      </c>
      <c r="AK28" s="301"/>
      <c r="AL28" s="301"/>
      <c r="AM28" s="301"/>
      <c r="AN28" s="301"/>
      <c r="AO28" s="301"/>
      <c r="AP28" s="302"/>
    </row>
    <row r="29" spans="1:43" x14ac:dyDescent="0.25">
      <c r="B29" s="51" t="s">
        <v>79</v>
      </c>
      <c r="C29" s="90"/>
      <c r="D29" s="90"/>
      <c r="E29" s="90"/>
      <c r="F29" s="90"/>
      <c r="G29" s="91"/>
      <c r="H29" s="298" t="s">
        <v>66</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68</v>
      </c>
      <c r="C31" s="132" t="s">
        <v>89</v>
      </c>
      <c r="D31" s="9"/>
      <c r="E31" s="79">
        <f>VLOOKUP(C31,B43:C54,2,FALSE)</f>
        <v>3.5000000000000003E-2</v>
      </c>
      <c r="F31" s="9"/>
      <c r="G31" s="9"/>
      <c r="H31" s="9"/>
      <c r="I31" s="5"/>
    </row>
    <row r="32" spans="1:43" x14ac:dyDescent="0.25">
      <c r="B32" s="41" t="s">
        <v>95</v>
      </c>
      <c r="C32" s="16"/>
      <c r="D32" s="16"/>
      <c r="E32" s="133">
        <v>1</v>
      </c>
      <c r="F32" s="16"/>
      <c r="G32" s="16"/>
      <c r="H32" s="16"/>
      <c r="I32" s="17"/>
    </row>
    <row r="33" spans="2:9" x14ac:dyDescent="0.25">
      <c r="B33" s="41" t="s">
        <v>70</v>
      </c>
      <c r="C33" s="16"/>
      <c r="D33" s="16"/>
      <c r="E33" s="16">
        <v>3</v>
      </c>
      <c r="F33" s="16" t="s">
        <v>71</v>
      </c>
      <c r="G33" s="16"/>
      <c r="H33" s="16"/>
      <c r="I33" s="17"/>
    </row>
    <row r="34" spans="2:9" x14ac:dyDescent="0.25">
      <c r="B34" s="41" t="s">
        <v>173</v>
      </c>
      <c r="C34" s="16"/>
      <c r="D34" s="16"/>
      <c r="E34" s="134">
        <f>1-Projections!B23</f>
        <v>0.4285714285714286</v>
      </c>
      <c r="F34" s="16" t="s">
        <v>198</v>
      </c>
      <c r="G34" s="16"/>
      <c r="H34" s="16"/>
      <c r="I34" s="17"/>
    </row>
    <row r="35" spans="2:9" x14ac:dyDescent="0.25">
      <c r="B35" s="41" t="s">
        <v>76</v>
      </c>
      <c r="C35" s="16"/>
      <c r="D35" s="16"/>
      <c r="E35" s="134">
        <v>0.81</v>
      </c>
      <c r="F35" s="16" t="s">
        <v>94</v>
      </c>
      <c r="G35" s="16"/>
      <c r="H35" s="16"/>
      <c r="I35" s="17"/>
    </row>
    <row r="36" spans="2:9" x14ac:dyDescent="0.25">
      <c r="B36" s="41" t="s">
        <v>77</v>
      </c>
      <c r="C36" s="16"/>
      <c r="D36" s="16"/>
      <c r="E36" s="134">
        <v>0.14000000000000001</v>
      </c>
      <c r="F36" s="16" t="s">
        <v>94</v>
      </c>
      <c r="G36" s="16"/>
      <c r="H36" s="16"/>
      <c r="I36" s="17"/>
    </row>
    <row r="37" spans="2:9" x14ac:dyDescent="0.25">
      <c r="B37" s="41" t="s">
        <v>78</v>
      </c>
      <c r="C37" s="16"/>
      <c r="D37" s="16"/>
      <c r="E37" s="134">
        <v>0.05</v>
      </c>
      <c r="F37" s="16" t="s">
        <v>94</v>
      </c>
      <c r="G37" s="16"/>
      <c r="H37" s="16"/>
      <c r="I37" s="17"/>
    </row>
    <row r="38" spans="2:9" x14ac:dyDescent="0.25">
      <c r="B38" s="41" t="s">
        <v>81</v>
      </c>
      <c r="C38" s="16"/>
      <c r="D38" s="16"/>
      <c r="E38" s="130">
        <v>2</v>
      </c>
      <c r="F38" s="16" t="s">
        <v>82</v>
      </c>
      <c r="G38" s="16"/>
      <c r="H38" s="16"/>
      <c r="I38" s="17"/>
    </row>
    <row r="39" spans="2:9" x14ac:dyDescent="0.25">
      <c r="B39" s="37" t="s">
        <v>83</v>
      </c>
      <c r="C39" s="131"/>
      <c r="D39" s="39"/>
      <c r="E39" s="110">
        <v>4</v>
      </c>
      <c r="F39" s="39" t="s">
        <v>82</v>
      </c>
      <c r="G39" s="39" t="s">
        <v>84</v>
      </c>
      <c r="H39" s="39"/>
      <c r="I39" s="62"/>
    </row>
    <row r="42" spans="2:9" x14ac:dyDescent="0.25">
      <c r="B42" t="s">
        <v>90</v>
      </c>
    </row>
    <row r="43" spans="2:9" x14ac:dyDescent="0.25">
      <c r="B43" s="4" t="s">
        <v>89</v>
      </c>
      <c r="C43" s="109">
        <v>3.5000000000000003E-2</v>
      </c>
    </row>
    <row r="44" spans="2:9" x14ac:dyDescent="0.25">
      <c r="B44" s="41" t="s">
        <v>88</v>
      </c>
      <c r="C44" s="27">
        <v>2.3E-2</v>
      </c>
    </row>
    <row r="45" spans="2:9" x14ac:dyDescent="0.25">
      <c r="B45" s="41" t="s">
        <v>197</v>
      </c>
      <c r="C45" s="27">
        <f>Projections!B30</f>
        <v>1.7500000000000002E-2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T110"/>
  <sheetViews>
    <sheetView tabSelected="1" topLeftCell="J20" zoomScale="90" zoomScaleNormal="90" workbookViewId="0">
      <selection activeCell="AJ28" sqref="AJ28"/>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5" width="11.28515625" customWidth="1"/>
    <col min="16" max="16" width="10.7109375" customWidth="1"/>
    <col min="17" max="17" width="11.42578125" customWidth="1"/>
    <col min="18" max="18" width="11.28515625" customWidth="1"/>
    <col min="19" max="19" width="11.85546875" customWidth="1"/>
    <col min="20" max="21" width="11.42578125" customWidth="1"/>
    <col min="22" max="22" width="11.28515625" bestFit="1" customWidth="1"/>
    <col min="23" max="23" width="11" customWidth="1"/>
    <col min="24" max="24" width="11.85546875" customWidth="1"/>
    <col min="25" max="25" width="11.28515625" customWidth="1"/>
    <col min="26" max="26" width="11.7109375" customWidth="1"/>
    <col min="27" max="27" width="12.28515625" customWidth="1"/>
    <col min="28" max="28" width="11.85546875" customWidth="1"/>
    <col min="29" max="30" width="11.28515625" customWidth="1"/>
    <col min="31" max="31" width="11.7109375" customWidth="1"/>
    <col min="32" max="32" width="12.140625" customWidth="1"/>
    <col min="33" max="33" width="11.7109375" customWidth="1"/>
    <col min="34" max="34" width="11.28515625" customWidth="1"/>
    <col min="35" max="36" width="11.5703125" bestFit="1" customWidth="1"/>
    <col min="37" max="37" width="12.5703125" customWidth="1"/>
    <col min="38" max="38" width="13.7109375" customWidth="1"/>
    <col min="39" max="39" width="13.28515625" bestFit="1" customWidth="1"/>
    <col min="40" max="40" width="14.7109375" customWidth="1"/>
    <col min="41" max="41" width="14" customWidth="1"/>
    <col min="42" max="42" width="14.28515625" customWidth="1"/>
    <col min="43" max="43" width="13.42578125" style="66" customWidth="1"/>
    <col min="44" max="44" width="11.140625" bestFit="1" customWidth="1"/>
    <col min="45" max="45" width="12.140625" bestFit="1" customWidth="1"/>
  </cols>
  <sheetData>
    <row r="1" spans="17:33" x14ac:dyDescent="0.25">
      <c r="Q1" t="s">
        <v>116</v>
      </c>
    </row>
    <row r="2" spans="17:33" x14ac:dyDescent="0.25">
      <c r="Q2" s="147">
        <v>43903</v>
      </c>
      <c r="R2" s="148" t="s">
        <v>190</v>
      </c>
      <c r="S2" s="148"/>
      <c r="T2" s="147">
        <v>43917</v>
      </c>
      <c r="Y2" s="66"/>
      <c r="Z2" s="66"/>
      <c r="AA2" s="66"/>
      <c r="AB2" s="66"/>
      <c r="AC2" s="66"/>
      <c r="AD2" s="66"/>
    </row>
    <row r="3" spans="17:33" x14ac:dyDescent="0.25">
      <c r="Q3" s="66"/>
      <c r="R3" s="147">
        <v>43906</v>
      </c>
      <c r="S3" s="148" t="s">
        <v>189</v>
      </c>
      <c r="T3" s="148"/>
      <c r="U3" s="147">
        <v>43920</v>
      </c>
      <c r="V3" s="66"/>
      <c r="W3" s="66"/>
      <c r="X3" s="66"/>
      <c r="Y3" s="154"/>
      <c r="Z3" s="66"/>
      <c r="AA3" s="66"/>
      <c r="AB3" s="66"/>
      <c r="AC3" s="66"/>
      <c r="AD3" s="66"/>
    </row>
    <row r="4" spans="17:33" x14ac:dyDescent="0.25">
      <c r="Q4" s="66"/>
      <c r="R4" s="154"/>
      <c r="S4" s="147">
        <v>43912</v>
      </c>
      <c r="T4" s="148" t="s">
        <v>202</v>
      </c>
      <c r="U4" s="147"/>
      <c r="V4" s="148"/>
      <c r="W4" s="147">
        <v>43926</v>
      </c>
      <c r="X4" s="66"/>
      <c r="Y4" s="66"/>
      <c r="Z4" s="66"/>
      <c r="AA4" s="66"/>
      <c r="AB4" s="66"/>
      <c r="AC4" s="66"/>
      <c r="AD4" s="66"/>
    </row>
    <row r="5" spans="17:33" x14ac:dyDescent="0.25">
      <c r="Q5" s="66"/>
      <c r="R5" s="154"/>
      <c r="S5" s="154"/>
      <c r="T5" s="147">
        <v>43914</v>
      </c>
      <c r="U5" s="148" t="s">
        <v>201</v>
      </c>
      <c r="V5" s="147"/>
      <c r="W5" s="147">
        <v>43928</v>
      </c>
      <c r="X5" s="66"/>
      <c r="Y5" s="66"/>
      <c r="Z5" s="66"/>
      <c r="AA5" s="66"/>
      <c r="AB5" s="66"/>
      <c r="AC5" s="66"/>
      <c r="AD5" s="66"/>
    </row>
    <row r="6" spans="17:33" x14ac:dyDescent="0.25">
      <c r="Q6" s="66"/>
      <c r="R6" s="154"/>
      <c r="S6" s="154"/>
      <c r="T6" s="154"/>
      <c r="U6" s="66"/>
      <c r="V6" s="147">
        <v>43923</v>
      </c>
      <c r="W6" s="147" t="s">
        <v>219</v>
      </c>
      <c r="X6" s="148"/>
      <c r="Y6" s="148"/>
    </row>
    <row r="7" spans="17:33" x14ac:dyDescent="0.25">
      <c r="Q7" s="66"/>
      <c r="R7" s="66"/>
      <c r="S7" s="154"/>
      <c r="T7" s="66"/>
      <c r="U7" s="66"/>
      <c r="V7" s="66"/>
      <c r="W7" s="154"/>
      <c r="X7" s="147">
        <v>43934</v>
      </c>
      <c r="Y7" s="148" t="s">
        <v>199</v>
      </c>
      <c r="Z7" s="147"/>
      <c r="AA7" s="148"/>
      <c r="AB7" s="148"/>
      <c r="AC7" s="154"/>
      <c r="AD7" s="154"/>
    </row>
    <row r="8" spans="17:33" x14ac:dyDescent="0.25">
      <c r="Q8" s="66"/>
      <c r="R8" s="66"/>
      <c r="S8" s="66"/>
      <c r="T8" s="154"/>
      <c r="U8" s="47"/>
      <c r="V8" s="47"/>
      <c r="W8" s="154"/>
      <c r="X8" s="154">
        <v>43935</v>
      </c>
      <c r="Y8" s="66" t="s">
        <v>203</v>
      </c>
      <c r="Z8" s="264"/>
      <c r="AA8" s="264"/>
      <c r="AB8" s="265"/>
      <c r="AC8" s="154"/>
      <c r="AD8" s="154"/>
    </row>
    <row r="9" spans="17:33" x14ac:dyDescent="0.25">
      <c r="Q9" s="66"/>
      <c r="R9" s="66"/>
      <c r="S9" s="154"/>
      <c r="T9" s="154"/>
      <c r="U9" s="154"/>
      <c r="V9" s="66"/>
      <c r="W9" s="66"/>
      <c r="Y9" s="264">
        <v>43941</v>
      </c>
      <c r="Z9" s="265" t="s">
        <v>204</v>
      </c>
      <c r="AC9" s="66"/>
      <c r="AD9" s="154"/>
      <c r="AE9" s="66"/>
      <c r="AF9" s="66"/>
    </row>
    <row r="10" spans="17:33" x14ac:dyDescent="0.25">
      <c r="Q10" s="66"/>
      <c r="R10" s="66"/>
      <c r="S10" s="66"/>
      <c r="T10" s="66"/>
      <c r="U10" s="154"/>
      <c r="V10" s="66"/>
      <c r="W10" s="66"/>
      <c r="X10" s="154"/>
      <c r="Y10" s="264">
        <v>43946</v>
      </c>
      <c r="Z10" s="265" t="s">
        <v>205</v>
      </c>
      <c r="AA10" s="66"/>
      <c r="AB10" s="154"/>
      <c r="AC10" s="66"/>
      <c r="AD10" s="66"/>
      <c r="AE10" s="66"/>
      <c r="AF10" s="66"/>
    </row>
    <row r="11" spans="17:33" x14ac:dyDescent="0.25">
      <c r="Q11" s="66"/>
      <c r="R11" s="66"/>
      <c r="S11" s="66"/>
      <c r="T11" s="66"/>
      <c r="U11" s="66"/>
      <c r="V11" s="140"/>
      <c r="W11" s="66"/>
      <c r="X11" s="154"/>
      <c r="Y11" s="66"/>
      <c r="Z11" s="147">
        <v>43952</v>
      </c>
      <c r="AA11" s="148" t="s">
        <v>206</v>
      </c>
      <c r="AB11" s="147"/>
      <c r="AC11" s="66"/>
      <c r="AD11" s="66"/>
      <c r="AE11" s="66"/>
      <c r="AF11" s="66"/>
    </row>
    <row r="12" spans="17:33" x14ac:dyDescent="0.25">
      <c r="Q12" s="66"/>
      <c r="R12" s="66"/>
      <c r="S12" s="66"/>
      <c r="T12" s="66"/>
      <c r="U12" s="47"/>
      <c r="V12" s="66"/>
      <c r="W12" s="154"/>
      <c r="X12" s="222"/>
      <c r="Y12" s="154"/>
      <c r="Z12" s="203">
        <v>43952</v>
      </c>
      <c r="AA12" t="s">
        <v>213</v>
      </c>
      <c r="AE12" s="66"/>
      <c r="AF12" s="66"/>
    </row>
    <row r="13" spans="17:33" x14ac:dyDescent="0.25">
      <c r="T13" s="16"/>
      <c r="U13" s="16"/>
      <c r="V13" s="16"/>
      <c r="W13" s="250"/>
      <c r="X13" s="184"/>
      <c r="Y13" s="16"/>
      <c r="Z13" s="264">
        <v>43955</v>
      </c>
      <c r="AA13" s="265" t="s">
        <v>208</v>
      </c>
      <c r="AB13" s="264"/>
      <c r="AC13" s="66"/>
      <c r="AD13" s="66"/>
      <c r="AE13" s="66"/>
      <c r="AF13" s="66"/>
    </row>
    <row r="14" spans="17:33" x14ac:dyDescent="0.25">
      <c r="U14" s="250"/>
      <c r="V14" s="16"/>
      <c r="W14" s="16"/>
      <c r="X14" s="250"/>
      <c r="Y14" s="16"/>
      <c r="Z14" s="264">
        <v>43956</v>
      </c>
      <c r="AA14" s="265" t="s">
        <v>207</v>
      </c>
      <c r="AB14" s="264"/>
      <c r="AE14" s="66"/>
      <c r="AF14" s="66"/>
      <c r="AG14" s="203"/>
    </row>
    <row r="15" spans="17:33" x14ac:dyDescent="0.25">
      <c r="X15" s="16"/>
      <c r="Y15" s="16"/>
      <c r="AA15" s="264">
        <v>43963</v>
      </c>
      <c r="AB15" s="264" t="s">
        <v>209</v>
      </c>
      <c r="AC15" s="264"/>
      <c r="AE15" s="66"/>
      <c r="AF15" s="66"/>
    </row>
    <row r="16" spans="17:33" x14ac:dyDescent="0.25">
      <c r="AA16" s="203">
        <v>43968</v>
      </c>
      <c r="AB16" t="s">
        <v>215</v>
      </c>
      <c r="AE16" s="154"/>
      <c r="AF16" s="66"/>
    </row>
    <row r="17" spans="1:43" x14ac:dyDescent="0.25">
      <c r="AA17" s="147">
        <v>43969</v>
      </c>
      <c r="AB17" s="148" t="s">
        <v>210</v>
      </c>
      <c r="AE17" s="66"/>
      <c r="AF17" s="66"/>
    </row>
    <row r="18" spans="1:43" x14ac:dyDescent="0.25">
      <c r="D18" s="154"/>
      <c r="E18" s="154"/>
      <c r="F18" s="66"/>
      <c r="G18" s="66"/>
      <c r="H18" s="66"/>
      <c r="I18" s="66"/>
      <c r="J18" s="66"/>
      <c r="K18" s="66"/>
      <c r="L18" s="66"/>
      <c r="M18" s="66"/>
      <c r="N18" s="154"/>
      <c r="O18" s="154"/>
      <c r="P18" s="66"/>
      <c r="AB18" s="264">
        <v>43974</v>
      </c>
      <c r="AC18" s="265" t="s">
        <v>214</v>
      </c>
      <c r="AF18" s="66"/>
    </row>
    <row r="19" spans="1:43" x14ac:dyDescent="0.25">
      <c r="D19" s="66"/>
      <c r="E19" s="66"/>
      <c r="F19" s="154"/>
      <c r="G19" s="154"/>
      <c r="H19" s="154"/>
      <c r="I19" s="154"/>
      <c r="J19" s="154"/>
      <c r="K19" s="154"/>
      <c r="L19" s="154"/>
      <c r="M19" s="154"/>
      <c r="N19" s="154"/>
      <c r="O19" s="154"/>
      <c r="P19" s="66"/>
      <c r="AB19" s="264">
        <v>43982</v>
      </c>
      <c r="AC19" s="265" t="s">
        <v>216</v>
      </c>
      <c r="AE19" s="66"/>
      <c r="AF19" s="66"/>
    </row>
    <row r="20" spans="1:43" x14ac:dyDescent="0.25">
      <c r="D20" s="66"/>
      <c r="E20" s="66"/>
      <c r="F20" s="66"/>
      <c r="G20" s="66"/>
      <c r="H20" s="66"/>
      <c r="I20" s="66"/>
      <c r="J20" s="66"/>
      <c r="K20" s="66"/>
      <c r="L20" s="66"/>
      <c r="M20" s="66"/>
      <c r="N20" s="66"/>
      <c r="O20" s="66"/>
      <c r="P20" s="154"/>
      <c r="AC20" s="203">
        <v>43994</v>
      </c>
      <c r="AD20" t="s">
        <v>218</v>
      </c>
    </row>
    <row r="21" spans="1:43" x14ac:dyDescent="0.25">
      <c r="A21" s="56" t="s">
        <v>177</v>
      </c>
      <c r="B21" s="262">
        <v>1392156000</v>
      </c>
      <c r="C21" t="s">
        <v>176</v>
      </c>
      <c r="D21" s="66"/>
      <c r="E21" s="66"/>
      <c r="F21" s="66"/>
      <c r="G21" s="66"/>
      <c r="H21" s="66"/>
      <c r="I21" s="66"/>
      <c r="J21" s="66"/>
      <c r="K21" s="66"/>
      <c r="L21" s="66"/>
      <c r="M21" s="66"/>
      <c r="N21" s="66"/>
      <c r="O21" s="66"/>
      <c r="P21" s="66"/>
      <c r="AC21" s="203">
        <v>43996</v>
      </c>
      <c r="AD21" t="s">
        <v>217</v>
      </c>
      <c r="AE21" s="203"/>
    </row>
    <row r="22" spans="1:43" x14ac:dyDescent="0.25">
      <c r="A22" s="56" t="s">
        <v>211</v>
      </c>
      <c r="B22" s="287">
        <v>0.01</v>
      </c>
      <c r="D22" s="66"/>
      <c r="E22" s="66"/>
      <c r="F22" s="66"/>
      <c r="G22" s="66"/>
      <c r="H22" s="66"/>
      <c r="I22" s="66"/>
      <c r="J22" s="66"/>
      <c r="K22" s="66"/>
      <c r="L22" s="66"/>
      <c r="M22" s="66"/>
      <c r="N22" s="66"/>
      <c r="O22" s="66"/>
      <c r="P22" s="66"/>
      <c r="AD22" s="147">
        <v>44009</v>
      </c>
      <c r="AE22" s="148" t="s">
        <v>221</v>
      </c>
    </row>
    <row r="23" spans="1:43" x14ac:dyDescent="0.25">
      <c r="A23" s="4" t="s">
        <v>113</v>
      </c>
      <c r="B23" s="145">
        <f>B22/B30</f>
        <v>0.5714285714285714</v>
      </c>
      <c r="C23" t="s">
        <v>212</v>
      </c>
      <c r="D23" s="66"/>
      <c r="E23" s="66"/>
      <c r="F23" s="66"/>
      <c r="G23" s="66"/>
      <c r="H23" s="66"/>
      <c r="I23" s="66"/>
      <c r="J23" s="66"/>
      <c r="K23" s="66"/>
      <c r="L23" s="66"/>
      <c r="M23" s="66"/>
      <c r="N23" s="66"/>
      <c r="O23" s="66"/>
      <c r="P23" s="66"/>
      <c r="AD23" s="203">
        <v>44018</v>
      </c>
      <c r="AE23" t="s">
        <v>220</v>
      </c>
    </row>
    <row r="24" spans="1:43" x14ac:dyDescent="0.25">
      <c r="A24" s="37" t="s">
        <v>115</v>
      </c>
      <c r="B24" s="108">
        <v>0.06</v>
      </c>
      <c r="C24" s="234"/>
      <c r="D24" s="66"/>
      <c r="E24" s="66"/>
      <c r="F24" s="66"/>
      <c r="G24" s="66"/>
      <c r="H24" s="66"/>
      <c r="I24" s="66"/>
      <c r="J24" s="66"/>
      <c r="K24" s="66"/>
      <c r="L24" s="66"/>
      <c r="M24" s="66"/>
      <c r="N24" s="66"/>
      <c r="O24" s="66"/>
      <c r="P24" s="66"/>
      <c r="AF24" s="203"/>
      <c r="AG24" s="203">
        <v>44081</v>
      </c>
      <c r="AH24" s="165" t="s">
        <v>222</v>
      </c>
    </row>
    <row r="25" spans="1:43" x14ac:dyDescent="0.25">
      <c r="A25" s="41" t="s">
        <v>191</v>
      </c>
      <c r="B25" s="263">
        <v>0.53</v>
      </c>
      <c r="C25" s="63">
        <f>((B21/1000)*B25)-(((B21/1000)*B25)*B26)</f>
        <v>689882.90580000007</v>
      </c>
      <c r="D25" s="66" t="s">
        <v>194</v>
      </c>
      <c r="E25" s="66"/>
      <c r="F25" s="66"/>
      <c r="G25" s="66"/>
      <c r="H25" s="66"/>
      <c r="I25" s="66"/>
      <c r="J25" s="66"/>
      <c r="K25" s="66"/>
      <c r="L25" s="66"/>
      <c r="M25" s="66"/>
      <c r="N25" s="66"/>
      <c r="O25" s="66"/>
      <c r="P25" s="66"/>
    </row>
    <row r="26" spans="1:43" x14ac:dyDescent="0.25">
      <c r="A26" s="37" t="s">
        <v>192</v>
      </c>
      <c r="B26" s="266">
        <v>6.5000000000000002E-2</v>
      </c>
      <c r="C26" s="60">
        <f>((B21/1000)*B25)*B26</f>
        <v>47959.774200000007</v>
      </c>
      <c r="D26" s="156">
        <f>C26/(B21/100000)</f>
        <v>3.4450000000000007</v>
      </c>
      <c r="E26" s="66" t="s">
        <v>193</v>
      </c>
      <c r="F26" s="66"/>
      <c r="G26" s="66" t="s">
        <v>195</v>
      </c>
      <c r="H26" s="66"/>
      <c r="I26" s="66"/>
      <c r="J26" s="66"/>
      <c r="K26" s="66"/>
      <c r="L26" s="66"/>
      <c r="M26" s="66"/>
      <c r="N26" s="66"/>
      <c r="O26" s="66"/>
      <c r="P26" s="66"/>
    </row>
    <row r="27" spans="1:43" x14ac:dyDescent="0.25">
      <c r="A27" s="4" t="s">
        <v>73</v>
      </c>
      <c r="B27" s="106">
        <v>0.81</v>
      </c>
      <c r="C27" s="2"/>
      <c r="D27" s="66"/>
      <c r="E27" s="66"/>
      <c r="F27" s="66"/>
      <c r="G27" s="66"/>
      <c r="H27" s="66"/>
      <c r="I27" s="66"/>
      <c r="J27" s="66"/>
      <c r="K27" s="66"/>
      <c r="L27" s="66"/>
      <c r="M27" s="66"/>
      <c r="N27" s="66"/>
      <c r="O27" s="66"/>
      <c r="P27" s="66"/>
    </row>
    <row r="28" spans="1:43" x14ac:dyDescent="0.25">
      <c r="A28" s="41" t="s">
        <v>74</v>
      </c>
      <c r="B28" s="107">
        <v>0.14000000000000001</v>
      </c>
      <c r="C28" s="2"/>
      <c r="D28" s="66"/>
      <c r="E28" s="66"/>
      <c r="F28" s="66"/>
      <c r="G28" s="66"/>
      <c r="H28" s="66"/>
      <c r="I28" s="66"/>
      <c r="J28" s="66"/>
      <c r="K28" s="66"/>
      <c r="L28" s="66"/>
      <c r="M28" s="66"/>
      <c r="N28" s="66"/>
      <c r="O28" s="66"/>
      <c r="P28" s="66"/>
    </row>
    <row r="29" spans="1:43" x14ac:dyDescent="0.25">
      <c r="A29" s="37" t="s">
        <v>109</v>
      </c>
      <c r="B29" s="108">
        <v>0.05</v>
      </c>
      <c r="C29" s="2"/>
      <c r="D29" s="199" t="s">
        <v>169</v>
      </c>
      <c r="AI29" s="294"/>
      <c r="AJ29" s="294"/>
      <c r="AK29" s="164"/>
      <c r="AL29" s="164"/>
      <c r="AM29" s="164"/>
      <c r="AN29" s="164"/>
      <c r="AO29" s="164"/>
    </row>
    <row r="30" spans="1:43" x14ac:dyDescent="0.25">
      <c r="A30" s="37" t="s">
        <v>114</v>
      </c>
      <c r="B30" s="64">
        <v>1.7500000000000002E-2</v>
      </c>
      <c r="C30" s="2"/>
      <c r="D30" s="168" t="s">
        <v>161</v>
      </c>
    </row>
    <row r="31" spans="1:43" x14ac:dyDescent="0.25">
      <c r="A31" s="143" t="s">
        <v>102</v>
      </c>
      <c r="B31" s="144">
        <v>43860</v>
      </c>
      <c r="C31" s="2"/>
      <c r="D31" s="268">
        <f>(AK34-P34)/(LOG(AK35/P35)/LOG(2))</f>
        <v>19.80952380952381</v>
      </c>
      <c r="E31" s="164"/>
      <c r="S31" s="16"/>
      <c r="T31" s="16"/>
      <c r="U31" s="16"/>
      <c r="V31" s="16"/>
      <c r="W31" s="16"/>
      <c r="X31" s="16"/>
      <c r="Y31" s="16"/>
      <c r="Z31" s="16"/>
      <c r="AA31" s="16"/>
      <c r="AB31" s="16"/>
      <c r="AC31" s="250"/>
      <c r="AD31" s="16"/>
      <c r="AE31" s="16"/>
    </row>
    <row r="32" spans="1:43" x14ac:dyDescent="0.25">
      <c r="A32" s="16"/>
      <c r="B32" s="50" t="s">
        <v>53</v>
      </c>
      <c r="C32" s="10"/>
      <c r="D32" s="16"/>
      <c r="E32" s="16"/>
      <c r="F32" s="16"/>
      <c r="G32" s="16"/>
      <c r="H32" s="16"/>
      <c r="I32" s="16"/>
      <c r="J32" s="16"/>
      <c r="K32" s="16"/>
      <c r="L32" s="16"/>
      <c r="M32" s="16"/>
      <c r="N32" s="16"/>
      <c r="O32" s="16"/>
      <c r="P32" s="16"/>
      <c r="Q32" s="16"/>
      <c r="R32" s="16"/>
      <c r="S32" s="16"/>
      <c r="T32" s="16"/>
      <c r="U32" s="16"/>
      <c r="V32" s="16"/>
      <c r="W32" s="16"/>
      <c r="AF32" s="16"/>
      <c r="AG32" s="16"/>
      <c r="AN32" t="s">
        <v>170</v>
      </c>
      <c r="AQ32" s="142"/>
    </row>
    <row r="33" spans="1:46" x14ac:dyDescent="0.25">
      <c r="A33" s="52" t="s">
        <v>41</v>
      </c>
      <c r="B33" s="178">
        <v>43895</v>
      </c>
      <c r="C33" s="178">
        <v>43910</v>
      </c>
      <c r="D33" s="178">
        <v>43926</v>
      </c>
      <c r="E33" s="178">
        <v>43931</v>
      </c>
      <c r="F33" s="178">
        <v>43939</v>
      </c>
      <c r="G33" s="178">
        <v>43961</v>
      </c>
      <c r="H33" s="178">
        <v>43973</v>
      </c>
      <c r="I33" s="178">
        <v>43989</v>
      </c>
      <c r="J33" s="178">
        <v>44008</v>
      </c>
      <c r="K33" s="178">
        <v>44050</v>
      </c>
      <c r="L33" s="178">
        <v>44079</v>
      </c>
      <c r="M33" s="178"/>
      <c r="N33" s="178"/>
      <c r="O33" s="178"/>
      <c r="Q33" s="127" t="s">
        <v>186</v>
      </c>
      <c r="R33" s="16"/>
      <c r="S33" s="16"/>
      <c r="T33" s="16"/>
      <c r="U33" s="16"/>
      <c r="V33" s="16"/>
      <c r="W33" s="16"/>
      <c r="X33" s="16"/>
      <c r="Y33" s="171"/>
      <c r="Z33" s="16"/>
      <c r="AA33" s="16"/>
      <c r="AB33" s="16"/>
      <c r="AD33" s="16"/>
      <c r="AE33" s="16"/>
      <c r="AF33" s="16"/>
      <c r="AG33" s="16" t="s">
        <v>223</v>
      </c>
      <c r="AK33" s="199"/>
      <c r="AQ33" s="236" t="s">
        <v>175</v>
      </c>
    </row>
    <row r="34" spans="1:46" x14ac:dyDescent="0.25">
      <c r="A34" s="4" t="s">
        <v>11</v>
      </c>
      <c r="B34" s="282">
        <v>5</v>
      </c>
      <c r="C34" s="288">
        <v>4</v>
      </c>
      <c r="D34" s="282">
        <v>5</v>
      </c>
      <c r="E34" s="146">
        <v>8</v>
      </c>
      <c r="F34" s="78">
        <v>11</v>
      </c>
      <c r="G34" s="78">
        <v>12</v>
      </c>
      <c r="H34" s="206">
        <v>16</v>
      </c>
      <c r="I34" s="206">
        <v>19</v>
      </c>
      <c r="J34" s="206">
        <v>21</v>
      </c>
      <c r="K34" s="206">
        <v>29</v>
      </c>
      <c r="L34" s="206">
        <v>58</v>
      </c>
      <c r="M34" s="206"/>
      <c r="N34" s="206"/>
      <c r="O34" s="206"/>
      <c r="P34" s="290">
        <v>43895</v>
      </c>
      <c r="Q34" s="284">
        <f t="shared" ref="Q34:AI34" si="0">P34+HLOOKUP(P34+1, $B$33:$O$34,2,TRUE)</f>
        <v>43900</v>
      </c>
      <c r="R34" s="284">
        <f t="shared" si="0"/>
        <v>43905</v>
      </c>
      <c r="S34" s="289">
        <f t="shared" si="0"/>
        <v>43910</v>
      </c>
      <c r="T34" s="289">
        <f t="shared" si="0"/>
        <v>43914</v>
      </c>
      <c r="U34" s="289">
        <f t="shared" si="0"/>
        <v>43918</v>
      </c>
      <c r="V34" s="289">
        <f t="shared" si="0"/>
        <v>43922</v>
      </c>
      <c r="W34" s="284">
        <f t="shared" si="0"/>
        <v>43926</v>
      </c>
      <c r="X34" s="283">
        <f t="shared" si="0"/>
        <v>43931</v>
      </c>
      <c r="Y34" s="285">
        <f t="shared" si="0"/>
        <v>43939</v>
      </c>
      <c r="Z34" s="285">
        <f t="shared" si="0"/>
        <v>43950</v>
      </c>
      <c r="AA34" s="285">
        <f t="shared" si="0"/>
        <v>43961</v>
      </c>
      <c r="AB34" s="291">
        <f t="shared" si="0"/>
        <v>43973</v>
      </c>
      <c r="AC34" s="291">
        <f t="shared" si="0"/>
        <v>43989</v>
      </c>
      <c r="AD34" s="291">
        <f t="shared" si="0"/>
        <v>44008</v>
      </c>
      <c r="AE34" s="291">
        <f t="shared" si="0"/>
        <v>44029</v>
      </c>
      <c r="AF34" s="291">
        <f t="shared" si="0"/>
        <v>44050</v>
      </c>
      <c r="AG34" s="286">
        <f t="shared" si="0"/>
        <v>44079</v>
      </c>
      <c r="AH34" s="216">
        <f t="shared" si="0"/>
        <v>44137</v>
      </c>
      <c r="AI34" s="216">
        <f t="shared" si="0"/>
        <v>44195</v>
      </c>
      <c r="AJ34" s="216">
        <f t="shared" ref="AJ34" si="1">AI34+HLOOKUP(AI34+1, $B$33:$O$34,2,TRUE)</f>
        <v>44253</v>
      </c>
      <c r="AK34" s="223">
        <f t="shared" ref="AK34" si="2">AJ34+HLOOKUP(AJ34+1, $B$33:$O$34,2,TRUE)</f>
        <v>44311</v>
      </c>
      <c r="AL34" s="216">
        <f>AK34+HLOOKUP(AK34+1, $B$33:$O$34,2,TRUE)</f>
        <v>44369</v>
      </c>
      <c r="AM34" s="216">
        <f>AL34+HLOOKUP(AL34+1, $B$33:$O$34,2,TRUE)</f>
        <v>44427</v>
      </c>
      <c r="AN34" s="216">
        <f>AM34+HLOOKUP(AM34+1, $B$33:$O$34,2,TRUE)</f>
        <v>44485</v>
      </c>
      <c r="AO34" s="223">
        <f>AM34+HLOOKUP(AM34+1, $B$33:$O$34,2,TRUE)</f>
        <v>44485</v>
      </c>
      <c r="AP34" s="223">
        <f>AO34+HLOOKUP(AO34+1, $B$33:$O$34,2,TRUE)</f>
        <v>44543</v>
      </c>
      <c r="AQ34" s="235">
        <f>AP34+(7*8)</f>
        <v>44599</v>
      </c>
      <c r="AR34" s="67"/>
      <c r="AS34" s="67"/>
      <c r="AT34" s="66"/>
    </row>
    <row r="35" spans="1:46" x14ac:dyDescent="0.25">
      <c r="A35" s="41" t="s">
        <v>107</v>
      </c>
      <c r="B35" s="16"/>
      <c r="C35" s="16"/>
      <c r="D35" s="16"/>
      <c r="E35" s="16"/>
      <c r="F35" s="16"/>
      <c r="G35" s="16"/>
      <c r="H35" s="16"/>
      <c r="I35" s="16"/>
      <c r="J35" s="16"/>
      <c r="K35" s="16"/>
      <c r="L35" s="16"/>
      <c r="M35" s="16"/>
      <c r="N35" s="16"/>
      <c r="O35" s="16"/>
      <c r="P35" s="215">
        <v>31.25</v>
      </c>
      <c r="Q35" s="209">
        <f>P35*2</f>
        <v>62.5</v>
      </c>
      <c r="R35" s="209">
        <f t="shared" ref="R35:AF35" si="3">Q35*2</f>
        <v>125</v>
      </c>
      <c r="S35" s="209">
        <f t="shared" si="3"/>
        <v>250</v>
      </c>
      <c r="T35" s="209">
        <f t="shared" si="3"/>
        <v>500</v>
      </c>
      <c r="U35" s="209">
        <f t="shared" si="3"/>
        <v>1000</v>
      </c>
      <c r="V35" s="209">
        <f t="shared" si="3"/>
        <v>2000</v>
      </c>
      <c r="W35" s="209">
        <f t="shared" si="3"/>
        <v>4000</v>
      </c>
      <c r="X35" s="209">
        <f t="shared" si="3"/>
        <v>8000</v>
      </c>
      <c r="Y35" s="209">
        <f>X35*2</f>
        <v>16000</v>
      </c>
      <c r="Z35" s="209">
        <f>Y35*2</f>
        <v>32000</v>
      </c>
      <c r="AA35" s="209">
        <f>Z35*2</f>
        <v>64000</v>
      </c>
      <c r="AB35" s="209">
        <f>AA35*2</f>
        <v>128000</v>
      </c>
      <c r="AC35" s="209">
        <f t="shared" si="3"/>
        <v>256000</v>
      </c>
      <c r="AD35" s="209">
        <f t="shared" si="3"/>
        <v>512000</v>
      </c>
      <c r="AE35" s="209">
        <f t="shared" si="3"/>
        <v>1024000</v>
      </c>
      <c r="AF35" s="209">
        <f t="shared" si="3"/>
        <v>2048000</v>
      </c>
      <c r="AG35" s="209">
        <f>AF35*2</f>
        <v>4096000</v>
      </c>
      <c r="AH35" s="209">
        <f>AG35*2</f>
        <v>8192000</v>
      </c>
      <c r="AI35" s="209">
        <f>AH35*2</f>
        <v>16384000</v>
      </c>
      <c r="AJ35" s="209">
        <f t="shared" ref="AJ35:AN35" si="4">AI35*2</f>
        <v>32768000</v>
      </c>
      <c r="AK35" s="209">
        <f t="shared" si="4"/>
        <v>65536000</v>
      </c>
      <c r="AL35" s="209">
        <f t="shared" si="4"/>
        <v>131072000</v>
      </c>
      <c r="AM35" s="209">
        <f t="shared" si="4"/>
        <v>262144000</v>
      </c>
      <c r="AN35" s="224">
        <f t="shared" si="4"/>
        <v>524288000</v>
      </c>
      <c r="AO35" s="195">
        <f>AN35*2</f>
        <v>1048576000</v>
      </c>
      <c r="AP35" s="185">
        <f>B21</f>
        <v>1392156000</v>
      </c>
      <c r="AQ35" s="228">
        <f>B21*AQ36</f>
        <v>83529360</v>
      </c>
      <c r="AR35" s="45"/>
      <c r="AS35" s="45"/>
      <c r="AT35" s="66"/>
    </row>
    <row r="36" spans="1:46" x14ac:dyDescent="0.25">
      <c r="A36" s="41" t="s">
        <v>108</v>
      </c>
      <c r="B36" s="16"/>
      <c r="C36" s="16"/>
      <c r="D36" s="16"/>
      <c r="E36" s="16"/>
      <c r="F36" s="16"/>
      <c r="G36" s="16"/>
      <c r="H36" s="16"/>
      <c r="I36" s="16"/>
      <c r="J36" s="16"/>
      <c r="K36" s="16"/>
      <c r="L36" s="16"/>
      <c r="M36" s="16"/>
      <c r="N36" s="16"/>
      <c r="O36" s="16"/>
      <c r="P36" s="204">
        <f t="shared" ref="P36:AF36" si="5">P35/$B$21</f>
        <v>2.2447197009530542E-8</v>
      </c>
      <c r="Q36" s="205">
        <f t="shared" si="5"/>
        <v>4.4894394019061085E-8</v>
      </c>
      <c r="R36" s="205">
        <f t="shared" si="5"/>
        <v>8.978878803812217E-8</v>
      </c>
      <c r="S36" s="182">
        <f t="shared" si="5"/>
        <v>1.7957757607624434E-7</v>
      </c>
      <c r="T36" s="182">
        <f t="shared" si="5"/>
        <v>3.5915515215248868E-7</v>
      </c>
      <c r="U36" s="182">
        <f t="shared" si="5"/>
        <v>7.1831030430497736E-7</v>
      </c>
      <c r="V36" s="182">
        <f t="shared" si="5"/>
        <v>1.4366206086099547E-6</v>
      </c>
      <c r="W36" s="65">
        <f t="shared" si="5"/>
        <v>2.8732412172199094E-6</v>
      </c>
      <c r="X36" s="65">
        <f t="shared" si="5"/>
        <v>5.7464824344398189E-6</v>
      </c>
      <c r="Y36" s="65">
        <f>Y35/$B$21</f>
        <v>1.1492964868879638E-5</v>
      </c>
      <c r="Z36" s="65">
        <f>Z35/$B$21</f>
        <v>2.2985929737759275E-5</v>
      </c>
      <c r="AA36" s="36">
        <f>AA35/$B$21</f>
        <v>4.5971859475518551E-5</v>
      </c>
      <c r="AB36" s="14">
        <f>AB35/$B$21</f>
        <v>9.1943718951037102E-5</v>
      </c>
      <c r="AC36" s="14">
        <f t="shared" si="5"/>
        <v>1.838874379020742E-4</v>
      </c>
      <c r="AD36" s="14">
        <f t="shared" si="5"/>
        <v>3.6777487580414841E-4</v>
      </c>
      <c r="AE36" s="14">
        <f t="shared" si="5"/>
        <v>7.3554975160829681E-4</v>
      </c>
      <c r="AF36" s="14">
        <f t="shared" si="5"/>
        <v>1.4710995032165936E-3</v>
      </c>
      <c r="AG36" s="15">
        <f>AG35/$B$21</f>
        <v>2.9421990064331873E-3</v>
      </c>
      <c r="AH36" s="15">
        <f>AH35/$B$21</f>
        <v>5.8843980128663745E-3</v>
      </c>
      <c r="AI36" s="15">
        <f>AI35/$B$21</f>
        <v>1.1768796025732749E-2</v>
      </c>
      <c r="AJ36" s="15">
        <f t="shared" ref="AJ36:AO36" si="6">AJ35/$B$21</f>
        <v>2.3537592051465498E-2</v>
      </c>
      <c r="AK36" s="15">
        <f t="shared" si="6"/>
        <v>4.7075184102930996E-2</v>
      </c>
      <c r="AL36" s="15">
        <f t="shared" si="6"/>
        <v>9.4150368205861992E-2</v>
      </c>
      <c r="AM36" s="15">
        <f t="shared" si="6"/>
        <v>0.18830073641172398</v>
      </c>
      <c r="AN36" s="225">
        <f t="shared" ref="AN36" si="7">AN35/$B$21</f>
        <v>0.37660147282344797</v>
      </c>
      <c r="AO36" s="167">
        <f t="shared" si="6"/>
        <v>0.75320294564689594</v>
      </c>
      <c r="AP36" s="166">
        <f>AP35/$B$21</f>
        <v>1</v>
      </c>
      <c r="AQ36" s="229">
        <f>B24</f>
        <v>0.06</v>
      </c>
      <c r="AR36" s="25"/>
      <c r="AS36" s="25"/>
      <c r="AT36" s="66"/>
    </row>
    <row r="37" spans="1:46" x14ac:dyDescent="0.25">
      <c r="A37" s="41" t="s">
        <v>157</v>
      </c>
      <c r="B37" s="16"/>
      <c r="C37" s="16"/>
      <c r="D37" s="16"/>
      <c r="E37" s="16"/>
      <c r="F37" s="16"/>
      <c r="G37" s="16"/>
      <c r="H37" s="16"/>
      <c r="I37" s="16"/>
      <c r="J37" s="16"/>
      <c r="K37" s="16"/>
      <c r="L37" s="16"/>
      <c r="M37" s="16"/>
      <c r="N37" s="16"/>
      <c r="O37" s="16"/>
      <c r="P37" s="269">
        <f t="shared" ref="P37:Y37" si="8">MAX(P35-(P43-P44)-(P45-P46)-(P47-P48),0)</f>
        <v>25.016129564011877</v>
      </c>
      <c r="Q37" s="270">
        <f t="shared" si="8"/>
        <v>52.366135481904664</v>
      </c>
      <c r="R37" s="270">
        <f t="shared" si="8"/>
        <v>108.52625208919129</v>
      </c>
      <c r="S37" s="270">
        <f t="shared" si="8"/>
        <v>222.10422027875339</v>
      </c>
      <c r="T37" s="270">
        <f>MAX(T35-(T43-T44)-(T45-T46)-(T47-T48),0)</f>
        <v>447.6875</v>
      </c>
      <c r="U37" s="270">
        <f t="shared" si="8"/>
        <v>906.49780135330877</v>
      </c>
      <c r="V37" s="270">
        <f t="shared" si="8"/>
        <v>1856.4333005675624</v>
      </c>
      <c r="W37" s="270">
        <f t="shared" si="8"/>
        <v>3721.4155453634608</v>
      </c>
      <c r="X37" s="270">
        <f t="shared" si="8"/>
        <v>7285.310658734079</v>
      </c>
      <c r="Y37" s="270">
        <f t="shared" si="8"/>
        <v>13140.837714510171</v>
      </c>
      <c r="Z37" s="270">
        <f>MAX(Z35-(Z43-Z44)-(Z45-Z46)-(Z47-Z48),0)</f>
        <v>17289.745825150563</v>
      </c>
      <c r="AA37" s="270">
        <f t="shared" ref="AA37:AP37" si="9">MAX(AA35-(AA43-AA44)-(AA45-AA46)-(AA47-AA48),0)</f>
        <v>17728.062747146152</v>
      </c>
      <c r="AB37" s="270">
        <f t="shared" si="9"/>
        <v>33701.052805851825</v>
      </c>
      <c r="AC37" s="270">
        <f t="shared" si="9"/>
        <v>110068.63957119231</v>
      </c>
      <c r="AD37" s="270">
        <f t="shared" si="9"/>
        <v>120994.05261343048</v>
      </c>
      <c r="AE37" s="270">
        <f t="shared" si="9"/>
        <v>108415.34332832028</v>
      </c>
      <c r="AF37" s="270">
        <f t="shared" si="9"/>
        <v>364465.46162770619</v>
      </c>
      <c r="AG37" s="270">
        <f t="shared" si="9"/>
        <v>175265.48761279442</v>
      </c>
      <c r="AH37" s="270">
        <f t="shared" si="9"/>
        <v>0</v>
      </c>
      <c r="AI37" s="270">
        <f t="shared" si="9"/>
        <v>0</v>
      </c>
      <c r="AJ37" s="270">
        <f t="shared" ref="AJ37:AO37" si="10">MAX(AJ35-(AJ43-AJ44)-(AJ45-AJ46)-(AJ47-AJ48),0)</f>
        <v>0</v>
      </c>
      <c r="AK37" s="270">
        <f t="shared" si="10"/>
        <v>0</v>
      </c>
      <c r="AL37" s="270">
        <f t="shared" si="10"/>
        <v>0</v>
      </c>
      <c r="AM37" s="270">
        <f t="shared" si="10"/>
        <v>0</v>
      </c>
      <c r="AN37" s="226">
        <f t="shared" ref="AN37" si="11">MAX(AN35-(AN43-AN44)-(AN45-AN46)-(AN47-AN48),0)</f>
        <v>0</v>
      </c>
      <c r="AO37" s="186">
        <f t="shared" si="10"/>
        <v>105967378.17875814</v>
      </c>
      <c r="AP37" s="185">
        <f t="shared" si="9"/>
        <v>49622354.779036626</v>
      </c>
      <c r="AQ37" s="230"/>
      <c r="AR37" s="45"/>
      <c r="AS37" s="45"/>
      <c r="AT37" s="66"/>
    </row>
    <row r="38" spans="1:46" x14ac:dyDescent="0.25">
      <c r="A38" s="41" t="s">
        <v>171</v>
      </c>
      <c r="B38" s="16"/>
      <c r="C38" s="16"/>
      <c r="D38" s="16"/>
      <c r="E38" s="16"/>
      <c r="F38" s="16"/>
      <c r="G38" s="16"/>
      <c r="H38" s="16"/>
      <c r="I38" s="16"/>
      <c r="J38" s="16"/>
      <c r="K38" s="16"/>
      <c r="L38" s="16"/>
      <c r="M38" s="16"/>
      <c r="N38" s="16"/>
      <c r="O38" s="16"/>
      <c r="P38" s="74">
        <f>MAX(P35-P37-P50,0)</f>
        <v>6.2338704359881234</v>
      </c>
      <c r="Q38" s="75">
        <f>MAX(Q35-Q37-Q50,0)</f>
        <v>10.133864518095336</v>
      </c>
      <c r="R38" s="75">
        <f>MAX(R35-R37-R50,0)</f>
        <v>16.473747910808711</v>
      </c>
      <c r="S38" s="210">
        <f>MAX(S35-S37-S50,0)</f>
        <v>27.895779721246612</v>
      </c>
      <c r="T38" s="210">
        <f t="shared" ref="T38:AK38" si="12">MAX(T35-T37-T50,0)</f>
        <v>52.3125</v>
      </c>
      <c r="U38" s="210">
        <f t="shared" si="12"/>
        <v>93.502198646691227</v>
      </c>
      <c r="V38" s="210">
        <f t="shared" si="12"/>
        <v>143.56669943243764</v>
      </c>
      <c r="W38" s="210">
        <f t="shared" si="12"/>
        <v>278.58445463653925</v>
      </c>
      <c r="X38" s="210">
        <f t="shared" si="12"/>
        <v>714.08665466700518</v>
      </c>
      <c r="Y38" s="210">
        <f t="shared" si="12"/>
        <v>2857.1421762598075</v>
      </c>
      <c r="Z38" s="210">
        <f t="shared" si="12"/>
        <v>14698.882390023207</v>
      </c>
      <c r="AA38" s="210">
        <f t="shared" si="12"/>
        <v>46193.752357020516</v>
      </c>
      <c r="AB38" s="210">
        <f t="shared" si="12"/>
        <v>93892.536591875076</v>
      </c>
      <c r="AC38" s="210">
        <f t="shared" si="12"/>
        <v>144928.25306536435</v>
      </c>
      <c r="AD38" s="210">
        <f t="shared" si="12"/>
        <v>388731.05676156952</v>
      </c>
      <c r="AE38" s="210">
        <f t="shared" si="12"/>
        <v>907985.66094299627</v>
      </c>
      <c r="AF38" s="210">
        <f t="shared" si="12"/>
        <v>1666556.053200746</v>
      </c>
      <c r="AG38" s="210">
        <f t="shared" si="12"/>
        <v>3859610.56068685</v>
      </c>
      <c r="AH38" s="210">
        <f t="shared" si="12"/>
        <v>7863300.9602178913</v>
      </c>
      <c r="AI38" s="210">
        <f t="shared" si="12"/>
        <v>15893287.722647324</v>
      </c>
      <c r="AJ38" s="210">
        <f t="shared" si="12"/>
        <v>31945669.647037569</v>
      </c>
      <c r="AK38" s="210">
        <f t="shared" si="12"/>
        <v>64076668.126556173</v>
      </c>
      <c r="AL38" s="210">
        <f>MAX(AL35-AL37-AL50,0)</f>
        <v>128394434.30868816</v>
      </c>
      <c r="AM38" s="210">
        <f>MAX(AM35-AM37-AM50,0)</f>
        <v>257126473.27510256</v>
      </c>
      <c r="AN38" s="292">
        <f t="shared" ref="AN38:AO38" si="13">MAX(AN35-AN37-AN50,0)</f>
        <v>514751134.34209412</v>
      </c>
      <c r="AO38" s="293">
        <f t="shared" si="13"/>
        <v>933071756.16333604</v>
      </c>
      <c r="AP38" s="200">
        <f>MAX(AP35-AP37-AP50,0)</f>
        <v>1324224440.6238678</v>
      </c>
      <c r="AQ38" s="231"/>
      <c r="AR38" s="25"/>
      <c r="AS38" s="25"/>
      <c r="AT38" s="66"/>
    </row>
    <row r="39" spans="1:46" x14ac:dyDescent="0.25">
      <c r="A39" s="4" t="s">
        <v>164</v>
      </c>
      <c r="B39" s="9"/>
      <c r="C39" s="9"/>
      <c r="D39" s="9"/>
      <c r="E39" s="9"/>
      <c r="F39" s="9"/>
      <c r="G39" s="9"/>
      <c r="H39" s="9"/>
      <c r="I39" s="9"/>
      <c r="J39" s="9"/>
      <c r="K39" s="9"/>
      <c r="L39" s="9"/>
      <c r="M39" s="9"/>
      <c r="N39" s="9"/>
      <c r="O39" s="5"/>
      <c r="P39" s="197">
        <f t="shared" ref="P39:AK39" si="14">P35/$B$23</f>
        <v>54.6875</v>
      </c>
      <c r="Q39" s="198">
        <f t="shared" si="14"/>
        <v>109.375</v>
      </c>
      <c r="R39" s="198">
        <f t="shared" si="14"/>
        <v>218.75</v>
      </c>
      <c r="S39" s="198">
        <f t="shared" si="14"/>
        <v>437.5</v>
      </c>
      <c r="T39" s="198">
        <f t="shared" si="14"/>
        <v>875</v>
      </c>
      <c r="U39" s="198">
        <f t="shared" si="14"/>
        <v>1750</v>
      </c>
      <c r="V39" s="198">
        <f t="shared" si="14"/>
        <v>3500</v>
      </c>
      <c r="W39" s="198">
        <f t="shared" si="14"/>
        <v>7000</v>
      </c>
      <c r="X39" s="198">
        <f t="shared" si="14"/>
        <v>14000</v>
      </c>
      <c r="Y39" s="198">
        <f t="shared" si="14"/>
        <v>28000</v>
      </c>
      <c r="Z39" s="198">
        <f t="shared" si="14"/>
        <v>56000</v>
      </c>
      <c r="AA39" s="198">
        <f t="shared" si="14"/>
        <v>112000</v>
      </c>
      <c r="AB39" s="198">
        <f t="shared" si="14"/>
        <v>224000</v>
      </c>
      <c r="AC39" s="198">
        <f t="shared" si="14"/>
        <v>448000</v>
      </c>
      <c r="AD39" s="198">
        <f t="shared" si="14"/>
        <v>896000</v>
      </c>
      <c r="AE39" s="198">
        <f t="shared" si="14"/>
        <v>1792000</v>
      </c>
      <c r="AF39" s="198">
        <f t="shared" si="14"/>
        <v>3584000</v>
      </c>
      <c r="AG39" s="198">
        <f t="shared" si="14"/>
        <v>7168000</v>
      </c>
      <c r="AH39" s="198">
        <f t="shared" si="14"/>
        <v>14336000</v>
      </c>
      <c r="AI39" s="198">
        <f t="shared" si="14"/>
        <v>28672000</v>
      </c>
      <c r="AJ39" s="198">
        <f t="shared" si="14"/>
        <v>57344000</v>
      </c>
      <c r="AK39" s="198">
        <f t="shared" si="14"/>
        <v>114688000</v>
      </c>
      <c r="AL39" s="198">
        <f>AL35/$B$23</f>
        <v>229376000</v>
      </c>
      <c r="AM39" s="198">
        <f>AM35/$B$23</f>
        <v>458752000</v>
      </c>
      <c r="AN39" s="224">
        <f>AN35/$B$23</f>
        <v>917504000</v>
      </c>
      <c r="AO39" s="195">
        <f t="shared" ref="AO39" si="15">$B$21</f>
        <v>1392156000</v>
      </c>
      <c r="AP39" s="185">
        <f>AP35</f>
        <v>1392156000</v>
      </c>
      <c r="AQ39" s="230">
        <f>($B$21*$B$24)/$B$23</f>
        <v>146176380</v>
      </c>
      <c r="AR39" s="25"/>
      <c r="AS39" s="25"/>
      <c r="AT39" s="66"/>
    </row>
    <row r="40" spans="1:46" x14ac:dyDescent="0.25">
      <c r="A40" s="41" t="s">
        <v>112</v>
      </c>
      <c r="B40" s="16"/>
      <c r="C40" s="16"/>
      <c r="D40" s="16"/>
      <c r="E40" s="16"/>
      <c r="F40" s="16"/>
      <c r="G40" s="16"/>
      <c r="H40" s="16"/>
      <c r="I40" s="16"/>
      <c r="J40" s="16"/>
      <c r="K40" s="16"/>
      <c r="L40" s="16"/>
      <c r="M40" s="16"/>
      <c r="N40" s="16"/>
      <c r="O40" s="17"/>
      <c r="P40" s="181">
        <f>P39/$B$21</f>
        <v>3.928259476667845E-8</v>
      </c>
      <c r="Q40" s="182">
        <f t="shared" ref="Q40:AH40" si="16">Q39/$B$21</f>
        <v>7.85651895333569E-8</v>
      </c>
      <c r="R40" s="182">
        <f t="shared" si="16"/>
        <v>1.571303790667138E-7</v>
      </c>
      <c r="S40" s="65">
        <f t="shared" si="16"/>
        <v>3.142607581334276E-7</v>
      </c>
      <c r="T40" s="65">
        <f t="shared" si="16"/>
        <v>6.285215162668552E-7</v>
      </c>
      <c r="U40" s="65">
        <f t="shared" si="16"/>
        <v>1.2570430325337104E-6</v>
      </c>
      <c r="V40" s="65">
        <f t="shared" si="16"/>
        <v>2.5140860650674208E-6</v>
      </c>
      <c r="W40" s="36">
        <f t="shared" si="16"/>
        <v>5.0281721301348416E-6</v>
      </c>
      <c r="X40" s="36">
        <f t="shared" si="16"/>
        <v>1.0056344260269683E-5</v>
      </c>
      <c r="Y40" s="36">
        <f t="shared" si="16"/>
        <v>2.0112688520539366E-5</v>
      </c>
      <c r="Z40" s="36">
        <f t="shared" si="16"/>
        <v>4.0225377041078733E-5</v>
      </c>
      <c r="AA40" s="36">
        <f t="shared" si="16"/>
        <v>8.0450754082157466E-5</v>
      </c>
      <c r="AB40" s="14">
        <f t="shared" si="16"/>
        <v>1.6090150816431493E-4</v>
      </c>
      <c r="AC40" s="14">
        <f t="shared" si="16"/>
        <v>3.2180301632862986E-4</v>
      </c>
      <c r="AD40" s="14">
        <f t="shared" si="16"/>
        <v>6.4360603265725973E-4</v>
      </c>
      <c r="AE40" s="14">
        <f t="shared" si="16"/>
        <v>1.2872120653145195E-3</v>
      </c>
      <c r="AF40" s="15">
        <f t="shared" si="16"/>
        <v>2.5744241306290389E-3</v>
      </c>
      <c r="AG40" s="15">
        <f t="shared" si="16"/>
        <v>5.1488482612580778E-3</v>
      </c>
      <c r="AH40" s="15">
        <f t="shared" si="16"/>
        <v>1.0297696522516156E-2</v>
      </c>
      <c r="AI40" s="15">
        <f>AI39/$B$21</f>
        <v>2.0595393045032311E-2</v>
      </c>
      <c r="AJ40" s="72">
        <f t="shared" ref="AJ40:AO40" si="17">AJ39/$B$21</f>
        <v>4.1190786090064622E-2</v>
      </c>
      <c r="AK40" s="72">
        <f t="shared" si="17"/>
        <v>8.2381572180129245E-2</v>
      </c>
      <c r="AL40" s="72">
        <f t="shared" ref="AL40" si="18">AL39/$B$21</f>
        <v>0.16476314436025849</v>
      </c>
      <c r="AM40" s="72">
        <f t="shared" si="17"/>
        <v>0.32952628872051698</v>
      </c>
      <c r="AN40" s="225">
        <f t="shared" ref="AN40" si="19">AN39/$B$21</f>
        <v>0.65905257744103396</v>
      </c>
      <c r="AO40" s="167">
        <f t="shared" si="17"/>
        <v>1</v>
      </c>
      <c r="AP40" s="166">
        <v>1</v>
      </c>
      <c r="AQ40" s="229">
        <f>AQ39/B21</f>
        <v>0.105</v>
      </c>
      <c r="AR40" s="25"/>
      <c r="AS40" s="25"/>
      <c r="AT40" s="66"/>
    </row>
    <row r="41" spans="1:46" x14ac:dyDescent="0.25">
      <c r="A41" s="41" t="s">
        <v>162</v>
      </c>
      <c r="B41" s="16"/>
      <c r="C41" s="16"/>
      <c r="D41" s="16"/>
      <c r="E41" s="16"/>
      <c r="F41" s="16"/>
      <c r="G41" s="16"/>
      <c r="H41" s="16"/>
      <c r="I41" s="16"/>
      <c r="J41" s="16"/>
      <c r="K41" s="16"/>
      <c r="L41" s="16"/>
      <c r="M41" s="16"/>
      <c r="N41" s="16"/>
      <c r="O41" s="17"/>
      <c r="P41" s="183">
        <f>P39-P35</f>
        <v>23.4375</v>
      </c>
      <c r="Q41" s="184">
        <f t="shared" ref="Q41:AG41" si="20">Q39-Q35</f>
        <v>46.875</v>
      </c>
      <c r="R41" s="184">
        <f t="shared" si="20"/>
        <v>93.75</v>
      </c>
      <c r="S41" s="184">
        <f t="shared" si="20"/>
        <v>187.5</v>
      </c>
      <c r="T41" s="184">
        <f>T39-T35</f>
        <v>375</v>
      </c>
      <c r="U41" s="184">
        <f t="shared" si="20"/>
        <v>750</v>
      </c>
      <c r="V41" s="184">
        <f t="shared" si="20"/>
        <v>1500</v>
      </c>
      <c r="W41" s="184">
        <f t="shared" si="20"/>
        <v>3000</v>
      </c>
      <c r="X41" s="184">
        <f t="shared" si="20"/>
        <v>6000</v>
      </c>
      <c r="Y41" s="184">
        <f t="shared" si="20"/>
        <v>12000</v>
      </c>
      <c r="Z41" s="184">
        <f t="shared" si="20"/>
        <v>24000</v>
      </c>
      <c r="AA41" s="184">
        <f t="shared" si="20"/>
        <v>48000</v>
      </c>
      <c r="AB41" s="184">
        <f t="shared" si="20"/>
        <v>96000</v>
      </c>
      <c r="AC41" s="184">
        <f t="shared" si="20"/>
        <v>192000</v>
      </c>
      <c r="AD41" s="184">
        <f t="shared" si="20"/>
        <v>384000</v>
      </c>
      <c r="AE41" s="184">
        <f t="shared" si="20"/>
        <v>768000</v>
      </c>
      <c r="AF41" s="184">
        <f t="shared" si="20"/>
        <v>1536000</v>
      </c>
      <c r="AG41" s="184">
        <f t="shared" si="20"/>
        <v>3072000</v>
      </c>
      <c r="AH41" s="184">
        <f>AH39-AH35</f>
        <v>6144000</v>
      </c>
      <c r="AI41" s="184">
        <f>AI39-AI35</f>
        <v>12288000</v>
      </c>
      <c r="AJ41" s="184">
        <f>AJ39-AJ35</f>
        <v>24576000</v>
      </c>
      <c r="AK41" s="184">
        <f t="shared" ref="AK41:AO41" si="21">AK39</f>
        <v>114688000</v>
      </c>
      <c r="AL41" s="184">
        <f t="shared" si="21"/>
        <v>229376000</v>
      </c>
      <c r="AM41" s="184">
        <f t="shared" si="21"/>
        <v>458752000</v>
      </c>
      <c r="AN41" s="226">
        <f t="shared" ref="AN41" si="22">AN39</f>
        <v>917504000</v>
      </c>
      <c r="AO41" s="186">
        <f t="shared" si="21"/>
        <v>1392156000</v>
      </c>
      <c r="AP41" s="185">
        <f>AP39</f>
        <v>1392156000</v>
      </c>
      <c r="AQ41" s="232">
        <f>AQ39-AQ35</f>
        <v>62647020</v>
      </c>
      <c r="AR41" s="25"/>
      <c r="AS41" s="25"/>
      <c r="AT41" s="66"/>
    </row>
    <row r="42" spans="1:46" x14ac:dyDescent="0.25">
      <c r="A42" s="37" t="s">
        <v>163</v>
      </c>
      <c r="B42" s="39"/>
      <c r="C42" s="39"/>
      <c r="D42" s="39"/>
      <c r="E42" s="39"/>
      <c r="F42" s="39"/>
      <c r="G42" s="39"/>
      <c r="H42" s="39"/>
      <c r="I42" s="39"/>
      <c r="J42" s="39"/>
      <c r="K42" s="39"/>
      <c r="L42" s="39"/>
      <c r="M42" s="39"/>
      <c r="N42" s="39"/>
      <c r="O42" s="62"/>
      <c r="P42" s="192">
        <f>MIN((1/$B$23)*(2^(((P34 - 14) - $B$31)/$P$60)),P41)</f>
        <v>13.468238596270638</v>
      </c>
      <c r="Q42" s="193">
        <f>MIN((1/$B$23)*(2^(((Q34 - 14) - $B$31)/$P$60)),Q41)</f>
        <v>21.894151736625723</v>
      </c>
      <c r="R42" s="193">
        <f t="shared" ref="R42" si="23">MIN((1/$B$23)*(2^(((R34 - 14) - $B$31)/$P$60)),R41)</f>
        <v>35.591430671500298</v>
      </c>
      <c r="S42" s="184">
        <f t="shared" ref="S42:AP42" si="24">MIN(($P$35/$B$23)*(2^(((S34 - 14) - $P$34)/HLOOKUP((S34-14)-$B$31,$P$58:$AQ$60,3,TRUE))),S41)</f>
        <v>60.268659891582168</v>
      </c>
      <c r="T42" s="184">
        <f t="shared" si="24"/>
        <v>113.02083333333331</v>
      </c>
      <c r="U42" s="184">
        <f t="shared" si="24"/>
        <v>202.01092300211059</v>
      </c>
      <c r="V42" s="184">
        <f t="shared" si="24"/>
        <v>310.17496790958762</v>
      </c>
      <c r="W42" s="184">
        <f t="shared" si="24"/>
        <v>601.87999458511558</v>
      </c>
      <c r="X42" s="184">
        <f t="shared" si="24"/>
        <v>1540.3616224947939</v>
      </c>
      <c r="Y42" s="184">
        <f t="shared" si="24"/>
        <v>5807.2503285028806</v>
      </c>
      <c r="Z42" s="184">
        <f t="shared" si="24"/>
        <v>24000</v>
      </c>
      <c r="AA42" s="184">
        <f t="shared" si="24"/>
        <v>48000</v>
      </c>
      <c r="AB42" s="184">
        <f t="shared" si="24"/>
        <v>96000</v>
      </c>
      <c r="AC42" s="184">
        <f t="shared" si="24"/>
        <v>192000</v>
      </c>
      <c r="AD42" s="184">
        <f t="shared" si="24"/>
        <v>384000</v>
      </c>
      <c r="AE42" s="184">
        <f t="shared" si="24"/>
        <v>768000</v>
      </c>
      <c r="AF42" s="184">
        <f t="shared" si="24"/>
        <v>1536000</v>
      </c>
      <c r="AG42" s="184">
        <f t="shared" si="24"/>
        <v>3072000</v>
      </c>
      <c r="AH42" s="184">
        <f t="shared" si="24"/>
        <v>6144000</v>
      </c>
      <c r="AI42" s="184">
        <f t="shared" si="24"/>
        <v>12288000</v>
      </c>
      <c r="AJ42" s="184">
        <f t="shared" si="24"/>
        <v>24576000</v>
      </c>
      <c r="AK42" s="184">
        <f t="shared" si="24"/>
        <v>114688000</v>
      </c>
      <c r="AL42" s="184">
        <f t="shared" si="24"/>
        <v>229376000</v>
      </c>
      <c r="AM42" s="184">
        <f t="shared" si="24"/>
        <v>458752000</v>
      </c>
      <c r="AN42" s="227">
        <f t="shared" si="24"/>
        <v>917504000</v>
      </c>
      <c r="AO42" s="190">
        <f t="shared" si="24"/>
        <v>1392156000</v>
      </c>
      <c r="AP42" s="189">
        <f t="shared" si="24"/>
        <v>1392156000</v>
      </c>
      <c r="AQ42" s="232"/>
      <c r="AR42" s="25"/>
      <c r="AS42" s="25"/>
      <c r="AT42" s="66"/>
    </row>
    <row r="43" spans="1:46" x14ac:dyDescent="0.25">
      <c r="A43" s="41" t="s">
        <v>160</v>
      </c>
      <c r="B43" s="16"/>
      <c r="C43" s="16"/>
      <c r="D43" s="16"/>
      <c r="E43" s="16"/>
      <c r="F43" s="16"/>
      <c r="G43" s="16"/>
      <c r="H43" s="16"/>
      <c r="I43" s="16"/>
      <c r="J43" s="16"/>
      <c r="K43" s="16"/>
      <c r="L43" s="16"/>
      <c r="M43" s="16"/>
      <c r="N43" s="16"/>
      <c r="O43" s="16"/>
      <c r="P43" s="201">
        <f t="shared" ref="P43:AP43" si="25">P35*$B$27</f>
        <v>25.3125</v>
      </c>
      <c r="Q43" s="202">
        <f t="shared" si="25"/>
        <v>50.625</v>
      </c>
      <c r="R43" s="202">
        <f t="shared" si="25"/>
        <v>101.25</v>
      </c>
      <c r="S43" s="202">
        <f t="shared" si="25"/>
        <v>202.5</v>
      </c>
      <c r="T43" s="202">
        <f t="shared" si="25"/>
        <v>405</v>
      </c>
      <c r="U43" s="202">
        <f t="shared" si="25"/>
        <v>810</v>
      </c>
      <c r="V43" s="202">
        <f t="shared" si="25"/>
        <v>1620</v>
      </c>
      <c r="W43" s="202">
        <f t="shared" si="25"/>
        <v>3240</v>
      </c>
      <c r="X43" s="202">
        <f t="shared" si="25"/>
        <v>6480</v>
      </c>
      <c r="Y43" s="202">
        <f t="shared" si="25"/>
        <v>12960</v>
      </c>
      <c r="Z43" s="202">
        <f t="shared" si="25"/>
        <v>25920</v>
      </c>
      <c r="AA43" s="202">
        <f t="shared" si="25"/>
        <v>51840</v>
      </c>
      <c r="AB43" s="202">
        <f t="shared" si="25"/>
        <v>103680</v>
      </c>
      <c r="AC43" s="202">
        <f t="shared" si="25"/>
        <v>207360</v>
      </c>
      <c r="AD43" s="202">
        <f t="shared" si="25"/>
        <v>414720</v>
      </c>
      <c r="AE43" s="202">
        <f t="shared" si="25"/>
        <v>829440</v>
      </c>
      <c r="AF43" s="202">
        <f t="shared" si="25"/>
        <v>1658880</v>
      </c>
      <c r="AG43" s="202">
        <f t="shared" si="25"/>
        <v>3317760</v>
      </c>
      <c r="AH43" s="202">
        <f t="shared" si="25"/>
        <v>6635520</v>
      </c>
      <c r="AI43" s="202">
        <f t="shared" si="25"/>
        <v>13271040</v>
      </c>
      <c r="AJ43" s="202">
        <f t="shared" ref="AJ43:AO43" si="26">AJ35*$B$27</f>
        <v>26542080</v>
      </c>
      <c r="AK43" s="202">
        <f t="shared" si="26"/>
        <v>53084160</v>
      </c>
      <c r="AL43" s="202">
        <f t="shared" si="26"/>
        <v>106168320</v>
      </c>
      <c r="AM43" s="202">
        <f t="shared" si="26"/>
        <v>212336640</v>
      </c>
      <c r="AN43" s="226">
        <f t="shared" ref="AN43" si="27">AN35*$B$27</f>
        <v>424673280</v>
      </c>
      <c r="AO43" s="186">
        <f t="shared" si="26"/>
        <v>849346560</v>
      </c>
      <c r="AP43" s="185">
        <f t="shared" si="25"/>
        <v>1127646360</v>
      </c>
      <c r="AQ43" s="232">
        <f>AQ35*B27</f>
        <v>67658781.600000009</v>
      </c>
      <c r="AR43" s="25"/>
      <c r="AS43" s="25"/>
      <c r="AT43" s="66"/>
    </row>
    <row r="44" spans="1:46" x14ac:dyDescent="0.25">
      <c r="A44" s="41" t="s">
        <v>172</v>
      </c>
      <c r="B44" s="16"/>
      <c r="C44" s="16"/>
      <c r="D44" s="16"/>
      <c r="E44" s="16"/>
      <c r="F44" s="16"/>
      <c r="G44" s="16"/>
      <c r="H44" s="16"/>
      <c r="I44" s="16"/>
      <c r="J44" s="16"/>
      <c r="K44" s="16"/>
      <c r="L44" s="16"/>
      <c r="M44" s="16"/>
      <c r="N44" s="16"/>
      <c r="O44" s="16"/>
      <c r="P44" s="192">
        <f>P43-(1*$B$27)*(2^(((P34 - 14) - $B$31)/$P$60))</f>
        <v>19.078629564011877</v>
      </c>
      <c r="Q44" s="193">
        <f>Q43-(1*$B$27)*(2^(((Q34 - 14) - $B$31)/$P$60))</f>
        <v>40.491135481904664</v>
      </c>
      <c r="R44" s="193">
        <f>R43-(1*$B$27)*(2^(((R34 - 14) - $B$31)/$P$60))</f>
        <v>84.776252089191289</v>
      </c>
      <c r="S44" s="191">
        <f t="shared" ref="S44:AP44" si="28">MAX(S43-(($P$35*$B$27)*(2^(((S34 -14) - $P$34)/HLOOKUP((S34-14)-$B$31,$P$58:$AQ$60,3,TRUE)))),0)</f>
        <v>174.60422027875339</v>
      </c>
      <c r="T44" s="191">
        <f t="shared" si="28"/>
        <v>352.6875</v>
      </c>
      <c r="U44" s="191">
        <f t="shared" si="28"/>
        <v>716.49780135330877</v>
      </c>
      <c r="V44" s="191">
        <f t="shared" si="28"/>
        <v>1476.4333005675624</v>
      </c>
      <c r="W44" s="191">
        <f t="shared" si="28"/>
        <v>2961.4155453634608</v>
      </c>
      <c r="X44" s="191">
        <f t="shared" si="28"/>
        <v>5767.0326204452667</v>
      </c>
      <c r="Y44" s="191">
        <f t="shared" si="28"/>
        <v>10272.072705092953</v>
      </c>
      <c r="Z44" s="191">
        <f t="shared" si="28"/>
        <v>12088.364484061041</v>
      </c>
      <c r="AA44" s="191">
        <f t="shared" si="28"/>
        <v>8416.0984022079647</v>
      </c>
      <c r="AB44" s="191">
        <f t="shared" si="28"/>
        <v>15907.44508458137</v>
      </c>
      <c r="AC44" s="191">
        <f t="shared" si="28"/>
        <v>76982.028228321709</v>
      </c>
      <c r="AD44" s="191">
        <f t="shared" si="28"/>
        <v>62995.054843795486</v>
      </c>
      <c r="AE44" s="191">
        <f t="shared" si="28"/>
        <v>43578.686345501919</v>
      </c>
      <c r="AF44" s="191">
        <f t="shared" si="28"/>
        <v>143200.15426563029</v>
      </c>
      <c r="AG44" s="191">
        <f t="shared" si="28"/>
        <v>0</v>
      </c>
      <c r="AH44" s="191">
        <f t="shared" si="28"/>
        <v>0</v>
      </c>
      <c r="AI44" s="191">
        <f t="shared" si="28"/>
        <v>0</v>
      </c>
      <c r="AJ44" s="191">
        <f t="shared" si="28"/>
        <v>0</v>
      </c>
      <c r="AK44" s="191">
        <f t="shared" si="28"/>
        <v>0</v>
      </c>
      <c r="AL44" s="191">
        <f t="shared" si="28"/>
        <v>0</v>
      </c>
      <c r="AM44" s="191">
        <f t="shared" si="28"/>
        <v>0</v>
      </c>
      <c r="AN44" s="227">
        <f t="shared" si="28"/>
        <v>0</v>
      </c>
      <c r="AO44" s="190">
        <f t="shared" si="28"/>
        <v>19770895.530236959</v>
      </c>
      <c r="AP44" s="189">
        <f t="shared" si="28"/>
        <v>0</v>
      </c>
      <c r="AQ44" s="230"/>
      <c r="AR44" s="25"/>
      <c r="AS44" s="25"/>
      <c r="AT44" s="66"/>
    </row>
    <row r="45" spans="1:46" x14ac:dyDescent="0.25">
      <c r="A45" s="61" t="s">
        <v>110</v>
      </c>
      <c r="B45" s="9"/>
      <c r="C45" s="9"/>
      <c r="D45" s="9"/>
      <c r="E45" s="9"/>
      <c r="F45" s="9"/>
      <c r="G45" s="9"/>
      <c r="H45" s="9"/>
      <c r="I45" s="9"/>
      <c r="J45" s="9"/>
      <c r="K45" s="9"/>
      <c r="L45" s="9"/>
      <c r="M45" s="9"/>
      <c r="N45" s="9"/>
      <c r="O45" s="5"/>
      <c r="P45" s="212">
        <f>(1*($B$28+$B$29))*(2^(((P34 - 7) - $B$31)/$P$60))</f>
        <v>2.8870253994390738</v>
      </c>
      <c r="Q45" s="207">
        <f>(1*($B$28+$B$29))*(2^(((Q34 - 7) - $B$31)/$P$60))</f>
        <v>4.6931877328275249</v>
      </c>
      <c r="R45" s="198">
        <f t="shared" ref="R45:AO45" si="29">($P$35*($B$28+$B$29))*(2^(((R34-7)-$P$34)/HLOOKUP((R34-7)-$B$31,$P$58:$AQ$60,3,TRUE)))</f>
        <v>7.9471976804692028</v>
      </c>
      <c r="S45" s="198">
        <f t="shared" si="29"/>
        <v>18.968645416344785</v>
      </c>
      <c r="T45" s="198">
        <f t="shared" si="29"/>
        <v>29.467543857131108</v>
      </c>
      <c r="U45" s="198">
        <f t="shared" si="29"/>
        <v>56.748395631433958</v>
      </c>
      <c r="V45" s="198">
        <f t="shared" si="29"/>
        <v>123.46509239906847</v>
      </c>
      <c r="W45" s="198">
        <f t="shared" si="29"/>
        <v>227.38643858014458</v>
      </c>
      <c r="X45" s="198">
        <f t="shared" si="29"/>
        <v>539.69701610130301</v>
      </c>
      <c r="Y45" s="198">
        <f t="shared" si="29"/>
        <v>1754.1437959922339</v>
      </c>
      <c r="Z45" s="198">
        <f t="shared" si="29"/>
        <v>5743.7813709348993</v>
      </c>
      <c r="AA45" s="198">
        <f t="shared" si="29"/>
        <v>10890.879945956123</v>
      </c>
      <c r="AB45" s="198">
        <f t="shared" si="29"/>
        <v>23844.437956518799</v>
      </c>
      <c r="AC45" s="198">
        <f t="shared" si="29"/>
        <v>64604.289705310286</v>
      </c>
      <c r="AD45" s="198">
        <f t="shared" si="29"/>
        <v>161957.78273044966</v>
      </c>
      <c r="AE45" s="198">
        <f t="shared" si="29"/>
        <v>337014.4011297003</v>
      </c>
      <c r="AF45" s="198">
        <f t="shared" si="29"/>
        <v>613826.46830447321</v>
      </c>
      <c r="AG45" s="198">
        <f t="shared" si="29"/>
        <v>2010393.4225772631</v>
      </c>
      <c r="AH45" s="198">
        <f t="shared" si="29"/>
        <v>21587499.783196583</v>
      </c>
      <c r="AI45" s="198">
        <f t="shared" si="29"/>
        <v>22674214.033774186</v>
      </c>
      <c r="AJ45" s="198">
        <f t="shared" si="29"/>
        <v>30636777.575609867</v>
      </c>
      <c r="AK45" s="198">
        <f t="shared" si="29"/>
        <v>47004683.981215782</v>
      </c>
      <c r="AL45" s="198">
        <f t="shared" si="29"/>
        <v>77650327.194995955</v>
      </c>
      <c r="AM45" s="198">
        <f t="shared" si="29"/>
        <v>134420186.3197518</v>
      </c>
      <c r="AN45" s="224">
        <f t="shared" si="29"/>
        <v>240136978.46376827</v>
      </c>
      <c r="AO45" s="195">
        <f t="shared" si="29"/>
        <v>240136978.46376827</v>
      </c>
      <c r="AP45" s="194">
        <f>($P$35*($B$28+$B$29))*(2^(((AP34 - 7) - $P$34)/AP60))</f>
        <v>227694437.87720171</v>
      </c>
      <c r="AQ45" s="230">
        <f>AQ35*(B28+B29)</f>
        <v>15870578.4</v>
      </c>
      <c r="AR45" s="45"/>
      <c r="AS45" s="45"/>
      <c r="AT45" s="66"/>
    </row>
    <row r="46" spans="1:46" x14ac:dyDescent="0.25">
      <c r="A46" s="37" t="s">
        <v>158</v>
      </c>
      <c r="B46" s="38"/>
      <c r="C46" s="39"/>
      <c r="D46" s="39"/>
      <c r="E46" s="39"/>
      <c r="F46" s="39"/>
      <c r="G46" s="39"/>
      <c r="H46" s="39"/>
      <c r="I46" s="39"/>
      <c r="J46" s="39"/>
      <c r="K46" s="39"/>
      <c r="L46" s="39"/>
      <c r="M46" s="39"/>
      <c r="N46" s="39"/>
      <c r="O46" s="62"/>
      <c r="P46" s="192">
        <f t="shared" ref="P46:X46" si="30">P45</f>
        <v>2.8870253994390738</v>
      </c>
      <c r="Q46" s="193">
        <f t="shared" si="30"/>
        <v>4.6931877328275249</v>
      </c>
      <c r="R46" s="193">
        <f t="shared" si="30"/>
        <v>7.9471976804692028</v>
      </c>
      <c r="S46" s="193">
        <f t="shared" si="30"/>
        <v>18.968645416344785</v>
      </c>
      <c r="T46" s="193">
        <f t="shared" si="30"/>
        <v>29.467543857131108</v>
      </c>
      <c r="U46" s="193">
        <f t="shared" si="30"/>
        <v>56.748395631433958</v>
      </c>
      <c r="V46" s="193">
        <f t="shared" si="30"/>
        <v>123.46509239906847</v>
      </c>
      <c r="W46" s="193">
        <f t="shared" si="30"/>
        <v>227.38643858014458</v>
      </c>
      <c r="X46" s="193">
        <f t="shared" si="30"/>
        <v>539.69701610130301</v>
      </c>
      <c r="Y46" s="184">
        <f t="shared" ref="Y46:AP46" si="31">MAX(Y45-($P$35*$B$28)*(2^(((Y34 - 42) - $P$34)/HLOOKUP((Y34-42)-$B$31,$P$58:$AQ$60,3,TRUE)))-Y48,0)</f>
        <v>1588.6805460666544</v>
      </c>
      <c r="Z46" s="184">
        <f t="shared" si="31"/>
        <v>4897.6535258136473</v>
      </c>
      <c r="AA46" s="184">
        <f t="shared" si="31"/>
        <v>8266.2297075609786</v>
      </c>
      <c r="AB46" s="184">
        <f t="shared" si="31"/>
        <v>18479.218827140961</v>
      </c>
      <c r="AC46" s="184">
        <f t="shared" si="31"/>
        <v>51916.922086590406</v>
      </c>
      <c r="AD46" s="184">
        <f t="shared" si="31"/>
        <v>129176.46800008466</v>
      </c>
      <c r="AE46" s="184">
        <f t="shared" si="31"/>
        <v>229002.4744801856</v>
      </c>
      <c r="AF46" s="184">
        <f t="shared" si="31"/>
        <v>494481.7332995428</v>
      </c>
      <c r="AG46" s="184">
        <f t="shared" si="31"/>
        <v>1582058.7721910735</v>
      </c>
      <c r="AH46" s="184">
        <f t="shared" si="31"/>
        <v>17227495.424950056</v>
      </c>
      <c r="AI46" s="184">
        <f t="shared" si="31"/>
        <v>17188729.309368558</v>
      </c>
      <c r="AJ46" s="184">
        <f t="shared" si="31"/>
        <v>22229098.01927815</v>
      </c>
      <c r="AK46" s="184">
        <f t="shared" si="31"/>
        <v>32853404.396388024</v>
      </c>
      <c r="AL46" s="184">
        <f t="shared" si="31"/>
        <v>52560897.461954288</v>
      </c>
      <c r="AM46" s="184">
        <f t="shared" si="31"/>
        <v>88505240.552386984</v>
      </c>
      <c r="AN46" s="227">
        <f t="shared" si="31"/>
        <v>154352208.70630625</v>
      </c>
      <c r="AO46" s="190">
        <f t="shared" si="31"/>
        <v>154352208.70630625</v>
      </c>
      <c r="AP46" s="189">
        <f t="shared" si="31"/>
        <v>65119165.790797532</v>
      </c>
      <c r="AQ46" s="232"/>
      <c r="AR46" s="45"/>
      <c r="AS46" s="45"/>
      <c r="AT46" s="66"/>
    </row>
    <row r="47" spans="1:46" x14ac:dyDescent="0.25">
      <c r="A47" s="61" t="s">
        <v>111</v>
      </c>
      <c r="B47" s="9"/>
      <c r="C47" s="9"/>
      <c r="D47" s="9"/>
      <c r="E47" s="9"/>
      <c r="F47" s="9"/>
      <c r="G47" s="9"/>
      <c r="H47" s="9"/>
      <c r="I47" s="9"/>
      <c r="J47" s="9"/>
      <c r="K47" s="9"/>
      <c r="L47" s="9"/>
      <c r="M47" s="9"/>
      <c r="N47" s="9"/>
      <c r="O47" s="5"/>
      <c r="P47" s="212">
        <f>(1*$B$29)*(2^(((P34 - 14) -$B$31)/$P$60))</f>
        <v>0.38480681703630393</v>
      </c>
      <c r="Q47" s="207">
        <f>(1*$B$29)*(2^(((Q34 - 14) -$B$31)/$P$60))</f>
        <v>0.62554719247502066</v>
      </c>
      <c r="R47" s="207">
        <f>(1*$B$29)*(2^(((R34 - 14) -$B$31)/$P$60))</f>
        <v>1.0168980191857229</v>
      </c>
      <c r="S47" s="198">
        <f t="shared" ref="S47:AP47" si="32">($P$35*$B$29)*(2^(((S34 - 14) - $P$34)/HLOOKUP((S34-14)-$B$31,$P$58:$AQ$60,3,TRUE)))</f>
        <v>1.7219617111880618</v>
      </c>
      <c r="T47" s="198">
        <f t="shared" si="32"/>
        <v>3.2291666666666661</v>
      </c>
      <c r="U47" s="198">
        <f t="shared" si="32"/>
        <v>5.7717406572031598</v>
      </c>
      <c r="V47" s="198">
        <f t="shared" si="32"/>
        <v>8.8621419402739328</v>
      </c>
      <c r="W47" s="198">
        <f t="shared" si="32"/>
        <v>17.196571273860446</v>
      </c>
      <c r="X47" s="198">
        <f t="shared" si="32"/>
        <v>44.010332071279819</v>
      </c>
      <c r="Y47" s="198">
        <f t="shared" si="32"/>
        <v>165.92143795722515</v>
      </c>
      <c r="Z47" s="198">
        <f t="shared" si="32"/>
        <v>853.80466147771358</v>
      </c>
      <c r="AA47" s="198">
        <f t="shared" si="32"/>
        <v>2680.4877529501259</v>
      </c>
      <c r="AB47" s="198">
        <f t="shared" si="32"/>
        <v>5418.0589453962111</v>
      </c>
      <c r="AC47" s="198">
        <f t="shared" si="32"/>
        <v>8048.0229488690302</v>
      </c>
      <c r="AD47" s="198">
        <f t="shared" si="32"/>
        <v>21711.416367666945</v>
      </c>
      <c r="AE47" s="198">
        <f t="shared" si="32"/>
        <v>48509.957632993712</v>
      </c>
      <c r="AF47" s="198">
        <f t="shared" si="32"/>
        <v>93560.484304590718</v>
      </c>
      <c r="AG47" s="198">
        <f t="shared" si="32"/>
        <v>319749.33508169668</v>
      </c>
      <c r="AH47" s="198">
        <f t="shared" si="32"/>
        <v>3622402.1251440034</v>
      </c>
      <c r="AI47" s="198">
        <f t="shared" si="32"/>
        <v>4154332.0277997837</v>
      </c>
      <c r="AJ47" s="198">
        <f t="shared" si="32"/>
        <v>5923647.1915277531</v>
      </c>
      <c r="AK47" s="198">
        <f t="shared" si="32"/>
        <v>9425180.1812708918</v>
      </c>
      <c r="AL47" s="198">
        <f t="shared" si="32"/>
        <v>15984085.451449174</v>
      </c>
      <c r="AM47" s="198">
        <f t="shared" si="32"/>
        <v>28223838.918629389</v>
      </c>
      <c r="AN47" s="224">
        <f t="shared" si="32"/>
        <v>51208374.349985376</v>
      </c>
      <c r="AO47" s="195">
        <f t="shared" si="32"/>
        <v>51208374.349985376</v>
      </c>
      <c r="AP47" s="194">
        <f t="shared" si="32"/>
        <v>94707310.667051271</v>
      </c>
      <c r="AQ47" s="230">
        <f>AQ35*B29</f>
        <v>4176468</v>
      </c>
      <c r="AR47" s="45"/>
      <c r="AS47" s="45"/>
      <c r="AT47" s="66"/>
    </row>
    <row r="48" spans="1:46" x14ac:dyDescent="0.25">
      <c r="A48" s="37" t="s">
        <v>159</v>
      </c>
      <c r="B48" s="38"/>
      <c r="C48" s="39"/>
      <c r="D48" s="39"/>
      <c r="E48" s="39"/>
      <c r="F48" s="39"/>
      <c r="G48" s="39"/>
      <c r="H48" s="39"/>
      <c r="I48" s="39"/>
      <c r="J48" s="39"/>
      <c r="K48" s="39"/>
      <c r="L48" s="39"/>
      <c r="M48" s="39"/>
      <c r="N48" s="39"/>
      <c r="O48" s="62"/>
      <c r="P48" s="192">
        <f t="shared" ref="P48:W48" si="33">P47</f>
        <v>0.38480681703630393</v>
      </c>
      <c r="Q48" s="193">
        <f t="shared" si="33"/>
        <v>0.62554719247502066</v>
      </c>
      <c r="R48" s="193">
        <f t="shared" si="33"/>
        <v>1.0168980191857229</v>
      </c>
      <c r="S48" s="193">
        <f t="shared" si="33"/>
        <v>1.7219617111880618</v>
      </c>
      <c r="T48" s="193">
        <f t="shared" si="33"/>
        <v>3.2291666666666661</v>
      </c>
      <c r="U48" s="193">
        <f t="shared" si="33"/>
        <v>5.7717406572031598</v>
      </c>
      <c r="V48" s="193">
        <f t="shared" si="33"/>
        <v>8.8621419402739328</v>
      </c>
      <c r="W48" s="193">
        <f t="shared" si="33"/>
        <v>17.196571273860446</v>
      </c>
      <c r="X48" s="191">
        <f t="shared" ref="X48:AP48" si="34">MAX(X47-($P$35*$B$29)*(2^(((X34 - 35) - $P$34)/HLOOKUP((X34-35)-$B$31,$P$58:$AQ$60,3,TRUE))),0)</f>
        <v>42.288370360091754</v>
      </c>
      <c r="Y48" s="191">
        <f t="shared" si="34"/>
        <v>160.14969730002198</v>
      </c>
      <c r="Z48" s="191">
        <f t="shared" si="34"/>
        <v>821.313847688485</v>
      </c>
      <c r="AA48" s="191">
        <f t="shared" si="34"/>
        <v>2457.1023362834594</v>
      </c>
      <c r="AB48" s="191">
        <f t="shared" si="34"/>
        <v>4256.8857960445075</v>
      </c>
      <c r="AC48" s="191">
        <f t="shared" si="34"/>
        <v>5182.001910459524</v>
      </c>
      <c r="AD48" s="191">
        <f t="shared" si="34"/>
        <v>15211.728867666945</v>
      </c>
      <c r="AE48" s="191">
        <f t="shared" si="34"/>
        <v>26798.541265326767</v>
      </c>
      <c r="AF48" s="191">
        <f t="shared" si="34"/>
        <v>45050.526671597006</v>
      </c>
      <c r="AG48" s="191">
        <f t="shared" si="34"/>
        <v>145109.47308068068</v>
      </c>
      <c r="AH48" s="191">
        <f t="shared" si="34"/>
        <v>2683262.0114808362</v>
      </c>
      <c r="AI48" s="191">
        <f t="shared" si="34"/>
        <v>2752296.9496492799</v>
      </c>
      <c r="AJ48" s="191">
        <f t="shared" si="34"/>
        <v>3574131.8973493748</v>
      </c>
      <c r="AK48" s="191">
        <f t="shared" si="34"/>
        <v>5255660.5428599622</v>
      </c>
      <c r="AL48" s="191">
        <f t="shared" si="34"/>
        <v>8333897.7619867986</v>
      </c>
      <c r="AM48" s="191">
        <f t="shared" si="34"/>
        <v>13888048.276065256</v>
      </c>
      <c r="AN48" s="227">
        <f t="shared" si="34"/>
        <v>23960186.755968593</v>
      </c>
      <c r="AO48" s="190">
        <f t="shared" si="34"/>
        <v>23960186.755968593</v>
      </c>
      <c r="AP48" s="189">
        <f t="shared" si="34"/>
        <v>42395297.532492071</v>
      </c>
      <c r="AQ48" s="230"/>
      <c r="AR48" s="45"/>
      <c r="AS48" s="45"/>
      <c r="AT48" s="66"/>
    </row>
    <row r="49" spans="1:46" x14ac:dyDescent="0.25">
      <c r="A49" s="41" t="s">
        <v>55</v>
      </c>
      <c r="B49" s="15"/>
      <c r="C49" s="16"/>
      <c r="D49" s="16"/>
      <c r="E49" s="16"/>
      <c r="F49" s="16"/>
      <c r="G49" s="16"/>
      <c r="H49" s="16"/>
      <c r="I49" s="16"/>
      <c r="J49" s="16"/>
      <c r="K49" s="16"/>
      <c r="L49" s="16"/>
      <c r="M49" s="16"/>
      <c r="N49" s="16"/>
      <c r="O49" s="16"/>
      <c r="P49" s="213">
        <f t="shared" ref="P49:AP49" si="35">P35*$B$30</f>
        <v>0.546875</v>
      </c>
      <c r="Q49" s="214">
        <f t="shared" si="35"/>
        <v>1.09375</v>
      </c>
      <c r="R49" s="214">
        <f t="shared" si="35"/>
        <v>2.1875</v>
      </c>
      <c r="S49" s="214">
        <f t="shared" si="35"/>
        <v>4.375</v>
      </c>
      <c r="T49" s="214">
        <f t="shared" si="35"/>
        <v>8.75</v>
      </c>
      <c r="U49" s="214">
        <f t="shared" si="35"/>
        <v>17.5</v>
      </c>
      <c r="V49" s="214">
        <f t="shared" si="35"/>
        <v>35</v>
      </c>
      <c r="W49" s="214">
        <f t="shared" si="35"/>
        <v>70</v>
      </c>
      <c r="X49" s="214">
        <f t="shared" si="35"/>
        <v>140</v>
      </c>
      <c r="Y49" s="214">
        <f t="shared" si="35"/>
        <v>280</v>
      </c>
      <c r="Z49" s="214">
        <f t="shared" si="35"/>
        <v>560</v>
      </c>
      <c r="AA49" s="214">
        <f t="shared" si="35"/>
        <v>1120</v>
      </c>
      <c r="AB49" s="214">
        <f t="shared" si="35"/>
        <v>2240</v>
      </c>
      <c r="AC49" s="214">
        <f t="shared" si="35"/>
        <v>4480</v>
      </c>
      <c r="AD49" s="214">
        <f t="shared" si="35"/>
        <v>8960</v>
      </c>
      <c r="AE49" s="214">
        <f t="shared" si="35"/>
        <v>17920</v>
      </c>
      <c r="AF49" s="214">
        <f t="shared" si="35"/>
        <v>35840</v>
      </c>
      <c r="AG49" s="214">
        <f t="shared" si="35"/>
        <v>71680</v>
      </c>
      <c r="AH49" s="214">
        <f t="shared" si="35"/>
        <v>143360</v>
      </c>
      <c r="AI49" s="214">
        <f t="shared" si="35"/>
        <v>286720</v>
      </c>
      <c r="AJ49" s="214">
        <f t="shared" ref="AJ49:AO49" si="36">AJ35*$B$30</f>
        <v>573440</v>
      </c>
      <c r="AK49" s="214">
        <f t="shared" si="36"/>
        <v>1146880</v>
      </c>
      <c r="AL49" s="214">
        <f t="shared" si="36"/>
        <v>2293760</v>
      </c>
      <c r="AM49" s="214">
        <f t="shared" si="36"/>
        <v>4587520</v>
      </c>
      <c r="AN49" s="226">
        <f t="shared" ref="AN49" si="37">AN35*$B$30</f>
        <v>9175040</v>
      </c>
      <c r="AO49" s="186">
        <f t="shared" si="36"/>
        <v>18350080</v>
      </c>
      <c r="AP49" s="194">
        <f t="shared" si="35"/>
        <v>24362730.000000004</v>
      </c>
      <c r="AQ49" s="230">
        <f>AQ35*B30</f>
        <v>1461763.8</v>
      </c>
      <c r="AR49" s="45"/>
      <c r="AS49" s="45"/>
      <c r="AT49" s="66"/>
    </row>
    <row r="50" spans="1:46" x14ac:dyDescent="0.25">
      <c r="A50" s="37" t="s">
        <v>54</v>
      </c>
      <c r="B50" s="38"/>
      <c r="C50" s="39"/>
      <c r="D50" s="39"/>
      <c r="E50" s="39"/>
      <c r="F50" s="39"/>
      <c r="G50" s="39"/>
      <c r="H50" s="39"/>
      <c r="I50" s="39"/>
      <c r="J50" s="39"/>
      <c r="K50" s="39"/>
      <c r="L50" s="39"/>
      <c r="M50" s="39"/>
      <c r="N50" s="39"/>
      <c r="O50" s="39"/>
      <c r="P50" s="187"/>
      <c r="Q50" s="188"/>
      <c r="R50" s="188"/>
      <c r="S50" s="188"/>
      <c r="T50" s="188"/>
      <c r="U50" s="188"/>
      <c r="V50" s="188"/>
      <c r="W50" s="188"/>
      <c r="X50" s="196">
        <f t="shared" ref="X50:AP50" si="38">($P$35*$B$30)*(2^(((X34-35)-$P$34)/HLOOKUP((X34-35)-$B$31,$P$58:$AQ$60,3,TRUE)))</f>
        <v>0.60268659891582166</v>
      </c>
      <c r="Y50" s="196">
        <f t="shared" si="38"/>
        <v>2.0201092300211059</v>
      </c>
      <c r="Z50" s="196">
        <f t="shared" si="38"/>
        <v>11.371784826229991</v>
      </c>
      <c r="AA50" s="196">
        <f t="shared" si="38"/>
        <v>78.184895833333314</v>
      </c>
      <c r="AB50" s="196">
        <f t="shared" si="38"/>
        <v>406.41060227309606</v>
      </c>
      <c r="AC50" s="196">
        <f t="shared" si="38"/>
        <v>1003.1073634433272</v>
      </c>
      <c r="AD50" s="196">
        <f t="shared" si="38"/>
        <v>2274.8906249999995</v>
      </c>
      <c r="AE50" s="196">
        <f t="shared" si="38"/>
        <v>7598.9957286834306</v>
      </c>
      <c r="AF50" s="196">
        <f t="shared" si="38"/>
        <v>16978.4851715478</v>
      </c>
      <c r="AG50" s="196">
        <f t="shared" si="38"/>
        <v>61123.951700355603</v>
      </c>
      <c r="AH50" s="196">
        <f t="shared" si="38"/>
        <v>328699.03978210856</v>
      </c>
      <c r="AI50" s="196">
        <f t="shared" si="38"/>
        <v>490712.27735267632</v>
      </c>
      <c r="AJ50" s="196">
        <f t="shared" si="38"/>
        <v>822330.35296243231</v>
      </c>
      <c r="AK50" s="196">
        <f t="shared" si="38"/>
        <v>1459331.8734438254</v>
      </c>
      <c r="AL50" s="196">
        <f t="shared" si="38"/>
        <v>2677565.6913118316</v>
      </c>
      <c r="AM50" s="196">
        <f t="shared" si="38"/>
        <v>5017526.7248974461</v>
      </c>
      <c r="AN50" s="227">
        <f t="shared" si="38"/>
        <v>9536865.6579058729</v>
      </c>
      <c r="AO50" s="190">
        <f t="shared" si="38"/>
        <v>9536865.6579058729</v>
      </c>
      <c r="AP50" s="189">
        <f t="shared" si="38"/>
        <v>18309204.59709572</v>
      </c>
      <c r="AQ50" s="233">
        <f>($P$35*$B$30)*(2^(((AQ34 - 35) - $P$34)/AQ60))</f>
        <v>10551261.547506049</v>
      </c>
      <c r="AR50" s="45"/>
      <c r="AS50" s="45"/>
      <c r="AT50" s="66"/>
    </row>
    <row r="51" spans="1:46" s="66" customFormat="1" hidden="1" x14ac:dyDescent="0.25">
      <c r="A51" s="48" t="s">
        <v>105</v>
      </c>
      <c r="B51" s="25"/>
      <c r="C51" s="47"/>
      <c r="D51" s="47"/>
      <c r="E51" s="47"/>
      <c r="F51" s="47"/>
      <c r="G51" s="47"/>
      <c r="H51" s="47"/>
      <c r="I51" s="47"/>
      <c r="J51" s="47"/>
      <c r="K51" s="47"/>
      <c r="L51" s="47"/>
      <c r="M51" s="47"/>
      <c r="N51" s="47"/>
      <c r="O51" s="47"/>
      <c r="P51" s="140">
        <f t="shared" ref="P51:AP51" si="39">P34-7</f>
        <v>43888</v>
      </c>
      <c r="Q51" s="140">
        <f t="shared" si="39"/>
        <v>43893</v>
      </c>
      <c r="R51" s="140">
        <f t="shared" si="39"/>
        <v>43898</v>
      </c>
      <c r="S51" s="140">
        <f t="shared" si="39"/>
        <v>43903</v>
      </c>
      <c r="T51" s="140">
        <f t="shared" si="39"/>
        <v>43907</v>
      </c>
      <c r="U51" s="140">
        <f t="shared" si="39"/>
        <v>43911</v>
      </c>
      <c r="V51" s="140">
        <f t="shared" si="39"/>
        <v>43915</v>
      </c>
      <c r="W51" s="140">
        <f t="shared" si="39"/>
        <v>43919</v>
      </c>
      <c r="X51" s="140">
        <f t="shared" si="39"/>
        <v>43924</v>
      </c>
      <c r="Y51" s="140">
        <f t="shared" si="39"/>
        <v>43932</v>
      </c>
      <c r="Z51" s="140">
        <f t="shared" si="39"/>
        <v>43943</v>
      </c>
      <c r="AA51" s="140">
        <f t="shared" si="39"/>
        <v>43954</v>
      </c>
      <c r="AB51" s="140">
        <f t="shared" si="39"/>
        <v>43966</v>
      </c>
      <c r="AC51" s="140">
        <f t="shared" si="39"/>
        <v>43982</v>
      </c>
      <c r="AD51" s="140">
        <f t="shared" si="39"/>
        <v>44001</v>
      </c>
      <c r="AE51" s="140">
        <f t="shared" si="39"/>
        <v>44022</v>
      </c>
      <c r="AF51" s="140">
        <f t="shared" si="39"/>
        <v>44043</v>
      </c>
      <c r="AG51" s="140">
        <f t="shared" si="39"/>
        <v>44072</v>
      </c>
      <c r="AH51" s="140">
        <f t="shared" si="39"/>
        <v>44130</v>
      </c>
      <c r="AI51" s="140">
        <f t="shared" si="39"/>
        <v>44188</v>
      </c>
      <c r="AJ51" s="140"/>
      <c r="AK51" s="140"/>
      <c r="AL51" s="140"/>
      <c r="AM51" s="140"/>
      <c r="AN51" s="140"/>
      <c r="AO51" s="140"/>
      <c r="AP51" s="140">
        <f t="shared" si="39"/>
        <v>44536</v>
      </c>
      <c r="AQ51" s="140"/>
      <c r="AR51" s="45"/>
      <c r="AS51" s="45"/>
    </row>
    <row r="52" spans="1:46" s="66" customFormat="1" hidden="1" x14ac:dyDescent="0.25">
      <c r="A52" s="48" t="s">
        <v>103</v>
      </c>
      <c r="B52" s="25"/>
      <c r="C52" s="47"/>
      <c r="D52" s="47"/>
      <c r="E52" s="47"/>
      <c r="F52" s="47"/>
      <c r="G52" s="47"/>
      <c r="H52" s="47"/>
      <c r="I52" s="47"/>
      <c r="J52" s="47"/>
      <c r="K52" s="47"/>
      <c r="L52" s="47"/>
      <c r="M52" s="47"/>
      <c r="N52" s="47"/>
      <c r="O52" s="47"/>
      <c r="P52" s="140">
        <f t="shared" ref="P52:AP52" si="40">P34-14</f>
        <v>43881</v>
      </c>
      <c r="Q52" s="140">
        <f t="shared" si="40"/>
        <v>43886</v>
      </c>
      <c r="R52" s="140">
        <f t="shared" si="40"/>
        <v>43891</v>
      </c>
      <c r="S52" s="140">
        <f t="shared" si="40"/>
        <v>43896</v>
      </c>
      <c r="T52" s="140">
        <f t="shared" si="40"/>
        <v>43900</v>
      </c>
      <c r="U52" s="140">
        <f t="shared" si="40"/>
        <v>43904</v>
      </c>
      <c r="V52" s="140">
        <f t="shared" si="40"/>
        <v>43908</v>
      </c>
      <c r="W52" s="140">
        <f t="shared" si="40"/>
        <v>43912</v>
      </c>
      <c r="X52" s="140">
        <f t="shared" si="40"/>
        <v>43917</v>
      </c>
      <c r="Y52" s="140">
        <f t="shared" si="40"/>
        <v>43925</v>
      </c>
      <c r="Z52" s="140">
        <f t="shared" si="40"/>
        <v>43936</v>
      </c>
      <c r="AA52" s="140">
        <f t="shared" si="40"/>
        <v>43947</v>
      </c>
      <c r="AB52" s="140">
        <f t="shared" si="40"/>
        <v>43959</v>
      </c>
      <c r="AC52" s="140">
        <f t="shared" si="40"/>
        <v>43975</v>
      </c>
      <c r="AD52" s="140">
        <f t="shared" si="40"/>
        <v>43994</v>
      </c>
      <c r="AE52" s="140">
        <f t="shared" si="40"/>
        <v>44015</v>
      </c>
      <c r="AF52" s="140">
        <f t="shared" si="40"/>
        <v>44036</v>
      </c>
      <c r="AG52" s="140">
        <f t="shared" si="40"/>
        <v>44065</v>
      </c>
      <c r="AH52" s="140">
        <f t="shared" si="40"/>
        <v>44123</v>
      </c>
      <c r="AI52" s="140">
        <f t="shared" si="40"/>
        <v>44181</v>
      </c>
      <c r="AJ52" s="140"/>
      <c r="AK52" s="140"/>
      <c r="AL52" s="140"/>
      <c r="AM52" s="140"/>
      <c r="AN52" s="140"/>
      <c r="AO52" s="140"/>
      <c r="AP52" s="140">
        <f t="shared" si="40"/>
        <v>44529</v>
      </c>
      <c r="AQ52" s="140"/>
      <c r="AR52" s="45"/>
      <c r="AS52" s="45"/>
    </row>
    <row r="53" spans="1:46" s="66" customFormat="1" hidden="1" x14ac:dyDescent="0.25">
      <c r="A53" s="48" t="s">
        <v>106</v>
      </c>
      <c r="B53" s="25"/>
      <c r="C53" s="47"/>
      <c r="D53" s="47"/>
      <c r="E53" s="47"/>
      <c r="F53" s="47"/>
      <c r="G53" s="47"/>
      <c r="H53" s="47"/>
      <c r="I53" s="47"/>
      <c r="J53" s="47"/>
      <c r="K53" s="47"/>
      <c r="L53" s="47"/>
      <c r="M53" s="47"/>
      <c r="N53" s="47"/>
      <c r="O53" s="47"/>
      <c r="P53" s="140">
        <f t="shared" ref="P53:AP53" si="41">P34-(7*5)</f>
        <v>43860</v>
      </c>
      <c r="Q53" s="140">
        <f t="shared" si="41"/>
        <v>43865</v>
      </c>
      <c r="R53" s="140">
        <f t="shared" si="41"/>
        <v>43870</v>
      </c>
      <c r="S53" s="140">
        <f t="shared" si="41"/>
        <v>43875</v>
      </c>
      <c r="T53" s="140">
        <f t="shared" si="41"/>
        <v>43879</v>
      </c>
      <c r="U53" s="140">
        <f t="shared" si="41"/>
        <v>43883</v>
      </c>
      <c r="V53" s="140">
        <f t="shared" si="41"/>
        <v>43887</v>
      </c>
      <c r="W53" s="140">
        <f t="shared" si="41"/>
        <v>43891</v>
      </c>
      <c r="X53" s="140">
        <f t="shared" si="41"/>
        <v>43896</v>
      </c>
      <c r="Y53" s="140">
        <f t="shared" si="41"/>
        <v>43904</v>
      </c>
      <c r="Z53" s="140">
        <f t="shared" si="41"/>
        <v>43915</v>
      </c>
      <c r="AA53" s="140">
        <f t="shared" si="41"/>
        <v>43926</v>
      </c>
      <c r="AB53" s="140">
        <f t="shared" si="41"/>
        <v>43938</v>
      </c>
      <c r="AC53" s="140">
        <f t="shared" si="41"/>
        <v>43954</v>
      </c>
      <c r="AD53" s="140">
        <f t="shared" si="41"/>
        <v>43973</v>
      </c>
      <c r="AE53" s="140">
        <f t="shared" si="41"/>
        <v>43994</v>
      </c>
      <c r="AF53" s="140">
        <f t="shared" si="41"/>
        <v>44015</v>
      </c>
      <c r="AG53" s="140">
        <f t="shared" si="41"/>
        <v>44044</v>
      </c>
      <c r="AH53" s="140">
        <f t="shared" si="41"/>
        <v>44102</v>
      </c>
      <c r="AI53" s="140">
        <f t="shared" si="41"/>
        <v>44160</v>
      </c>
      <c r="AJ53" s="140"/>
      <c r="AK53" s="140"/>
      <c r="AL53" s="140"/>
      <c r="AM53" s="140"/>
      <c r="AN53" s="140"/>
      <c r="AO53" s="140"/>
      <c r="AP53" s="140">
        <f t="shared" si="41"/>
        <v>44508</v>
      </c>
      <c r="AQ53" s="140"/>
      <c r="AR53" s="45"/>
      <c r="AS53" s="45"/>
    </row>
    <row r="54" spans="1:46" s="66" customFormat="1" hidden="1" x14ac:dyDescent="0.25">
      <c r="A54" s="48" t="s">
        <v>104</v>
      </c>
      <c r="B54" s="25"/>
      <c r="C54" s="47"/>
      <c r="D54" s="47"/>
      <c r="E54" s="47"/>
      <c r="F54" s="47"/>
      <c r="G54" s="47"/>
      <c r="H54" s="47"/>
      <c r="I54" s="47"/>
      <c r="J54" s="47"/>
      <c r="K54" s="47"/>
      <c r="L54" s="47"/>
      <c r="M54" s="47"/>
      <c r="N54" s="47"/>
      <c r="O54" s="47"/>
      <c r="P54" s="140">
        <f t="shared" ref="P54:AP54" si="42">P34-(6*7)</f>
        <v>43853</v>
      </c>
      <c r="Q54" s="140">
        <f t="shared" si="42"/>
        <v>43858</v>
      </c>
      <c r="R54" s="140">
        <f t="shared" si="42"/>
        <v>43863</v>
      </c>
      <c r="S54" s="140">
        <f t="shared" si="42"/>
        <v>43868</v>
      </c>
      <c r="T54" s="140">
        <f t="shared" si="42"/>
        <v>43872</v>
      </c>
      <c r="U54" s="140">
        <f t="shared" si="42"/>
        <v>43876</v>
      </c>
      <c r="V54" s="140">
        <f t="shared" si="42"/>
        <v>43880</v>
      </c>
      <c r="W54" s="140">
        <f t="shared" si="42"/>
        <v>43884</v>
      </c>
      <c r="X54" s="140">
        <f t="shared" si="42"/>
        <v>43889</v>
      </c>
      <c r="Y54" s="140">
        <f t="shared" si="42"/>
        <v>43897</v>
      </c>
      <c r="Z54" s="140">
        <f t="shared" si="42"/>
        <v>43908</v>
      </c>
      <c r="AA54" s="140">
        <f t="shared" si="42"/>
        <v>43919</v>
      </c>
      <c r="AB54" s="140">
        <f t="shared" si="42"/>
        <v>43931</v>
      </c>
      <c r="AC54" s="140">
        <f t="shared" si="42"/>
        <v>43947</v>
      </c>
      <c r="AD54" s="140">
        <f t="shared" si="42"/>
        <v>43966</v>
      </c>
      <c r="AE54" s="140">
        <f t="shared" si="42"/>
        <v>43987</v>
      </c>
      <c r="AF54" s="140">
        <f t="shared" si="42"/>
        <v>44008</v>
      </c>
      <c r="AG54" s="140">
        <f t="shared" si="42"/>
        <v>44037</v>
      </c>
      <c r="AH54" s="140">
        <f t="shared" si="42"/>
        <v>44095</v>
      </c>
      <c r="AI54" s="140">
        <f t="shared" si="42"/>
        <v>44153</v>
      </c>
      <c r="AJ54" s="140"/>
      <c r="AK54" s="140"/>
      <c r="AL54" s="140"/>
      <c r="AM54" s="140"/>
      <c r="AN54" s="140"/>
      <c r="AO54" s="140"/>
      <c r="AP54" s="140">
        <f t="shared" si="42"/>
        <v>44501</v>
      </c>
      <c r="AQ54" s="140"/>
      <c r="AR54" s="45"/>
      <c r="AS54" s="45"/>
    </row>
    <row r="56" spans="1:46" x14ac:dyDescent="0.25">
      <c r="A56" s="52" t="s">
        <v>47</v>
      </c>
      <c r="B56" s="15"/>
      <c r="C56" s="16"/>
      <c r="D56" s="16"/>
      <c r="E56" s="16"/>
      <c r="F56" s="16"/>
      <c r="G56" s="16"/>
      <c r="H56" s="16"/>
      <c r="I56" s="16"/>
      <c r="J56" s="16"/>
      <c r="K56" s="16"/>
      <c r="L56" s="16"/>
      <c r="M56" s="16"/>
      <c r="N56" s="16"/>
      <c r="O56" s="16"/>
    </row>
    <row r="57" spans="1:46" s="66" customFormat="1" x14ac:dyDescent="0.25">
      <c r="A57" s="137" t="s">
        <v>101</v>
      </c>
      <c r="B57" s="25"/>
      <c r="C57" s="47"/>
      <c r="D57" s="47"/>
      <c r="E57" s="47"/>
      <c r="F57" s="47"/>
      <c r="G57" s="47"/>
      <c r="H57" s="47"/>
      <c r="I57" s="47"/>
      <c r="J57" s="47"/>
      <c r="K57" s="47"/>
      <c r="L57" s="47"/>
      <c r="M57" s="47"/>
      <c r="N57" s="47"/>
      <c r="O57" s="47"/>
      <c r="P57" s="252">
        <f t="shared" ref="P57:AQ57" si="43">(P34-$B$31)/7</f>
        <v>5</v>
      </c>
      <c r="Q57" s="252">
        <f t="shared" si="43"/>
        <v>5.7142857142857144</v>
      </c>
      <c r="R57" s="253">
        <f t="shared" si="43"/>
        <v>6.4285714285714288</v>
      </c>
      <c r="S57" s="252">
        <f t="shared" si="43"/>
        <v>7.1428571428571432</v>
      </c>
      <c r="T57" s="252">
        <f t="shared" si="43"/>
        <v>7.7142857142857144</v>
      </c>
      <c r="U57" s="253">
        <f t="shared" si="43"/>
        <v>8.2857142857142865</v>
      </c>
      <c r="V57" s="254">
        <f t="shared" si="43"/>
        <v>8.8571428571428577</v>
      </c>
      <c r="W57" s="254">
        <f t="shared" si="43"/>
        <v>9.4285714285714288</v>
      </c>
      <c r="X57" s="252">
        <f t="shared" si="43"/>
        <v>10.142857142857142</v>
      </c>
      <c r="Y57" s="255">
        <f t="shared" si="43"/>
        <v>11.285714285714286</v>
      </c>
      <c r="Z57" s="278">
        <f t="shared" si="43"/>
        <v>12.857142857142858</v>
      </c>
      <c r="AA57" s="254">
        <f t="shared" si="43"/>
        <v>14.428571428571429</v>
      </c>
      <c r="AB57" s="252">
        <f t="shared" si="43"/>
        <v>16.142857142857142</v>
      </c>
      <c r="AC57" s="278">
        <f t="shared" si="43"/>
        <v>18.428571428571427</v>
      </c>
      <c r="AD57" s="253">
        <f t="shared" si="43"/>
        <v>21.142857142857142</v>
      </c>
      <c r="AE57" s="253">
        <f t="shared" si="43"/>
        <v>24.142857142857142</v>
      </c>
      <c r="AF57" s="252">
        <f t="shared" si="43"/>
        <v>27.142857142857142</v>
      </c>
      <c r="AG57" s="252">
        <f t="shared" si="43"/>
        <v>31.285714285714285</v>
      </c>
      <c r="AH57" s="253">
        <f t="shared" si="43"/>
        <v>39.571428571428569</v>
      </c>
      <c r="AI57" s="254">
        <f t="shared" si="43"/>
        <v>47.857142857142854</v>
      </c>
      <c r="AJ57" s="278">
        <f t="shared" ref="AJ57:AO57" si="44">(AJ34-$B$31)/7</f>
        <v>56.142857142857146</v>
      </c>
      <c r="AK57" s="253">
        <f t="shared" si="44"/>
        <v>64.428571428571431</v>
      </c>
      <c r="AL57" s="138">
        <f t="shared" si="44"/>
        <v>72.714285714285708</v>
      </c>
      <c r="AM57" s="135">
        <f t="shared" si="44"/>
        <v>81</v>
      </c>
      <c r="AN57" s="135">
        <f t="shared" si="44"/>
        <v>89.285714285714292</v>
      </c>
      <c r="AO57" s="138">
        <f t="shared" si="44"/>
        <v>89.285714285714292</v>
      </c>
      <c r="AP57" s="136">
        <f>(AP34-$B$31)/7</f>
        <v>97.571428571428569</v>
      </c>
      <c r="AQ57" s="136">
        <f t="shared" si="43"/>
        <v>105.57142857142857</v>
      </c>
    </row>
    <row r="58" spans="1:46" s="66" customFormat="1" x14ac:dyDescent="0.25">
      <c r="A58" s="137" t="s">
        <v>100</v>
      </c>
      <c r="B58" s="25"/>
      <c r="C58" s="47"/>
      <c r="D58" s="47"/>
      <c r="E58" s="47"/>
      <c r="F58" s="47"/>
      <c r="G58" s="47"/>
      <c r="H58" s="47"/>
      <c r="I58" s="47"/>
      <c r="J58" s="47"/>
      <c r="K58" s="47"/>
      <c r="L58" s="47"/>
      <c r="M58" s="47"/>
      <c r="N58" s="47"/>
      <c r="O58" s="47"/>
      <c r="P58" s="260">
        <f>P34-$B$31</f>
        <v>35</v>
      </c>
      <c r="Q58" s="220">
        <f t="shared" ref="Q58:U58" si="45">Q34-$B$31</f>
        <v>40</v>
      </c>
      <c r="R58" s="220">
        <f t="shared" si="45"/>
        <v>45</v>
      </c>
      <c r="S58" s="220">
        <f t="shared" si="45"/>
        <v>50</v>
      </c>
      <c r="T58" s="220">
        <f t="shared" si="45"/>
        <v>54</v>
      </c>
      <c r="U58" s="220">
        <f t="shared" si="45"/>
        <v>58</v>
      </c>
      <c r="V58" s="220">
        <f>V34-$B$31</f>
        <v>62</v>
      </c>
      <c r="W58" s="220">
        <f t="shared" ref="W58:AQ58" si="46">W34-$B$31</f>
        <v>66</v>
      </c>
      <c r="X58" s="220">
        <f t="shared" si="46"/>
        <v>71</v>
      </c>
      <c r="Y58" s="220">
        <f t="shared" si="46"/>
        <v>79</v>
      </c>
      <c r="Z58" s="220">
        <f t="shared" si="46"/>
        <v>90</v>
      </c>
      <c r="AA58" s="220">
        <f t="shared" si="46"/>
        <v>101</v>
      </c>
      <c r="AB58" s="220">
        <f t="shared" si="46"/>
        <v>113</v>
      </c>
      <c r="AC58" s="220">
        <f t="shared" si="46"/>
        <v>129</v>
      </c>
      <c r="AD58" s="220">
        <f t="shared" si="46"/>
        <v>148</v>
      </c>
      <c r="AE58" s="220">
        <f t="shared" si="46"/>
        <v>169</v>
      </c>
      <c r="AF58" s="220">
        <f t="shared" si="46"/>
        <v>190</v>
      </c>
      <c r="AG58" s="220">
        <f t="shared" si="46"/>
        <v>219</v>
      </c>
      <c r="AH58" s="220">
        <f t="shared" si="46"/>
        <v>277</v>
      </c>
      <c r="AI58" s="220">
        <f t="shared" si="46"/>
        <v>335</v>
      </c>
      <c r="AJ58" s="220">
        <f t="shared" ref="AJ58:AO58" si="47">AJ34-$B$31</f>
        <v>393</v>
      </c>
      <c r="AK58" s="221">
        <f t="shared" si="47"/>
        <v>451</v>
      </c>
      <c r="AL58" s="221">
        <f t="shared" si="47"/>
        <v>509</v>
      </c>
      <c r="AM58" s="221">
        <f t="shared" si="47"/>
        <v>567</v>
      </c>
      <c r="AN58" s="177">
        <f t="shared" si="47"/>
        <v>625</v>
      </c>
      <c r="AO58" s="251">
        <f t="shared" si="47"/>
        <v>625</v>
      </c>
      <c r="AP58" s="251">
        <f t="shared" si="46"/>
        <v>683</v>
      </c>
      <c r="AQ58" s="177">
        <f t="shared" si="46"/>
        <v>739</v>
      </c>
    </row>
    <row r="59" spans="1:46" x14ac:dyDescent="0.25">
      <c r="A59" s="208" t="s">
        <v>42</v>
      </c>
      <c r="B59" s="16"/>
      <c r="C59" s="16"/>
      <c r="D59" s="16"/>
      <c r="E59" s="16"/>
      <c r="F59" s="16"/>
      <c r="G59" s="16"/>
      <c r="H59" s="16"/>
      <c r="I59" s="16"/>
      <c r="J59" s="16"/>
      <c r="K59" s="16"/>
      <c r="L59" s="16"/>
      <c r="M59" s="16"/>
      <c r="N59" s="16"/>
      <c r="O59" s="16"/>
      <c r="P59" s="256">
        <v>30</v>
      </c>
      <c r="Q59" s="257">
        <v>62</v>
      </c>
      <c r="R59" s="258">
        <v>114</v>
      </c>
      <c r="S59" s="258">
        <v>249</v>
      </c>
      <c r="T59" s="258">
        <v>536</v>
      </c>
      <c r="U59" s="258">
        <v>987</v>
      </c>
      <c r="V59" s="258">
        <v>1998</v>
      </c>
      <c r="W59" s="258">
        <v>4289</v>
      </c>
      <c r="X59" s="258">
        <v>7600</v>
      </c>
      <c r="Y59" s="258">
        <v>16365</v>
      </c>
      <c r="Z59" s="258">
        <v>33062</v>
      </c>
      <c r="AA59" s="258">
        <v>67161</v>
      </c>
      <c r="AB59" s="258">
        <v>124794</v>
      </c>
      <c r="AC59" s="258">
        <v>257486</v>
      </c>
      <c r="AD59" s="258">
        <v>509446</v>
      </c>
      <c r="AE59" s="258">
        <v>1040457</v>
      </c>
      <c r="AF59" s="258">
        <v>2086864</v>
      </c>
      <c r="AG59" s="258">
        <v>4110839</v>
      </c>
      <c r="AH59" s="259">
        <f t="shared" ref="AH59:AK59" si="48">AH35</f>
        <v>8192000</v>
      </c>
      <c r="AI59" s="259">
        <f t="shared" si="48"/>
        <v>16384000</v>
      </c>
      <c r="AJ59" s="259">
        <f t="shared" si="48"/>
        <v>32768000</v>
      </c>
      <c r="AK59" s="259">
        <f t="shared" si="48"/>
        <v>65536000</v>
      </c>
      <c r="AL59" s="259">
        <f t="shared" ref="AL59" si="49">AK59*2</f>
        <v>131072000</v>
      </c>
      <c r="AM59" s="259">
        <f t="shared" ref="AM59:AN59" si="50">AL59*2</f>
        <v>262144000</v>
      </c>
      <c r="AN59" s="173">
        <f t="shared" si="50"/>
        <v>524288000</v>
      </c>
      <c r="AO59" s="173">
        <f t="shared" ref="AO59" si="51">AM59*2</f>
        <v>524288000</v>
      </c>
      <c r="AP59" s="173">
        <f>AP35</f>
        <v>1392156000</v>
      </c>
      <c r="AQ59" s="174">
        <f>AP59</f>
        <v>1392156000</v>
      </c>
    </row>
    <row r="60" spans="1:46" x14ac:dyDescent="0.25">
      <c r="A60" s="41" t="s">
        <v>156</v>
      </c>
      <c r="B60" s="16"/>
      <c r="C60" s="16"/>
      <c r="D60" s="16"/>
      <c r="E60" s="16"/>
      <c r="F60" s="16"/>
      <c r="G60" s="16"/>
      <c r="H60" s="16"/>
      <c r="I60" s="16"/>
      <c r="J60" s="16"/>
      <c r="K60" s="16"/>
      <c r="L60" s="16"/>
      <c r="M60" s="16"/>
      <c r="N60" s="16"/>
      <c r="O60" s="16"/>
      <c r="P60" s="180">
        <f>(P34-B31)/(LOG(P59/1)/LOG(2))</f>
        <v>7.1328266481677165</v>
      </c>
      <c r="Q60" s="163">
        <f>(Q34-$P$34)/(LOG(Q59/$P$59)/LOG(2))</f>
        <v>4.7741551768942267</v>
      </c>
      <c r="R60" s="163">
        <f t="shared" ref="R60:AQ60" si="52">(R34-$P$34)/(LOG(R59/$P$59)/LOG(2))</f>
        <v>5.1921095633020746</v>
      </c>
      <c r="S60" s="163">
        <f t="shared" si="52"/>
        <v>4.9130209635244562</v>
      </c>
      <c r="T60" s="163">
        <f t="shared" si="52"/>
        <v>4.5681877329756686</v>
      </c>
      <c r="U60" s="163">
        <f t="shared" si="52"/>
        <v>4.5634778670485563</v>
      </c>
      <c r="V60" s="163">
        <f t="shared" si="52"/>
        <v>4.4573209497047444</v>
      </c>
      <c r="W60" s="163">
        <f t="shared" si="52"/>
        <v>4.3298901364730362</v>
      </c>
      <c r="X60" s="163">
        <f>(X34-$P$34)/(LOG(X59/$P$59)/LOG(2))</f>
        <v>4.508513703920614</v>
      </c>
      <c r="Y60" s="163">
        <f t="shared" si="52"/>
        <v>4.8397198165418311</v>
      </c>
      <c r="Z60" s="163">
        <f t="shared" si="52"/>
        <v>5.4423137689055636</v>
      </c>
      <c r="AA60" s="163">
        <f t="shared" si="52"/>
        <v>5.9307474729131977</v>
      </c>
      <c r="AB60" s="163">
        <f t="shared" si="52"/>
        <v>6.487944074734358</v>
      </c>
      <c r="AC60" s="163">
        <f t="shared" si="52"/>
        <v>7.1935597840300396</v>
      </c>
      <c r="AD60" s="163">
        <f t="shared" si="52"/>
        <v>8.0417435599869833</v>
      </c>
      <c r="AE60" s="163">
        <f t="shared" si="52"/>
        <v>8.8848249632731626</v>
      </c>
      <c r="AF60" s="163">
        <f t="shared" si="52"/>
        <v>9.6356993490290748</v>
      </c>
      <c r="AG60" s="163">
        <f t="shared" si="52"/>
        <v>10.782864790490107</v>
      </c>
      <c r="AH60" s="172">
        <f t="shared" si="52"/>
        <v>13.400599403643911</v>
      </c>
      <c r="AI60" s="172">
        <f t="shared" si="52"/>
        <v>15.740682795890944</v>
      </c>
      <c r="AJ60" s="172">
        <f t="shared" ref="AJ60" si="53">(AJ34-$P$34)/(LOG(AJ59/$P$59)/LOG(2))</f>
        <v>17.847444906463899</v>
      </c>
      <c r="AK60" s="172">
        <f t="shared" ref="AK60" si="54">(AK34-$P$34)/(LOG(AK59/$P$59)/LOG(2))</f>
        <v>19.754124131232835</v>
      </c>
      <c r="AL60" s="172">
        <f t="shared" ref="AL60" si="55">(AL34-$P$34)/(LOG(AL59/$P$59)/LOG(2))</f>
        <v>21.487931656120004</v>
      </c>
      <c r="AM60" s="172">
        <f t="shared" ref="AM60:AN60" si="56">(AM34-$P$34)/(LOG(AM59/$P$59)/LOG(2))</f>
        <v>23.071358373647779</v>
      </c>
      <c r="AN60" s="175">
        <f t="shared" si="56"/>
        <v>24.523155870148802</v>
      </c>
      <c r="AO60" s="175">
        <f t="shared" ref="AO60" si="57">(AO34-$P$34)/(LOG(AO59/$P$59)/LOG(2))</f>
        <v>24.523155870148802</v>
      </c>
      <c r="AP60" s="175">
        <f t="shared" si="52"/>
        <v>25.443910700467331</v>
      </c>
      <c r="AQ60" s="176">
        <f t="shared" si="52"/>
        <v>27.642767180754632</v>
      </c>
    </row>
    <row r="61" spans="1:46" x14ac:dyDescent="0.25">
      <c r="A61" s="41" t="s">
        <v>200</v>
      </c>
      <c r="B61" s="16"/>
      <c r="C61" s="16"/>
      <c r="D61" s="16"/>
      <c r="E61" s="16"/>
      <c r="F61" s="16"/>
      <c r="G61" s="16"/>
      <c r="H61" s="16"/>
      <c r="I61" s="16"/>
      <c r="J61" s="16"/>
      <c r="K61" s="16"/>
      <c r="L61" s="16"/>
      <c r="M61" s="16"/>
      <c r="N61" s="16"/>
      <c r="O61" s="16"/>
      <c r="P61" s="271">
        <v>27</v>
      </c>
      <c r="Q61" s="272">
        <v>58</v>
      </c>
      <c r="R61" s="272">
        <v>99</v>
      </c>
      <c r="S61" s="272">
        <v>221</v>
      </c>
      <c r="T61" s="272">
        <v>486</v>
      </c>
      <c r="U61" s="272">
        <v>879</v>
      </c>
      <c r="V61" s="272">
        <v>1792</v>
      </c>
      <c r="W61" s="272">
        <v>3843</v>
      </c>
      <c r="X61" s="272">
        <v>6577</v>
      </c>
      <c r="Y61" s="272">
        <v>13381</v>
      </c>
      <c r="Z61" s="272">
        <v>23546</v>
      </c>
      <c r="AA61" s="272">
        <v>43980</v>
      </c>
      <c r="AB61" s="258">
        <v>69244</v>
      </c>
      <c r="AC61" s="258">
        <v>126431</v>
      </c>
      <c r="AD61" s="258">
        <v>197840</v>
      </c>
      <c r="AE61" s="258">
        <v>360094</v>
      </c>
      <c r="AF61" s="258">
        <v>616617</v>
      </c>
      <c r="AG61" s="258">
        <v>862487</v>
      </c>
      <c r="AH61" s="279"/>
      <c r="AI61" s="279"/>
      <c r="AJ61" s="279"/>
      <c r="AK61" s="279"/>
      <c r="AL61" s="279"/>
      <c r="AM61" s="279"/>
      <c r="AN61" s="273"/>
      <c r="AO61" s="273"/>
      <c r="AP61" s="273"/>
      <c r="AQ61" s="274"/>
    </row>
    <row r="62" spans="1:46" x14ac:dyDescent="0.25">
      <c r="A62" s="41" t="s">
        <v>62</v>
      </c>
      <c r="B62" s="16"/>
      <c r="C62" s="16"/>
      <c r="D62" s="16"/>
      <c r="E62" s="16"/>
      <c r="F62" s="16"/>
      <c r="G62" s="16"/>
      <c r="H62" s="16"/>
      <c r="I62" s="16"/>
      <c r="J62" s="16"/>
      <c r="K62" s="16"/>
      <c r="L62" s="16"/>
      <c r="M62" s="16"/>
      <c r="N62" s="16"/>
      <c r="O62" s="16"/>
      <c r="P62" s="219">
        <f>P59-P63-P61</f>
        <v>3</v>
      </c>
      <c r="Q62" s="139">
        <f t="shared" ref="Q62:X62" si="58">Q59-Q63-Q61</f>
        <v>4</v>
      </c>
      <c r="R62" s="139">
        <f t="shared" si="58"/>
        <v>13</v>
      </c>
      <c r="S62" s="139">
        <f t="shared" si="58"/>
        <v>23</v>
      </c>
      <c r="T62" s="139">
        <f t="shared" si="58"/>
        <v>40</v>
      </c>
      <c r="U62" s="139">
        <f t="shared" si="58"/>
        <v>84</v>
      </c>
      <c r="V62" s="139">
        <f t="shared" si="58"/>
        <v>148</v>
      </c>
      <c r="W62" s="139">
        <f t="shared" si="58"/>
        <v>328</v>
      </c>
      <c r="X62" s="139">
        <f t="shared" si="58"/>
        <v>774</v>
      </c>
      <c r="Y62" s="139">
        <f t="shared" ref="Y62:Z62" si="59">Y59-Y63-Y61</f>
        <v>2463</v>
      </c>
      <c r="Z62" s="139">
        <f t="shared" si="59"/>
        <v>8437</v>
      </c>
      <c r="AA62" s="139">
        <f t="shared" ref="AA62:AB62" si="60">AA59-AA63-AA61</f>
        <v>20969</v>
      </c>
      <c r="AB62" s="139">
        <f t="shared" si="60"/>
        <v>51824</v>
      </c>
      <c r="AC62" s="139">
        <f t="shared" ref="AC62:AD62" si="61">AC59-AC63-AC61</f>
        <v>123848</v>
      </c>
      <c r="AD62" s="139">
        <f t="shared" si="61"/>
        <v>295917</v>
      </c>
      <c r="AE62" s="139">
        <f t="shared" ref="AE62:AF62" si="62">AE59-AE63-AE61</f>
        <v>654078</v>
      </c>
      <c r="AF62" s="139">
        <f t="shared" si="62"/>
        <v>1424669</v>
      </c>
      <c r="AG62" s="139">
        <f t="shared" ref="AG62" si="63">AG59-AG63-AG61</f>
        <v>3177673</v>
      </c>
      <c r="AH62" s="280">
        <v>7491513</v>
      </c>
      <c r="AI62" s="280"/>
      <c r="AJ62" s="280"/>
      <c r="AK62" s="280"/>
      <c r="AL62" s="280"/>
      <c r="AM62" s="280"/>
      <c r="AN62" s="101"/>
      <c r="AO62" s="101"/>
      <c r="AP62" s="101"/>
      <c r="AQ62" s="102"/>
    </row>
    <row r="63" spans="1:46" x14ac:dyDescent="0.25">
      <c r="A63" s="49" t="s">
        <v>43</v>
      </c>
      <c r="B63" s="38"/>
      <c r="C63" s="39"/>
      <c r="D63" s="39"/>
      <c r="E63" s="39"/>
      <c r="F63" s="39"/>
      <c r="G63" s="39"/>
      <c r="H63" s="39"/>
      <c r="I63" s="39"/>
      <c r="J63" s="39"/>
      <c r="K63" s="39"/>
      <c r="L63" s="39"/>
      <c r="M63" s="39"/>
      <c r="N63" s="39"/>
      <c r="O63" s="39"/>
      <c r="P63" s="275">
        <v>0</v>
      </c>
      <c r="Q63" s="276">
        <v>0</v>
      </c>
      <c r="R63" s="277">
        <v>2</v>
      </c>
      <c r="S63" s="277">
        <v>5</v>
      </c>
      <c r="T63" s="277">
        <v>10</v>
      </c>
      <c r="U63" s="277">
        <v>24</v>
      </c>
      <c r="V63" s="277">
        <v>58</v>
      </c>
      <c r="W63" s="277">
        <v>118</v>
      </c>
      <c r="X63" s="277">
        <v>249</v>
      </c>
      <c r="Y63" s="277">
        <v>521</v>
      </c>
      <c r="Z63" s="277">
        <v>1079</v>
      </c>
      <c r="AA63" s="277">
        <v>2212</v>
      </c>
      <c r="AB63" s="277">
        <v>3726</v>
      </c>
      <c r="AC63" s="277">
        <v>7207</v>
      </c>
      <c r="AD63" s="277">
        <v>15689</v>
      </c>
      <c r="AE63" s="277">
        <v>26285</v>
      </c>
      <c r="AF63" s="277">
        <v>45578</v>
      </c>
      <c r="AG63" s="277">
        <v>70679</v>
      </c>
      <c r="AH63" s="281">
        <v>122149</v>
      </c>
      <c r="AI63" s="281"/>
      <c r="AJ63" s="281"/>
      <c r="AK63" s="281"/>
      <c r="AL63" s="281"/>
      <c r="AM63" s="281"/>
      <c r="AN63" s="81"/>
      <c r="AO63" s="81"/>
      <c r="AP63" s="81"/>
      <c r="AQ63" s="34"/>
    </row>
    <row r="64" spans="1:46" x14ac:dyDescent="0.25">
      <c r="B64" s="3"/>
      <c r="P64" s="35"/>
      <c r="Q64" s="35"/>
      <c r="R64" s="35"/>
      <c r="S64" s="35"/>
      <c r="T64" s="35"/>
      <c r="U64" s="35"/>
      <c r="V64" s="35"/>
      <c r="W64" s="35"/>
      <c r="X64" s="35"/>
      <c r="Y64" s="35"/>
      <c r="Z64" s="35"/>
      <c r="AA64" s="35"/>
      <c r="AB64" s="35"/>
      <c r="AC64" s="35"/>
      <c r="AD64" s="35"/>
      <c r="AE64" s="35"/>
      <c r="AF64" s="35"/>
      <c r="AG64" s="35"/>
    </row>
    <row r="65" spans="1:43" x14ac:dyDescent="0.25">
      <c r="A65" s="71" t="s">
        <v>48</v>
      </c>
      <c r="AG65" s="16"/>
    </row>
    <row r="66" spans="1:43" x14ac:dyDescent="0.25">
      <c r="A66" s="4" t="s">
        <v>0</v>
      </c>
      <c r="B66" s="179" t="s">
        <v>117</v>
      </c>
      <c r="C66" s="5" t="s">
        <v>3</v>
      </c>
      <c r="D66" s="179" t="s">
        <v>50</v>
      </c>
      <c r="E66" s="57" t="s">
        <v>2</v>
      </c>
      <c r="F66" s="58" t="s">
        <v>188</v>
      </c>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5"/>
      <c r="AQ66" s="47"/>
    </row>
    <row r="67" spans="1:43" x14ac:dyDescent="0.25">
      <c r="A67" s="41" t="s">
        <v>12</v>
      </c>
      <c r="B67" s="13">
        <f>'Population by Age - Wikipedia'!D23</f>
        <v>9.323168516819004E-3</v>
      </c>
      <c r="C67" s="12">
        <f>$B$21*B67</f>
        <v>12979304.989700677</v>
      </c>
      <c r="D67" s="22">
        <f>'Infection Rate by Age'!B4</f>
        <v>0.01</v>
      </c>
      <c r="E67" s="5"/>
      <c r="F67" s="16"/>
      <c r="G67" s="16"/>
      <c r="H67" s="16"/>
      <c r="I67" s="16"/>
      <c r="J67" s="16"/>
      <c r="K67" s="16"/>
      <c r="L67" s="16"/>
      <c r="M67" s="16"/>
      <c r="N67" s="16"/>
      <c r="O67" s="16"/>
      <c r="P67" s="18">
        <f t="shared" ref="P67:AP67" si="64">P$35*$D$67</f>
        <v>0.3125</v>
      </c>
      <c r="Q67" s="19">
        <f t="shared" si="64"/>
        <v>0.625</v>
      </c>
      <c r="R67" s="19">
        <f t="shared" si="64"/>
        <v>1.25</v>
      </c>
      <c r="S67" s="19">
        <f t="shared" si="64"/>
        <v>2.5</v>
      </c>
      <c r="T67" s="19">
        <f t="shared" si="64"/>
        <v>5</v>
      </c>
      <c r="U67" s="19">
        <f t="shared" si="64"/>
        <v>10</v>
      </c>
      <c r="V67" s="19">
        <f t="shared" si="64"/>
        <v>20</v>
      </c>
      <c r="W67" s="19">
        <f t="shared" si="64"/>
        <v>40</v>
      </c>
      <c r="X67" s="19">
        <f t="shared" si="64"/>
        <v>80</v>
      </c>
      <c r="Y67" s="19">
        <f t="shared" si="64"/>
        <v>160</v>
      </c>
      <c r="Z67" s="19">
        <f t="shared" si="64"/>
        <v>320</v>
      </c>
      <c r="AA67" s="19">
        <f t="shared" si="64"/>
        <v>640</v>
      </c>
      <c r="AB67" s="19">
        <f t="shared" si="64"/>
        <v>1280</v>
      </c>
      <c r="AC67" s="19">
        <f t="shared" si="64"/>
        <v>2560</v>
      </c>
      <c r="AD67" s="19">
        <f t="shared" si="64"/>
        <v>5120</v>
      </c>
      <c r="AE67" s="19">
        <f t="shared" si="64"/>
        <v>10240</v>
      </c>
      <c r="AF67" s="19">
        <f t="shared" si="64"/>
        <v>20480</v>
      </c>
      <c r="AG67" s="19">
        <f t="shared" si="64"/>
        <v>40960</v>
      </c>
      <c r="AH67" s="19">
        <f t="shared" si="64"/>
        <v>81920</v>
      </c>
      <c r="AI67" s="19">
        <f t="shared" si="64"/>
        <v>163840</v>
      </c>
      <c r="AJ67" s="19">
        <f t="shared" si="64"/>
        <v>327680</v>
      </c>
      <c r="AK67" s="59">
        <f t="shared" si="64"/>
        <v>655360</v>
      </c>
      <c r="AL67" s="18">
        <f t="shared" si="64"/>
        <v>1310720</v>
      </c>
      <c r="AM67" s="19">
        <f t="shared" si="64"/>
        <v>2621440</v>
      </c>
      <c r="AN67" s="19">
        <f t="shared" si="64"/>
        <v>5242880</v>
      </c>
      <c r="AO67" s="19">
        <f t="shared" si="64"/>
        <v>10485760</v>
      </c>
      <c r="AP67" s="59">
        <f t="shared" si="64"/>
        <v>13921560</v>
      </c>
      <c r="AQ67" s="45"/>
    </row>
    <row r="68" spans="1:43" x14ac:dyDescent="0.25">
      <c r="A68" s="41"/>
      <c r="B68" s="6"/>
      <c r="C68" s="10"/>
      <c r="D68" s="8"/>
      <c r="E68" s="27">
        <v>0.14799999999999999</v>
      </c>
      <c r="F68" s="15">
        <v>7.9000000000000001E-2</v>
      </c>
      <c r="G68" s="10"/>
      <c r="H68" s="10"/>
      <c r="I68" s="10"/>
      <c r="J68" s="10"/>
      <c r="K68" s="10"/>
      <c r="L68" s="10"/>
      <c r="M68" s="10"/>
      <c r="N68" s="15"/>
      <c r="O68" s="10"/>
      <c r="P68" s="29">
        <f t="shared" ref="P68:AP68" si="65">P$35*$D$67*$E$68</f>
        <v>4.6249999999999999E-2</v>
      </c>
      <c r="Q68" s="30">
        <f t="shared" si="65"/>
        <v>9.2499999999999999E-2</v>
      </c>
      <c r="R68" s="30">
        <f t="shared" si="65"/>
        <v>0.185</v>
      </c>
      <c r="S68" s="30">
        <f t="shared" si="65"/>
        <v>0.37</v>
      </c>
      <c r="T68" s="30">
        <f t="shared" si="65"/>
        <v>0.74</v>
      </c>
      <c r="U68" s="30">
        <f t="shared" si="65"/>
        <v>1.48</v>
      </c>
      <c r="V68" s="30">
        <f t="shared" si="65"/>
        <v>2.96</v>
      </c>
      <c r="W68" s="30">
        <f t="shared" si="65"/>
        <v>5.92</v>
      </c>
      <c r="X68" s="30">
        <f t="shared" si="65"/>
        <v>11.84</v>
      </c>
      <c r="Y68" s="30">
        <f t="shared" si="65"/>
        <v>23.68</v>
      </c>
      <c r="Z68" s="30">
        <f t="shared" si="65"/>
        <v>47.36</v>
      </c>
      <c r="AA68" s="30">
        <f t="shared" si="65"/>
        <v>94.72</v>
      </c>
      <c r="AB68" s="30">
        <f t="shared" si="65"/>
        <v>189.44</v>
      </c>
      <c r="AC68" s="30">
        <f t="shared" si="65"/>
        <v>378.88</v>
      </c>
      <c r="AD68" s="30">
        <f t="shared" si="65"/>
        <v>757.76</v>
      </c>
      <c r="AE68" s="30">
        <f t="shared" si="65"/>
        <v>1515.52</v>
      </c>
      <c r="AF68" s="30">
        <f t="shared" si="65"/>
        <v>3031.04</v>
      </c>
      <c r="AG68" s="30">
        <f t="shared" si="65"/>
        <v>6062.08</v>
      </c>
      <c r="AH68" s="30">
        <f t="shared" si="65"/>
        <v>12124.16</v>
      </c>
      <c r="AI68" s="30">
        <f t="shared" si="65"/>
        <v>24248.32</v>
      </c>
      <c r="AJ68" s="30">
        <f t="shared" si="65"/>
        <v>48496.639999999999</v>
      </c>
      <c r="AK68" s="68">
        <f t="shared" si="65"/>
        <v>96993.279999999999</v>
      </c>
      <c r="AL68" s="29">
        <f t="shared" si="65"/>
        <v>193986.56</v>
      </c>
      <c r="AM68" s="30">
        <f t="shared" si="65"/>
        <v>387973.12</v>
      </c>
      <c r="AN68" s="30">
        <f t="shared" si="65"/>
        <v>775946.23999999999</v>
      </c>
      <c r="AO68" s="30">
        <f t="shared" si="65"/>
        <v>1551892.48</v>
      </c>
      <c r="AP68" s="68">
        <f t="shared" si="65"/>
        <v>2060390.88</v>
      </c>
      <c r="AQ68" s="45"/>
    </row>
    <row r="69" spans="1:43" x14ac:dyDescent="0.25">
      <c r="A69" s="41" t="s">
        <v>13</v>
      </c>
      <c r="B69" s="6">
        <f>'Population by Age - Wikipedia'!D18</f>
        <v>2.3488646898463382E-2</v>
      </c>
      <c r="C69" s="10">
        <f t="shared" ref="C69:C83" si="66">$B$21*B69</f>
        <v>32699860.711577188</v>
      </c>
      <c r="D69" s="23">
        <f>'Infection Rate by Age'!B5</f>
        <v>2.9000000000000001E-2</v>
      </c>
      <c r="E69" s="17"/>
      <c r="F69" s="16"/>
      <c r="G69" s="16"/>
      <c r="H69" s="16"/>
      <c r="I69" s="16"/>
      <c r="J69" s="16"/>
      <c r="K69" s="16"/>
      <c r="L69" s="16"/>
      <c r="M69" s="16"/>
      <c r="N69" s="16"/>
      <c r="O69" s="16"/>
      <c r="P69" s="20">
        <f t="shared" ref="P69:AP69" si="67">P$35*$D$69</f>
        <v>0.90625</v>
      </c>
      <c r="Q69" s="21">
        <f t="shared" si="67"/>
        <v>1.8125</v>
      </c>
      <c r="R69" s="21">
        <f t="shared" si="67"/>
        <v>3.625</v>
      </c>
      <c r="S69" s="21">
        <f t="shared" si="67"/>
        <v>7.25</v>
      </c>
      <c r="T69" s="21">
        <f t="shared" si="67"/>
        <v>14.5</v>
      </c>
      <c r="U69" s="21">
        <f t="shared" si="67"/>
        <v>29</v>
      </c>
      <c r="V69" s="21">
        <f t="shared" si="67"/>
        <v>58</v>
      </c>
      <c r="W69" s="21">
        <f t="shared" si="67"/>
        <v>116</v>
      </c>
      <c r="X69" s="21">
        <f t="shared" si="67"/>
        <v>232</v>
      </c>
      <c r="Y69" s="21">
        <f t="shared" si="67"/>
        <v>464</v>
      </c>
      <c r="Z69" s="21">
        <f t="shared" si="67"/>
        <v>928</v>
      </c>
      <c r="AA69" s="21">
        <f t="shared" si="67"/>
        <v>1856</v>
      </c>
      <c r="AB69" s="21">
        <f t="shared" si="67"/>
        <v>3712</v>
      </c>
      <c r="AC69" s="21">
        <f t="shared" si="67"/>
        <v>7424</v>
      </c>
      <c r="AD69" s="21">
        <f t="shared" si="67"/>
        <v>14848</v>
      </c>
      <c r="AE69" s="21">
        <f t="shared" si="67"/>
        <v>29696</v>
      </c>
      <c r="AF69" s="21">
        <f t="shared" si="67"/>
        <v>59392</v>
      </c>
      <c r="AG69" s="21">
        <f t="shared" si="67"/>
        <v>118784</v>
      </c>
      <c r="AH69" s="21">
        <f t="shared" si="67"/>
        <v>237568</v>
      </c>
      <c r="AI69" s="21">
        <f t="shared" si="67"/>
        <v>475136</v>
      </c>
      <c r="AJ69" s="21">
        <f t="shared" si="67"/>
        <v>950272</v>
      </c>
      <c r="AK69" s="69">
        <f t="shared" si="67"/>
        <v>1900544</v>
      </c>
      <c r="AL69" s="20">
        <f t="shared" si="67"/>
        <v>3801088</v>
      </c>
      <c r="AM69" s="21">
        <f t="shared" si="67"/>
        <v>7602176</v>
      </c>
      <c r="AN69" s="21">
        <f t="shared" si="67"/>
        <v>15204352</v>
      </c>
      <c r="AO69" s="21">
        <f t="shared" si="67"/>
        <v>30408704</v>
      </c>
      <c r="AP69" s="69">
        <f t="shared" si="67"/>
        <v>40372524</v>
      </c>
      <c r="AQ69" s="45"/>
    </row>
    <row r="70" spans="1:43" x14ac:dyDescent="0.25">
      <c r="A70" s="41"/>
      <c r="B70" s="6"/>
      <c r="C70" s="10"/>
      <c r="D70" s="8"/>
      <c r="E70" s="27">
        <v>0.08</v>
      </c>
      <c r="F70" s="15">
        <v>0.13200000000000001</v>
      </c>
      <c r="G70" s="10"/>
      <c r="H70" s="10"/>
      <c r="I70" s="10"/>
      <c r="J70" s="10"/>
      <c r="K70" s="10"/>
      <c r="L70" s="10"/>
      <c r="M70" s="10"/>
      <c r="N70" s="15"/>
      <c r="O70" s="10"/>
      <c r="P70" s="29">
        <f t="shared" ref="P70:AP70" si="68">P$35*$D$69*$E$70</f>
        <v>7.2499999999999995E-2</v>
      </c>
      <c r="Q70" s="30">
        <f t="shared" si="68"/>
        <v>0.14499999999999999</v>
      </c>
      <c r="R70" s="30">
        <f t="shared" si="68"/>
        <v>0.28999999999999998</v>
      </c>
      <c r="S70" s="30">
        <f t="shared" si="68"/>
        <v>0.57999999999999996</v>
      </c>
      <c r="T70" s="30">
        <f t="shared" si="68"/>
        <v>1.1599999999999999</v>
      </c>
      <c r="U70" s="30">
        <f t="shared" si="68"/>
        <v>2.3199999999999998</v>
      </c>
      <c r="V70" s="30">
        <f t="shared" si="68"/>
        <v>4.6399999999999997</v>
      </c>
      <c r="W70" s="30">
        <f t="shared" si="68"/>
        <v>9.2799999999999994</v>
      </c>
      <c r="X70" s="30">
        <f t="shared" si="68"/>
        <v>18.559999999999999</v>
      </c>
      <c r="Y70" s="30">
        <f t="shared" si="68"/>
        <v>37.119999999999997</v>
      </c>
      <c r="Z70" s="30">
        <f t="shared" si="68"/>
        <v>74.239999999999995</v>
      </c>
      <c r="AA70" s="30">
        <f t="shared" si="68"/>
        <v>148.47999999999999</v>
      </c>
      <c r="AB70" s="30">
        <f t="shared" si="68"/>
        <v>296.95999999999998</v>
      </c>
      <c r="AC70" s="30">
        <f t="shared" si="68"/>
        <v>593.91999999999996</v>
      </c>
      <c r="AD70" s="30">
        <f t="shared" si="68"/>
        <v>1187.8399999999999</v>
      </c>
      <c r="AE70" s="30">
        <f t="shared" si="68"/>
        <v>2375.6799999999998</v>
      </c>
      <c r="AF70" s="30">
        <f t="shared" si="68"/>
        <v>4751.3599999999997</v>
      </c>
      <c r="AG70" s="30">
        <f t="shared" si="68"/>
        <v>9502.7199999999993</v>
      </c>
      <c r="AH70" s="30">
        <f t="shared" si="68"/>
        <v>19005.439999999999</v>
      </c>
      <c r="AI70" s="30">
        <f t="shared" si="68"/>
        <v>38010.879999999997</v>
      </c>
      <c r="AJ70" s="30">
        <f t="shared" si="68"/>
        <v>76021.759999999995</v>
      </c>
      <c r="AK70" s="68">
        <f t="shared" si="68"/>
        <v>152043.51999999999</v>
      </c>
      <c r="AL70" s="29">
        <f t="shared" si="68"/>
        <v>304087.03999999998</v>
      </c>
      <c r="AM70" s="30">
        <f t="shared" si="68"/>
        <v>608174.07999999996</v>
      </c>
      <c r="AN70" s="30">
        <f t="shared" si="68"/>
        <v>1216348.1599999999</v>
      </c>
      <c r="AO70" s="30">
        <f t="shared" si="68"/>
        <v>2432696.3199999998</v>
      </c>
      <c r="AP70" s="68">
        <f t="shared" si="68"/>
        <v>3229801.92</v>
      </c>
      <c r="AQ70" s="45"/>
    </row>
    <row r="71" spans="1:43" x14ac:dyDescent="0.25">
      <c r="A71" s="41" t="s">
        <v>14</v>
      </c>
      <c r="B71" s="6">
        <f>'Population by Age - Wikipedia'!D16</f>
        <v>5.2953236529497287E-2</v>
      </c>
      <c r="C71" s="10">
        <f t="shared" si="66"/>
        <v>73719165.953958824</v>
      </c>
      <c r="D71" s="23">
        <f>'Infection Rate by Age'!B6</f>
        <v>0.121</v>
      </c>
      <c r="E71" s="17"/>
      <c r="F71" s="10"/>
      <c r="G71" s="10"/>
      <c r="H71" s="10"/>
      <c r="I71" s="10"/>
      <c r="J71" s="10"/>
      <c r="K71" s="10"/>
      <c r="L71" s="10"/>
      <c r="M71" s="10"/>
      <c r="N71" s="10"/>
      <c r="O71" s="10"/>
      <c r="P71" s="20">
        <f t="shared" ref="P71:AP71" si="69">P$35*$D$71</f>
        <v>3.78125</v>
      </c>
      <c r="Q71" s="21">
        <f t="shared" si="69"/>
        <v>7.5625</v>
      </c>
      <c r="R71" s="21">
        <f t="shared" si="69"/>
        <v>15.125</v>
      </c>
      <c r="S71" s="21">
        <f t="shared" si="69"/>
        <v>30.25</v>
      </c>
      <c r="T71" s="21">
        <f t="shared" si="69"/>
        <v>60.5</v>
      </c>
      <c r="U71" s="21">
        <f t="shared" si="69"/>
        <v>121</v>
      </c>
      <c r="V71" s="21">
        <f t="shared" si="69"/>
        <v>242</v>
      </c>
      <c r="W71" s="21">
        <f t="shared" si="69"/>
        <v>484</v>
      </c>
      <c r="X71" s="21">
        <f t="shared" si="69"/>
        <v>968</v>
      </c>
      <c r="Y71" s="21">
        <f t="shared" si="69"/>
        <v>1936</v>
      </c>
      <c r="Z71" s="21">
        <f t="shared" si="69"/>
        <v>3872</v>
      </c>
      <c r="AA71" s="21">
        <f t="shared" si="69"/>
        <v>7744</v>
      </c>
      <c r="AB71" s="21">
        <f t="shared" si="69"/>
        <v>15488</v>
      </c>
      <c r="AC71" s="21">
        <f t="shared" si="69"/>
        <v>30976</v>
      </c>
      <c r="AD71" s="21">
        <f t="shared" si="69"/>
        <v>61952</v>
      </c>
      <c r="AE71" s="21">
        <f t="shared" si="69"/>
        <v>123904</v>
      </c>
      <c r="AF71" s="21">
        <f t="shared" si="69"/>
        <v>247808</v>
      </c>
      <c r="AG71" s="21">
        <f t="shared" si="69"/>
        <v>495616</v>
      </c>
      <c r="AH71" s="21">
        <f t="shared" si="69"/>
        <v>991232</v>
      </c>
      <c r="AI71" s="21">
        <f t="shared" si="69"/>
        <v>1982464</v>
      </c>
      <c r="AJ71" s="21">
        <f t="shared" si="69"/>
        <v>3964928</v>
      </c>
      <c r="AK71" s="69">
        <f t="shared" si="69"/>
        <v>7929856</v>
      </c>
      <c r="AL71" s="20">
        <f t="shared" si="69"/>
        <v>15859712</v>
      </c>
      <c r="AM71" s="21">
        <f t="shared" si="69"/>
        <v>31719424</v>
      </c>
      <c r="AN71" s="21">
        <f t="shared" si="69"/>
        <v>63438848</v>
      </c>
      <c r="AO71" s="21">
        <f t="shared" si="69"/>
        <v>126877696</v>
      </c>
      <c r="AP71" s="69">
        <f t="shared" si="69"/>
        <v>168450876</v>
      </c>
      <c r="AQ71" s="45"/>
    </row>
    <row r="72" spans="1:43" x14ac:dyDescent="0.25">
      <c r="A72" s="41"/>
      <c r="B72" s="6"/>
      <c r="C72" s="10"/>
      <c r="D72" s="8"/>
      <c r="E72" s="27">
        <v>3.5999999999999997E-2</v>
      </c>
      <c r="F72" s="15">
        <v>0.23699999999999999</v>
      </c>
      <c r="G72" s="10"/>
      <c r="H72" s="10"/>
      <c r="I72" s="10"/>
      <c r="J72" s="10"/>
      <c r="K72" s="10"/>
      <c r="L72" s="10"/>
      <c r="M72" s="10"/>
      <c r="N72" s="15"/>
      <c r="O72" s="10"/>
      <c r="P72" s="29">
        <f t="shared" ref="P72:AP72" si="70">P$35*$D$71*$E$72</f>
        <v>0.136125</v>
      </c>
      <c r="Q72" s="30">
        <f t="shared" si="70"/>
        <v>0.27224999999999999</v>
      </c>
      <c r="R72" s="30">
        <f t="shared" si="70"/>
        <v>0.54449999999999998</v>
      </c>
      <c r="S72" s="30">
        <f t="shared" si="70"/>
        <v>1.089</v>
      </c>
      <c r="T72" s="30">
        <f t="shared" si="70"/>
        <v>2.1779999999999999</v>
      </c>
      <c r="U72" s="30">
        <f t="shared" si="70"/>
        <v>4.3559999999999999</v>
      </c>
      <c r="V72" s="30">
        <f t="shared" si="70"/>
        <v>8.7119999999999997</v>
      </c>
      <c r="W72" s="30">
        <f t="shared" si="70"/>
        <v>17.423999999999999</v>
      </c>
      <c r="X72" s="30">
        <f t="shared" si="70"/>
        <v>34.847999999999999</v>
      </c>
      <c r="Y72" s="30">
        <f t="shared" si="70"/>
        <v>69.695999999999998</v>
      </c>
      <c r="Z72" s="30">
        <f t="shared" si="70"/>
        <v>139.392</v>
      </c>
      <c r="AA72" s="30">
        <f t="shared" si="70"/>
        <v>278.78399999999999</v>
      </c>
      <c r="AB72" s="30">
        <f t="shared" si="70"/>
        <v>557.56799999999998</v>
      </c>
      <c r="AC72" s="30">
        <f t="shared" si="70"/>
        <v>1115.136</v>
      </c>
      <c r="AD72" s="30">
        <f t="shared" si="70"/>
        <v>2230.2719999999999</v>
      </c>
      <c r="AE72" s="30">
        <f t="shared" si="70"/>
        <v>4460.5439999999999</v>
      </c>
      <c r="AF72" s="30">
        <f t="shared" si="70"/>
        <v>8921.0879999999997</v>
      </c>
      <c r="AG72" s="30">
        <f t="shared" si="70"/>
        <v>17842.175999999999</v>
      </c>
      <c r="AH72" s="30">
        <f t="shared" si="70"/>
        <v>35684.351999999999</v>
      </c>
      <c r="AI72" s="30">
        <f t="shared" si="70"/>
        <v>71368.703999999998</v>
      </c>
      <c r="AJ72" s="30">
        <f t="shared" si="70"/>
        <v>142737.408</v>
      </c>
      <c r="AK72" s="68">
        <f t="shared" si="70"/>
        <v>285474.81599999999</v>
      </c>
      <c r="AL72" s="29">
        <f t="shared" si="70"/>
        <v>570949.63199999998</v>
      </c>
      <c r="AM72" s="30">
        <f t="shared" si="70"/>
        <v>1141899.264</v>
      </c>
      <c r="AN72" s="30">
        <f t="shared" si="70"/>
        <v>2283798.5279999999</v>
      </c>
      <c r="AO72" s="30">
        <f t="shared" si="70"/>
        <v>4567597.0559999999</v>
      </c>
      <c r="AP72" s="68">
        <f t="shared" si="70"/>
        <v>6064231.5359999994</v>
      </c>
      <c r="AQ72" s="45"/>
    </row>
    <row r="73" spans="1:43" x14ac:dyDescent="0.25">
      <c r="A73" s="41" t="s">
        <v>15</v>
      </c>
      <c r="B73" s="6">
        <f>'Population by Age - Wikipedia'!D14</f>
        <v>7.2853736141516481E-2</v>
      </c>
      <c r="C73" s="10">
        <f t="shared" si="66"/>
        <v>101423765.89182901</v>
      </c>
      <c r="D73" s="23">
        <f>'Infection Rate by Age'!B7</f>
        <v>0.159</v>
      </c>
      <c r="E73" s="17"/>
      <c r="F73" s="10"/>
      <c r="G73" s="10"/>
      <c r="H73" s="10"/>
      <c r="I73" s="10"/>
      <c r="J73" s="10"/>
      <c r="K73" s="10"/>
      <c r="L73" s="10"/>
      <c r="M73" s="10"/>
      <c r="N73" s="10"/>
      <c r="O73" s="10"/>
      <c r="P73" s="20">
        <f t="shared" ref="P73:AP73" si="71">P$35*$D$73</f>
        <v>4.96875</v>
      </c>
      <c r="Q73" s="21">
        <f t="shared" si="71"/>
        <v>9.9375</v>
      </c>
      <c r="R73" s="21">
        <f t="shared" si="71"/>
        <v>19.875</v>
      </c>
      <c r="S73" s="21">
        <f t="shared" si="71"/>
        <v>39.75</v>
      </c>
      <c r="T73" s="21">
        <f t="shared" si="71"/>
        <v>79.5</v>
      </c>
      <c r="U73" s="21">
        <f t="shared" si="71"/>
        <v>159</v>
      </c>
      <c r="V73" s="21">
        <f t="shared" si="71"/>
        <v>318</v>
      </c>
      <c r="W73" s="21">
        <f t="shared" si="71"/>
        <v>636</v>
      </c>
      <c r="X73" s="21">
        <f t="shared" si="71"/>
        <v>1272</v>
      </c>
      <c r="Y73" s="21">
        <f t="shared" si="71"/>
        <v>2544</v>
      </c>
      <c r="Z73" s="21">
        <f t="shared" si="71"/>
        <v>5088</v>
      </c>
      <c r="AA73" s="21">
        <f t="shared" si="71"/>
        <v>10176</v>
      </c>
      <c r="AB73" s="21">
        <f t="shared" si="71"/>
        <v>20352</v>
      </c>
      <c r="AC73" s="21">
        <f t="shared" si="71"/>
        <v>40704</v>
      </c>
      <c r="AD73" s="21">
        <f t="shared" si="71"/>
        <v>81408</v>
      </c>
      <c r="AE73" s="21">
        <f t="shared" si="71"/>
        <v>162816</v>
      </c>
      <c r="AF73" s="21">
        <f t="shared" si="71"/>
        <v>325632</v>
      </c>
      <c r="AG73" s="21">
        <f t="shared" si="71"/>
        <v>651264</v>
      </c>
      <c r="AH73" s="21">
        <f t="shared" si="71"/>
        <v>1302528</v>
      </c>
      <c r="AI73" s="21">
        <f t="shared" si="71"/>
        <v>2605056</v>
      </c>
      <c r="AJ73" s="21">
        <f t="shared" si="71"/>
        <v>5210112</v>
      </c>
      <c r="AK73" s="69">
        <f t="shared" si="71"/>
        <v>10420224</v>
      </c>
      <c r="AL73" s="20">
        <f t="shared" si="71"/>
        <v>20840448</v>
      </c>
      <c r="AM73" s="21">
        <f t="shared" si="71"/>
        <v>41680896</v>
      </c>
      <c r="AN73" s="21">
        <f t="shared" si="71"/>
        <v>83361792</v>
      </c>
      <c r="AO73" s="21">
        <f t="shared" si="71"/>
        <v>166723584</v>
      </c>
      <c r="AP73" s="69">
        <f t="shared" si="71"/>
        <v>221352804</v>
      </c>
      <c r="AQ73" s="45"/>
    </row>
    <row r="74" spans="1:43" x14ac:dyDescent="0.25">
      <c r="A74" s="41"/>
      <c r="B74" s="6"/>
      <c r="C74" s="10"/>
      <c r="D74" s="8"/>
      <c r="E74" s="27">
        <v>1.2999999999999999E-2</v>
      </c>
      <c r="F74" s="15">
        <v>0.28899999999999998</v>
      </c>
      <c r="G74" s="10"/>
      <c r="H74" s="10"/>
      <c r="I74" s="10"/>
      <c r="J74" s="10"/>
      <c r="K74" s="10"/>
      <c r="L74" s="10"/>
      <c r="M74" s="10"/>
      <c r="N74" s="15"/>
      <c r="O74" s="10"/>
      <c r="P74" s="29">
        <f t="shared" ref="P74:AP74" si="72">P$35*$D$73*$E$74</f>
        <v>6.4593749999999991E-2</v>
      </c>
      <c r="Q74" s="30">
        <f t="shared" si="72"/>
        <v>0.12918749999999998</v>
      </c>
      <c r="R74" s="30">
        <f t="shared" si="72"/>
        <v>0.25837499999999997</v>
      </c>
      <c r="S74" s="30">
        <f t="shared" si="72"/>
        <v>0.51674999999999993</v>
      </c>
      <c r="T74" s="30">
        <f t="shared" si="72"/>
        <v>1.0334999999999999</v>
      </c>
      <c r="U74" s="30">
        <f t="shared" si="72"/>
        <v>2.0669999999999997</v>
      </c>
      <c r="V74" s="30">
        <f t="shared" si="72"/>
        <v>4.1339999999999995</v>
      </c>
      <c r="W74" s="30">
        <f t="shared" si="72"/>
        <v>8.2679999999999989</v>
      </c>
      <c r="X74" s="30">
        <f t="shared" si="72"/>
        <v>16.535999999999998</v>
      </c>
      <c r="Y74" s="30">
        <f t="shared" si="72"/>
        <v>33.071999999999996</v>
      </c>
      <c r="Z74" s="30">
        <f t="shared" si="72"/>
        <v>66.143999999999991</v>
      </c>
      <c r="AA74" s="30">
        <f t="shared" si="72"/>
        <v>132.28799999999998</v>
      </c>
      <c r="AB74" s="30">
        <f t="shared" si="72"/>
        <v>264.57599999999996</v>
      </c>
      <c r="AC74" s="30">
        <f t="shared" si="72"/>
        <v>529.15199999999993</v>
      </c>
      <c r="AD74" s="30">
        <f t="shared" si="72"/>
        <v>1058.3039999999999</v>
      </c>
      <c r="AE74" s="30">
        <f t="shared" si="72"/>
        <v>2116.6079999999997</v>
      </c>
      <c r="AF74" s="30">
        <f t="shared" si="72"/>
        <v>4233.2159999999994</v>
      </c>
      <c r="AG74" s="30">
        <f t="shared" si="72"/>
        <v>8466.4319999999989</v>
      </c>
      <c r="AH74" s="30">
        <f t="shared" si="72"/>
        <v>16932.863999999998</v>
      </c>
      <c r="AI74" s="30">
        <f t="shared" si="72"/>
        <v>33865.727999999996</v>
      </c>
      <c r="AJ74" s="30">
        <f t="shared" si="72"/>
        <v>67731.455999999991</v>
      </c>
      <c r="AK74" s="68">
        <f t="shared" si="72"/>
        <v>135462.91199999998</v>
      </c>
      <c r="AL74" s="29">
        <f t="shared" si="72"/>
        <v>270925.82399999996</v>
      </c>
      <c r="AM74" s="30">
        <f t="shared" si="72"/>
        <v>541851.64799999993</v>
      </c>
      <c r="AN74" s="30">
        <f t="shared" si="72"/>
        <v>1083703.2959999999</v>
      </c>
      <c r="AO74" s="30">
        <f t="shared" si="72"/>
        <v>2167406.5919999997</v>
      </c>
      <c r="AP74" s="68">
        <f t="shared" si="72"/>
        <v>2877586.452</v>
      </c>
      <c r="AQ74" s="45"/>
    </row>
    <row r="75" spans="1:43" x14ac:dyDescent="0.25">
      <c r="A75" s="41" t="s">
        <v>16</v>
      </c>
      <c r="B75" s="6">
        <f>'Population by Age - Wikipedia'!D12</f>
        <v>0.11129032093824395</v>
      </c>
      <c r="C75" s="10">
        <f t="shared" si="66"/>
        <v>154933488.03610194</v>
      </c>
      <c r="D75" s="23">
        <f>'Infection Rate by Age'!B8</f>
        <v>0.17100000000000001</v>
      </c>
      <c r="E75" s="17"/>
      <c r="F75" s="10"/>
      <c r="G75" s="10"/>
      <c r="H75" s="10"/>
      <c r="I75" s="10"/>
      <c r="J75" s="10"/>
      <c r="K75" s="10"/>
      <c r="L75" s="10"/>
      <c r="M75" s="10"/>
      <c r="N75" s="10"/>
      <c r="O75" s="10"/>
      <c r="P75" s="20">
        <f t="shared" ref="P75:AP75" si="73">P$35*$D$75</f>
        <v>5.34375</v>
      </c>
      <c r="Q75" s="21">
        <f t="shared" si="73"/>
        <v>10.6875</v>
      </c>
      <c r="R75" s="21">
        <f t="shared" si="73"/>
        <v>21.375</v>
      </c>
      <c r="S75" s="21">
        <f t="shared" si="73"/>
        <v>42.75</v>
      </c>
      <c r="T75" s="21">
        <f t="shared" si="73"/>
        <v>85.5</v>
      </c>
      <c r="U75" s="21">
        <f t="shared" si="73"/>
        <v>171</v>
      </c>
      <c r="V75" s="21">
        <f t="shared" si="73"/>
        <v>342</v>
      </c>
      <c r="W75" s="21">
        <f t="shared" si="73"/>
        <v>684</v>
      </c>
      <c r="X75" s="21">
        <f t="shared" si="73"/>
        <v>1368</v>
      </c>
      <c r="Y75" s="21">
        <f t="shared" si="73"/>
        <v>2736</v>
      </c>
      <c r="Z75" s="21">
        <f t="shared" si="73"/>
        <v>5472</v>
      </c>
      <c r="AA75" s="21">
        <f t="shared" si="73"/>
        <v>10944</v>
      </c>
      <c r="AB75" s="21">
        <f t="shared" si="73"/>
        <v>21888</v>
      </c>
      <c r="AC75" s="21">
        <f t="shared" si="73"/>
        <v>43776</v>
      </c>
      <c r="AD75" s="21">
        <f t="shared" si="73"/>
        <v>87552</v>
      </c>
      <c r="AE75" s="21">
        <f t="shared" si="73"/>
        <v>175104</v>
      </c>
      <c r="AF75" s="21">
        <f t="shared" si="73"/>
        <v>350208</v>
      </c>
      <c r="AG75" s="21">
        <f t="shared" si="73"/>
        <v>700416</v>
      </c>
      <c r="AH75" s="21">
        <f t="shared" si="73"/>
        <v>1400832</v>
      </c>
      <c r="AI75" s="21">
        <f t="shared" si="73"/>
        <v>2801664</v>
      </c>
      <c r="AJ75" s="21">
        <f t="shared" si="73"/>
        <v>5603328</v>
      </c>
      <c r="AK75" s="69">
        <f t="shared" si="73"/>
        <v>11206656</v>
      </c>
      <c r="AL75" s="20">
        <f t="shared" si="73"/>
        <v>22413312</v>
      </c>
      <c r="AM75" s="21">
        <f t="shared" si="73"/>
        <v>44826624</v>
      </c>
      <c r="AN75" s="21">
        <f t="shared" si="73"/>
        <v>89653248</v>
      </c>
      <c r="AO75" s="21">
        <f t="shared" si="73"/>
        <v>179306496</v>
      </c>
      <c r="AP75" s="69">
        <f t="shared" si="73"/>
        <v>238058676.00000003</v>
      </c>
      <c r="AQ75" s="45"/>
    </row>
    <row r="76" spans="1:43" x14ac:dyDescent="0.25">
      <c r="A76" s="41"/>
      <c r="B76" s="6"/>
      <c r="C76" s="10"/>
      <c r="D76" s="8"/>
      <c r="E76" s="27">
        <v>4.0000000000000001E-3</v>
      </c>
      <c r="F76" s="15">
        <v>0.21099999999999999</v>
      </c>
      <c r="G76" s="10"/>
      <c r="H76" s="10"/>
      <c r="I76" s="10"/>
      <c r="J76" s="10"/>
      <c r="K76" s="10"/>
      <c r="L76" s="10"/>
      <c r="M76" s="10"/>
      <c r="N76" s="15"/>
      <c r="O76" s="10"/>
      <c r="P76" s="29">
        <f t="shared" ref="P76:AP76" si="74">P$35*$D$75*$E$76</f>
        <v>2.1375000000000002E-2</v>
      </c>
      <c r="Q76" s="30">
        <f t="shared" si="74"/>
        <v>4.2750000000000003E-2</v>
      </c>
      <c r="R76" s="30">
        <f t="shared" si="74"/>
        <v>8.5500000000000007E-2</v>
      </c>
      <c r="S76" s="30">
        <f t="shared" si="74"/>
        <v>0.17100000000000001</v>
      </c>
      <c r="T76" s="30">
        <f t="shared" si="74"/>
        <v>0.34200000000000003</v>
      </c>
      <c r="U76" s="30">
        <f t="shared" si="74"/>
        <v>0.68400000000000005</v>
      </c>
      <c r="V76" s="30">
        <f t="shared" si="74"/>
        <v>1.3680000000000001</v>
      </c>
      <c r="W76" s="30">
        <f t="shared" si="74"/>
        <v>2.7360000000000002</v>
      </c>
      <c r="X76" s="30">
        <f t="shared" si="74"/>
        <v>5.4720000000000004</v>
      </c>
      <c r="Y76" s="30">
        <f t="shared" si="74"/>
        <v>10.944000000000001</v>
      </c>
      <c r="Z76" s="30">
        <f t="shared" si="74"/>
        <v>21.888000000000002</v>
      </c>
      <c r="AA76" s="30">
        <f t="shared" si="74"/>
        <v>43.776000000000003</v>
      </c>
      <c r="AB76" s="30">
        <f t="shared" si="74"/>
        <v>87.552000000000007</v>
      </c>
      <c r="AC76" s="30">
        <f t="shared" si="74"/>
        <v>175.10400000000001</v>
      </c>
      <c r="AD76" s="30">
        <f t="shared" si="74"/>
        <v>350.20800000000003</v>
      </c>
      <c r="AE76" s="30">
        <f t="shared" si="74"/>
        <v>700.41600000000005</v>
      </c>
      <c r="AF76" s="30">
        <f t="shared" si="74"/>
        <v>1400.8320000000001</v>
      </c>
      <c r="AG76" s="30">
        <f t="shared" si="74"/>
        <v>2801.6640000000002</v>
      </c>
      <c r="AH76" s="30">
        <f t="shared" si="74"/>
        <v>5603.3280000000004</v>
      </c>
      <c r="AI76" s="30">
        <f t="shared" si="74"/>
        <v>11206.656000000001</v>
      </c>
      <c r="AJ76" s="30">
        <f t="shared" si="74"/>
        <v>22413.312000000002</v>
      </c>
      <c r="AK76" s="68">
        <f t="shared" si="74"/>
        <v>44826.624000000003</v>
      </c>
      <c r="AL76" s="29">
        <f t="shared" si="74"/>
        <v>89653.248000000007</v>
      </c>
      <c r="AM76" s="30">
        <f t="shared" si="74"/>
        <v>179306.49600000001</v>
      </c>
      <c r="AN76" s="30">
        <f t="shared" si="74"/>
        <v>358612.99200000003</v>
      </c>
      <c r="AO76" s="30">
        <f t="shared" si="74"/>
        <v>717225.98400000005</v>
      </c>
      <c r="AP76" s="68">
        <f t="shared" si="74"/>
        <v>952234.70400000014</v>
      </c>
      <c r="AQ76" s="45"/>
    </row>
    <row r="77" spans="1:43" x14ac:dyDescent="0.25">
      <c r="A77" s="41" t="s">
        <v>17</v>
      </c>
      <c r="B77" s="6">
        <f>'Population by Age - Wikipedia'!D10</f>
        <v>0.14348178625853722</v>
      </c>
      <c r="C77" s="10">
        <f t="shared" si="66"/>
        <v>199749029.63054013</v>
      </c>
      <c r="D77" s="23">
        <f>'Infection Rate by Age'!B9</f>
        <v>0.219</v>
      </c>
      <c r="E77" s="17"/>
      <c r="F77" s="10"/>
      <c r="G77" s="14"/>
      <c r="H77" s="14"/>
      <c r="I77" s="14"/>
      <c r="J77" s="14"/>
      <c r="K77" s="14"/>
      <c r="L77" s="14"/>
      <c r="M77" s="14"/>
      <c r="N77" s="10"/>
      <c r="O77" s="10"/>
      <c r="P77" s="20">
        <f t="shared" ref="P77:AP77" si="75">P$35*$D$77</f>
        <v>6.84375</v>
      </c>
      <c r="Q77" s="21">
        <f t="shared" si="75"/>
        <v>13.6875</v>
      </c>
      <c r="R77" s="21">
        <f t="shared" si="75"/>
        <v>27.375</v>
      </c>
      <c r="S77" s="21">
        <f t="shared" si="75"/>
        <v>54.75</v>
      </c>
      <c r="T77" s="21">
        <f t="shared" si="75"/>
        <v>109.5</v>
      </c>
      <c r="U77" s="21">
        <f t="shared" si="75"/>
        <v>219</v>
      </c>
      <c r="V77" s="21">
        <f t="shared" si="75"/>
        <v>438</v>
      </c>
      <c r="W77" s="21">
        <f t="shared" si="75"/>
        <v>876</v>
      </c>
      <c r="X77" s="21">
        <f t="shared" si="75"/>
        <v>1752</v>
      </c>
      <c r="Y77" s="21">
        <f t="shared" si="75"/>
        <v>3504</v>
      </c>
      <c r="Z77" s="21">
        <f t="shared" si="75"/>
        <v>7008</v>
      </c>
      <c r="AA77" s="21">
        <f t="shared" si="75"/>
        <v>14016</v>
      </c>
      <c r="AB77" s="21">
        <f t="shared" si="75"/>
        <v>28032</v>
      </c>
      <c r="AC77" s="21">
        <f t="shared" si="75"/>
        <v>56064</v>
      </c>
      <c r="AD77" s="21">
        <f t="shared" si="75"/>
        <v>112128</v>
      </c>
      <c r="AE77" s="21">
        <f t="shared" si="75"/>
        <v>224256</v>
      </c>
      <c r="AF77" s="21">
        <f t="shared" si="75"/>
        <v>448512</v>
      </c>
      <c r="AG77" s="21">
        <f t="shared" si="75"/>
        <v>897024</v>
      </c>
      <c r="AH77" s="21">
        <f t="shared" si="75"/>
        <v>1794048</v>
      </c>
      <c r="AI77" s="21">
        <f t="shared" si="75"/>
        <v>3588096</v>
      </c>
      <c r="AJ77" s="21">
        <f t="shared" si="75"/>
        <v>7176192</v>
      </c>
      <c r="AK77" s="69">
        <f t="shared" si="75"/>
        <v>14352384</v>
      </c>
      <c r="AL77" s="20">
        <f t="shared" si="75"/>
        <v>28704768</v>
      </c>
      <c r="AM77" s="21">
        <f t="shared" si="75"/>
        <v>57409536</v>
      </c>
      <c r="AN77" s="21">
        <f t="shared" si="75"/>
        <v>114819072</v>
      </c>
      <c r="AO77" s="21">
        <f t="shared" si="75"/>
        <v>229638144</v>
      </c>
      <c r="AP77" s="69">
        <f t="shared" si="75"/>
        <v>304882164</v>
      </c>
      <c r="AQ77" s="45"/>
    </row>
    <row r="78" spans="1:43" x14ac:dyDescent="0.25">
      <c r="A78" s="41"/>
      <c r="B78" s="6"/>
      <c r="C78" s="10"/>
      <c r="D78" s="8"/>
      <c r="E78" s="27">
        <v>2E-3</v>
      </c>
      <c r="F78" s="15">
        <v>2.5999999999999999E-2</v>
      </c>
      <c r="G78" s="10"/>
      <c r="H78" s="10"/>
      <c r="I78" s="10"/>
      <c r="J78" s="10"/>
      <c r="K78" s="10"/>
      <c r="L78" s="10"/>
      <c r="M78" s="10"/>
      <c r="N78" s="15"/>
      <c r="O78" s="10"/>
      <c r="P78" s="29">
        <f t="shared" ref="P78:AP78" si="76">P$35*$D$77*$E$78</f>
        <v>1.36875E-2</v>
      </c>
      <c r="Q78" s="30">
        <f t="shared" si="76"/>
        <v>2.7375E-2</v>
      </c>
      <c r="R78" s="30">
        <f t="shared" si="76"/>
        <v>5.475E-2</v>
      </c>
      <c r="S78" s="30">
        <f t="shared" si="76"/>
        <v>0.1095</v>
      </c>
      <c r="T78" s="30">
        <f t="shared" si="76"/>
        <v>0.219</v>
      </c>
      <c r="U78" s="30">
        <f t="shared" si="76"/>
        <v>0.438</v>
      </c>
      <c r="V78" s="30">
        <f t="shared" si="76"/>
        <v>0.876</v>
      </c>
      <c r="W78" s="30">
        <f t="shared" si="76"/>
        <v>1.752</v>
      </c>
      <c r="X78" s="30">
        <f t="shared" si="76"/>
        <v>3.504</v>
      </c>
      <c r="Y78" s="30">
        <f t="shared" si="76"/>
        <v>7.008</v>
      </c>
      <c r="Z78" s="30">
        <f t="shared" si="76"/>
        <v>14.016</v>
      </c>
      <c r="AA78" s="30">
        <f t="shared" si="76"/>
        <v>28.032</v>
      </c>
      <c r="AB78" s="30">
        <f t="shared" si="76"/>
        <v>56.064</v>
      </c>
      <c r="AC78" s="30">
        <f t="shared" si="76"/>
        <v>112.128</v>
      </c>
      <c r="AD78" s="30">
        <f t="shared" si="76"/>
        <v>224.256</v>
      </c>
      <c r="AE78" s="30">
        <f t="shared" si="76"/>
        <v>448.512</v>
      </c>
      <c r="AF78" s="30">
        <f t="shared" si="76"/>
        <v>897.024</v>
      </c>
      <c r="AG78" s="30">
        <f t="shared" si="76"/>
        <v>1794.048</v>
      </c>
      <c r="AH78" s="30">
        <f t="shared" si="76"/>
        <v>3588.096</v>
      </c>
      <c r="AI78" s="30">
        <f t="shared" si="76"/>
        <v>7176.192</v>
      </c>
      <c r="AJ78" s="30">
        <f t="shared" si="76"/>
        <v>14352.384</v>
      </c>
      <c r="AK78" s="68">
        <f t="shared" si="76"/>
        <v>28704.768</v>
      </c>
      <c r="AL78" s="29">
        <f t="shared" si="76"/>
        <v>57409.536</v>
      </c>
      <c r="AM78" s="30">
        <f t="shared" si="76"/>
        <v>114819.072</v>
      </c>
      <c r="AN78" s="30">
        <f t="shared" si="76"/>
        <v>229638.144</v>
      </c>
      <c r="AO78" s="30">
        <f t="shared" si="76"/>
        <v>459276.288</v>
      </c>
      <c r="AP78" s="68">
        <f t="shared" si="76"/>
        <v>609764.32799999998</v>
      </c>
      <c r="AQ78" s="45"/>
    </row>
    <row r="79" spans="1:43" x14ac:dyDescent="0.25">
      <c r="A79" s="41" t="s">
        <v>18</v>
      </c>
      <c r="B79" s="6">
        <f>'Population by Age - Wikipedia'!D8</f>
        <v>0.17577512670206416</v>
      </c>
      <c r="C79" s="10">
        <f t="shared" si="66"/>
        <v>244706397.28903884</v>
      </c>
      <c r="D79" s="23">
        <f>'Infection Rate by Age'!B10</f>
        <v>0.23200000000000001</v>
      </c>
      <c r="E79" s="17"/>
      <c r="F79" s="10"/>
      <c r="G79" s="10"/>
      <c r="H79" s="10"/>
      <c r="I79" s="10"/>
      <c r="J79" s="10"/>
      <c r="K79" s="10"/>
      <c r="L79" s="10"/>
      <c r="M79" s="10"/>
      <c r="N79" s="10"/>
      <c r="O79" s="10"/>
      <c r="P79" s="20">
        <f t="shared" ref="P79:AP79" si="77">P$35*$D$79</f>
        <v>7.25</v>
      </c>
      <c r="Q79" s="21">
        <f t="shared" si="77"/>
        <v>14.5</v>
      </c>
      <c r="R79" s="21">
        <f t="shared" si="77"/>
        <v>29</v>
      </c>
      <c r="S79" s="21">
        <f t="shared" si="77"/>
        <v>58</v>
      </c>
      <c r="T79" s="21">
        <f t="shared" si="77"/>
        <v>116</v>
      </c>
      <c r="U79" s="21">
        <f t="shared" si="77"/>
        <v>232</v>
      </c>
      <c r="V79" s="21">
        <f t="shared" si="77"/>
        <v>464</v>
      </c>
      <c r="W79" s="21">
        <f t="shared" si="77"/>
        <v>928</v>
      </c>
      <c r="X79" s="21">
        <f t="shared" si="77"/>
        <v>1856</v>
      </c>
      <c r="Y79" s="21">
        <f t="shared" si="77"/>
        <v>3712</v>
      </c>
      <c r="Z79" s="21">
        <f t="shared" si="77"/>
        <v>7424</v>
      </c>
      <c r="AA79" s="21">
        <f t="shared" si="77"/>
        <v>14848</v>
      </c>
      <c r="AB79" s="21">
        <f t="shared" si="77"/>
        <v>29696</v>
      </c>
      <c r="AC79" s="21">
        <f t="shared" si="77"/>
        <v>59392</v>
      </c>
      <c r="AD79" s="21">
        <f t="shared" si="77"/>
        <v>118784</v>
      </c>
      <c r="AE79" s="21">
        <f t="shared" si="77"/>
        <v>237568</v>
      </c>
      <c r="AF79" s="21">
        <f t="shared" si="77"/>
        <v>475136</v>
      </c>
      <c r="AG79" s="21">
        <f t="shared" si="77"/>
        <v>950272</v>
      </c>
      <c r="AH79" s="21">
        <f t="shared" si="77"/>
        <v>1900544</v>
      </c>
      <c r="AI79" s="21">
        <f t="shared" si="77"/>
        <v>3801088</v>
      </c>
      <c r="AJ79" s="21">
        <f t="shared" si="77"/>
        <v>7602176</v>
      </c>
      <c r="AK79" s="69">
        <f t="shared" si="77"/>
        <v>15204352</v>
      </c>
      <c r="AL79" s="20">
        <f t="shared" si="77"/>
        <v>30408704</v>
      </c>
      <c r="AM79" s="21">
        <f t="shared" si="77"/>
        <v>60817408</v>
      </c>
      <c r="AN79" s="21">
        <f t="shared" si="77"/>
        <v>121634816</v>
      </c>
      <c r="AO79" s="21">
        <f t="shared" si="77"/>
        <v>243269632</v>
      </c>
      <c r="AP79" s="69">
        <f t="shared" si="77"/>
        <v>322980192</v>
      </c>
      <c r="AQ79" s="45"/>
    </row>
    <row r="80" spans="1:43" x14ac:dyDescent="0.25">
      <c r="A80" s="41"/>
      <c r="B80" s="6"/>
      <c r="C80" s="10"/>
      <c r="D80" s="8"/>
      <c r="E80" s="27">
        <v>2E-3</v>
      </c>
      <c r="F80" s="15">
        <v>2.5999999999999999E-2</v>
      </c>
      <c r="G80" s="10"/>
      <c r="H80" s="10"/>
      <c r="I80" s="10"/>
      <c r="J80" s="10"/>
      <c r="K80" s="10"/>
      <c r="L80" s="10"/>
      <c r="M80" s="10"/>
      <c r="N80" s="15"/>
      <c r="O80" s="10"/>
      <c r="P80" s="29">
        <f t="shared" ref="P80:AP80" si="78">P$35*$D$79*$E$80</f>
        <v>1.4500000000000001E-2</v>
      </c>
      <c r="Q80" s="30">
        <f t="shared" si="78"/>
        <v>2.9000000000000001E-2</v>
      </c>
      <c r="R80" s="30">
        <f t="shared" si="78"/>
        <v>5.8000000000000003E-2</v>
      </c>
      <c r="S80" s="30">
        <f t="shared" si="78"/>
        <v>0.11600000000000001</v>
      </c>
      <c r="T80" s="30">
        <f t="shared" si="78"/>
        <v>0.23200000000000001</v>
      </c>
      <c r="U80" s="30">
        <f t="shared" si="78"/>
        <v>0.46400000000000002</v>
      </c>
      <c r="V80" s="30">
        <f t="shared" si="78"/>
        <v>0.92800000000000005</v>
      </c>
      <c r="W80" s="30">
        <f t="shared" si="78"/>
        <v>1.8560000000000001</v>
      </c>
      <c r="X80" s="30">
        <f t="shared" si="78"/>
        <v>3.7120000000000002</v>
      </c>
      <c r="Y80" s="30">
        <f t="shared" si="78"/>
        <v>7.4240000000000004</v>
      </c>
      <c r="Z80" s="30">
        <f t="shared" si="78"/>
        <v>14.848000000000001</v>
      </c>
      <c r="AA80" s="30">
        <f t="shared" si="78"/>
        <v>29.696000000000002</v>
      </c>
      <c r="AB80" s="30">
        <f t="shared" si="78"/>
        <v>59.392000000000003</v>
      </c>
      <c r="AC80" s="30">
        <f t="shared" si="78"/>
        <v>118.78400000000001</v>
      </c>
      <c r="AD80" s="30">
        <f t="shared" si="78"/>
        <v>237.56800000000001</v>
      </c>
      <c r="AE80" s="30">
        <f t="shared" si="78"/>
        <v>475.13600000000002</v>
      </c>
      <c r="AF80" s="30">
        <f t="shared" si="78"/>
        <v>950.27200000000005</v>
      </c>
      <c r="AG80" s="30">
        <f t="shared" si="78"/>
        <v>1900.5440000000001</v>
      </c>
      <c r="AH80" s="30">
        <f t="shared" si="78"/>
        <v>3801.0880000000002</v>
      </c>
      <c r="AI80" s="30">
        <f t="shared" si="78"/>
        <v>7602.1760000000004</v>
      </c>
      <c r="AJ80" s="30">
        <f t="shared" si="78"/>
        <v>15204.352000000001</v>
      </c>
      <c r="AK80" s="68">
        <f t="shared" si="78"/>
        <v>30408.704000000002</v>
      </c>
      <c r="AL80" s="29">
        <f t="shared" si="78"/>
        <v>60817.408000000003</v>
      </c>
      <c r="AM80" s="30">
        <f t="shared" si="78"/>
        <v>121634.81600000001</v>
      </c>
      <c r="AN80" s="30">
        <f t="shared" si="78"/>
        <v>243269.63200000001</v>
      </c>
      <c r="AO80" s="30">
        <f t="shared" si="78"/>
        <v>486539.26400000002</v>
      </c>
      <c r="AP80" s="68">
        <f t="shared" si="78"/>
        <v>645960.38399999996</v>
      </c>
      <c r="AQ80" s="45"/>
    </row>
    <row r="81" spans="1:43" x14ac:dyDescent="0.25">
      <c r="A81" s="42" t="s">
        <v>19</v>
      </c>
      <c r="B81" s="6">
        <f>'Population by Age - Wikipedia'!D6</f>
        <v>0.20913789496692137</v>
      </c>
      <c r="C81" s="10">
        <f t="shared" si="66"/>
        <v>291152575.30556941</v>
      </c>
      <c r="D81" s="23">
        <f>'Infection Rate by Age'!B11</f>
        <v>3.7999999999999999E-2</v>
      </c>
      <c r="E81" s="17"/>
      <c r="F81" s="10"/>
      <c r="G81" s="10"/>
      <c r="H81" s="10"/>
      <c r="I81" s="10"/>
      <c r="J81" s="10"/>
      <c r="K81" s="10"/>
      <c r="L81" s="10"/>
      <c r="M81" s="10"/>
      <c r="N81" s="10"/>
      <c r="O81" s="10"/>
      <c r="P81" s="20">
        <f t="shared" ref="P81:AP81" si="79">P$35*$D$81</f>
        <v>1.1875</v>
      </c>
      <c r="Q81" s="21">
        <f t="shared" si="79"/>
        <v>2.375</v>
      </c>
      <c r="R81" s="21">
        <f t="shared" si="79"/>
        <v>4.75</v>
      </c>
      <c r="S81" s="21">
        <f t="shared" si="79"/>
        <v>9.5</v>
      </c>
      <c r="T81" s="21">
        <f t="shared" si="79"/>
        <v>19</v>
      </c>
      <c r="U81" s="21">
        <f t="shared" si="79"/>
        <v>38</v>
      </c>
      <c r="V81" s="21">
        <f t="shared" si="79"/>
        <v>76</v>
      </c>
      <c r="W81" s="21">
        <f t="shared" si="79"/>
        <v>152</v>
      </c>
      <c r="X81" s="21">
        <f t="shared" si="79"/>
        <v>304</v>
      </c>
      <c r="Y81" s="21">
        <f t="shared" si="79"/>
        <v>608</v>
      </c>
      <c r="Z81" s="21">
        <f t="shared" si="79"/>
        <v>1216</v>
      </c>
      <c r="AA81" s="21">
        <f t="shared" si="79"/>
        <v>2432</v>
      </c>
      <c r="AB81" s="21">
        <f t="shared" si="79"/>
        <v>4864</v>
      </c>
      <c r="AC81" s="21">
        <f t="shared" si="79"/>
        <v>9728</v>
      </c>
      <c r="AD81" s="21">
        <f t="shared" si="79"/>
        <v>19456</v>
      </c>
      <c r="AE81" s="21">
        <f t="shared" si="79"/>
        <v>38912</v>
      </c>
      <c r="AF81" s="21">
        <f t="shared" si="79"/>
        <v>77824</v>
      </c>
      <c r="AG81" s="21">
        <f t="shared" si="79"/>
        <v>155648</v>
      </c>
      <c r="AH81" s="21">
        <f t="shared" si="79"/>
        <v>311296</v>
      </c>
      <c r="AI81" s="21">
        <f t="shared" si="79"/>
        <v>622592</v>
      </c>
      <c r="AJ81" s="21">
        <f t="shared" si="79"/>
        <v>1245184</v>
      </c>
      <c r="AK81" s="69">
        <f t="shared" si="79"/>
        <v>2490368</v>
      </c>
      <c r="AL81" s="20">
        <f t="shared" si="79"/>
        <v>4980736</v>
      </c>
      <c r="AM81" s="21">
        <f t="shared" si="79"/>
        <v>9961472</v>
      </c>
      <c r="AN81" s="21">
        <f t="shared" si="79"/>
        <v>19922944</v>
      </c>
      <c r="AO81" s="21">
        <f t="shared" si="79"/>
        <v>39845888</v>
      </c>
      <c r="AP81" s="69">
        <f t="shared" si="79"/>
        <v>52901928</v>
      </c>
      <c r="AQ81" s="45"/>
    </row>
    <row r="82" spans="1:43" x14ac:dyDescent="0.25">
      <c r="A82" s="42"/>
      <c r="B82" s="6"/>
      <c r="C82" s="10"/>
      <c r="D82" s="8"/>
      <c r="E82" s="27">
        <v>2E-3</v>
      </c>
      <c r="F82" s="15"/>
      <c r="G82" s="10"/>
      <c r="H82" s="10"/>
      <c r="I82" s="10"/>
      <c r="J82" s="10"/>
      <c r="K82" s="10"/>
      <c r="L82" s="10"/>
      <c r="M82" s="10"/>
      <c r="N82" s="15"/>
      <c r="O82" s="10"/>
      <c r="P82" s="29">
        <f t="shared" ref="P82:AP82" si="80">P$35*$D$81*$E$82</f>
        <v>2.3749999999999999E-3</v>
      </c>
      <c r="Q82" s="30">
        <f t="shared" si="80"/>
        <v>4.7499999999999999E-3</v>
      </c>
      <c r="R82" s="30">
        <f t="shared" si="80"/>
        <v>9.4999999999999998E-3</v>
      </c>
      <c r="S82" s="30">
        <f t="shared" si="80"/>
        <v>1.9E-2</v>
      </c>
      <c r="T82" s="30">
        <f t="shared" si="80"/>
        <v>3.7999999999999999E-2</v>
      </c>
      <c r="U82" s="30">
        <f t="shared" si="80"/>
        <v>7.5999999999999998E-2</v>
      </c>
      <c r="V82" s="30">
        <f t="shared" si="80"/>
        <v>0.152</v>
      </c>
      <c r="W82" s="30">
        <f t="shared" si="80"/>
        <v>0.30399999999999999</v>
      </c>
      <c r="X82" s="30">
        <f t="shared" si="80"/>
        <v>0.60799999999999998</v>
      </c>
      <c r="Y82" s="30">
        <f t="shared" si="80"/>
        <v>1.216</v>
      </c>
      <c r="Z82" s="30">
        <f t="shared" si="80"/>
        <v>2.4319999999999999</v>
      </c>
      <c r="AA82" s="30">
        <f t="shared" si="80"/>
        <v>4.8639999999999999</v>
      </c>
      <c r="AB82" s="30">
        <f t="shared" si="80"/>
        <v>9.7279999999999998</v>
      </c>
      <c r="AC82" s="30">
        <f t="shared" si="80"/>
        <v>19.456</v>
      </c>
      <c r="AD82" s="30">
        <f t="shared" si="80"/>
        <v>38.911999999999999</v>
      </c>
      <c r="AE82" s="30">
        <f t="shared" si="80"/>
        <v>77.823999999999998</v>
      </c>
      <c r="AF82" s="30">
        <f t="shared" si="80"/>
        <v>155.648</v>
      </c>
      <c r="AG82" s="30">
        <f t="shared" si="80"/>
        <v>311.29599999999999</v>
      </c>
      <c r="AH82" s="30">
        <f t="shared" si="80"/>
        <v>622.59199999999998</v>
      </c>
      <c r="AI82" s="30">
        <f t="shared" si="80"/>
        <v>1245.184</v>
      </c>
      <c r="AJ82" s="30">
        <f t="shared" si="80"/>
        <v>2490.3679999999999</v>
      </c>
      <c r="AK82" s="68">
        <f t="shared" si="80"/>
        <v>4980.7359999999999</v>
      </c>
      <c r="AL82" s="29">
        <f t="shared" si="80"/>
        <v>9961.4719999999998</v>
      </c>
      <c r="AM82" s="30">
        <f t="shared" si="80"/>
        <v>19922.944</v>
      </c>
      <c r="AN82" s="30">
        <f t="shared" si="80"/>
        <v>39845.887999999999</v>
      </c>
      <c r="AO82" s="30">
        <f t="shared" si="80"/>
        <v>79691.775999999998</v>
      </c>
      <c r="AP82" s="68">
        <f t="shared" si="80"/>
        <v>105803.856</v>
      </c>
      <c r="AQ82" s="45"/>
    </row>
    <row r="83" spans="1:43" x14ac:dyDescent="0.25">
      <c r="A83" s="42" t="s">
        <v>20</v>
      </c>
      <c r="B83" s="6">
        <f>'Population by Age - Wikipedia'!D4</f>
        <v>0.19798812289970874</v>
      </c>
      <c r="C83" s="10">
        <f t="shared" si="66"/>
        <v>275630353.22356695</v>
      </c>
      <c r="D83" s="23">
        <f>'Infection Rate by Age'!B12</f>
        <v>2.1000000000000001E-2</v>
      </c>
      <c r="E83" s="17"/>
      <c r="F83" s="10"/>
      <c r="G83" s="10"/>
      <c r="H83" s="10"/>
      <c r="I83" s="10"/>
      <c r="J83" s="10"/>
      <c r="K83" s="10"/>
      <c r="L83" s="10"/>
      <c r="M83" s="10"/>
      <c r="N83" s="10"/>
      <c r="O83" s="10"/>
      <c r="P83" s="20">
        <f t="shared" ref="P83:AP83" si="81">P$35*$D$83</f>
        <v>0.65625</v>
      </c>
      <c r="Q83" s="21">
        <f t="shared" si="81"/>
        <v>1.3125</v>
      </c>
      <c r="R83" s="21">
        <f t="shared" si="81"/>
        <v>2.625</v>
      </c>
      <c r="S83" s="21">
        <f t="shared" si="81"/>
        <v>5.25</v>
      </c>
      <c r="T83" s="21">
        <f t="shared" si="81"/>
        <v>10.5</v>
      </c>
      <c r="U83" s="21">
        <f t="shared" si="81"/>
        <v>21</v>
      </c>
      <c r="V83" s="21">
        <f t="shared" si="81"/>
        <v>42</v>
      </c>
      <c r="W83" s="21">
        <f t="shared" si="81"/>
        <v>84</v>
      </c>
      <c r="X83" s="21">
        <f t="shared" si="81"/>
        <v>168</v>
      </c>
      <c r="Y83" s="21">
        <f t="shared" si="81"/>
        <v>336</v>
      </c>
      <c r="Z83" s="21">
        <f t="shared" si="81"/>
        <v>672</v>
      </c>
      <c r="AA83" s="21">
        <f t="shared" si="81"/>
        <v>1344</v>
      </c>
      <c r="AB83" s="21">
        <f t="shared" si="81"/>
        <v>2688</v>
      </c>
      <c r="AC83" s="21">
        <f t="shared" si="81"/>
        <v>5376</v>
      </c>
      <c r="AD83" s="21">
        <f t="shared" si="81"/>
        <v>10752</v>
      </c>
      <c r="AE83" s="21">
        <f t="shared" si="81"/>
        <v>21504</v>
      </c>
      <c r="AF83" s="21">
        <f t="shared" si="81"/>
        <v>43008</v>
      </c>
      <c r="AG83" s="21">
        <f t="shared" si="81"/>
        <v>86016</v>
      </c>
      <c r="AH83" s="21">
        <f t="shared" si="81"/>
        <v>172032</v>
      </c>
      <c r="AI83" s="21">
        <f t="shared" si="81"/>
        <v>344064</v>
      </c>
      <c r="AJ83" s="21">
        <f t="shared" si="81"/>
        <v>688128</v>
      </c>
      <c r="AK83" s="69">
        <f t="shared" si="81"/>
        <v>1376256</v>
      </c>
      <c r="AL83" s="20">
        <f t="shared" si="81"/>
        <v>2752512</v>
      </c>
      <c r="AM83" s="21">
        <f t="shared" si="81"/>
        <v>5505024</v>
      </c>
      <c r="AN83" s="21">
        <f t="shared" si="81"/>
        <v>11010048</v>
      </c>
      <c r="AO83" s="21">
        <f t="shared" si="81"/>
        <v>22020096</v>
      </c>
      <c r="AP83" s="69">
        <f t="shared" si="81"/>
        <v>29235276</v>
      </c>
      <c r="AQ83" s="45"/>
    </row>
    <row r="84" spans="1:43" x14ac:dyDescent="0.25">
      <c r="A84" s="42"/>
      <c r="B84" s="7"/>
      <c r="C84" s="11"/>
      <c r="D84" s="26"/>
      <c r="E84" s="28">
        <v>0</v>
      </c>
      <c r="F84" s="15"/>
      <c r="G84" s="10"/>
      <c r="H84" s="10"/>
      <c r="I84" s="10"/>
      <c r="J84" s="10"/>
      <c r="K84" s="10"/>
      <c r="L84" s="10"/>
      <c r="M84" s="10"/>
      <c r="N84" s="10"/>
      <c r="O84" s="10"/>
      <c r="P84" s="31">
        <f t="shared" ref="P84:AP84" si="82">P$35*$D$83*$E$84</f>
        <v>0</v>
      </c>
      <c r="Q84" s="32">
        <f t="shared" si="82"/>
        <v>0</v>
      </c>
      <c r="R84" s="32">
        <f t="shared" si="82"/>
        <v>0</v>
      </c>
      <c r="S84" s="32">
        <f t="shared" si="82"/>
        <v>0</v>
      </c>
      <c r="T84" s="32">
        <f t="shared" si="82"/>
        <v>0</v>
      </c>
      <c r="U84" s="32">
        <f t="shared" si="82"/>
        <v>0</v>
      </c>
      <c r="V84" s="32">
        <f t="shared" si="82"/>
        <v>0</v>
      </c>
      <c r="W84" s="32">
        <f t="shared" si="82"/>
        <v>0</v>
      </c>
      <c r="X84" s="32">
        <f t="shared" si="82"/>
        <v>0</v>
      </c>
      <c r="Y84" s="32">
        <f t="shared" si="82"/>
        <v>0</v>
      </c>
      <c r="Z84" s="32">
        <f t="shared" si="82"/>
        <v>0</v>
      </c>
      <c r="AA84" s="32">
        <f t="shared" si="82"/>
        <v>0</v>
      </c>
      <c r="AB84" s="32">
        <f t="shared" si="82"/>
        <v>0</v>
      </c>
      <c r="AC84" s="32">
        <f t="shared" si="82"/>
        <v>0</v>
      </c>
      <c r="AD84" s="32">
        <f t="shared" si="82"/>
        <v>0</v>
      </c>
      <c r="AE84" s="32">
        <f t="shared" si="82"/>
        <v>0</v>
      </c>
      <c r="AF84" s="32">
        <f t="shared" si="82"/>
        <v>0</v>
      </c>
      <c r="AG84" s="32">
        <f t="shared" si="82"/>
        <v>0</v>
      </c>
      <c r="AH84" s="32">
        <f t="shared" si="82"/>
        <v>0</v>
      </c>
      <c r="AI84" s="32">
        <f t="shared" si="82"/>
        <v>0</v>
      </c>
      <c r="AJ84" s="32">
        <f t="shared" si="82"/>
        <v>0</v>
      </c>
      <c r="AK84" s="70">
        <f t="shared" si="82"/>
        <v>0</v>
      </c>
      <c r="AL84" s="29">
        <f t="shared" si="82"/>
        <v>0</v>
      </c>
      <c r="AM84" s="30">
        <f t="shared" si="82"/>
        <v>0</v>
      </c>
      <c r="AN84" s="30">
        <f t="shared" si="82"/>
        <v>0</v>
      </c>
      <c r="AO84" s="30">
        <f t="shared" si="82"/>
        <v>0</v>
      </c>
      <c r="AP84" s="68">
        <f t="shared" si="82"/>
        <v>0</v>
      </c>
      <c r="AQ84" s="45"/>
    </row>
    <row r="85" spans="1:43" x14ac:dyDescent="0.25">
      <c r="A85" s="41" t="s">
        <v>39</v>
      </c>
      <c r="B85" s="14"/>
      <c r="C85" s="10"/>
      <c r="D85" s="10"/>
      <c r="E85" s="15"/>
      <c r="F85" s="10"/>
      <c r="G85" s="10"/>
      <c r="H85" s="10"/>
      <c r="I85" s="10"/>
      <c r="J85" s="10"/>
      <c r="K85" s="10"/>
      <c r="L85" s="10"/>
      <c r="M85" s="10"/>
      <c r="N85" s="10"/>
      <c r="O85" s="10"/>
      <c r="P85" s="18">
        <f t="shared" ref="P85:AF85" si="83">SUM(P67,P69,P71,P73,P75,P77,P79,P81,P83)</f>
        <v>31.25</v>
      </c>
      <c r="Q85" s="19">
        <f t="shared" si="83"/>
        <v>62.5</v>
      </c>
      <c r="R85" s="19">
        <f t="shared" si="83"/>
        <v>125</v>
      </c>
      <c r="S85" s="19">
        <f t="shared" si="83"/>
        <v>250</v>
      </c>
      <c r="T85" s="19">
        <f t="shared" si="83"/>
        <v>500</v>
      </c>
      <c r="U85" s="19">
        <f>SUM(U67,U69,U71,U73,U75,U77,U79,U81,U83)</f>
        <v>1000</v>
      </c>
      <c r="V85" s="19">
        <f t="shared" si="83"/>
        <v>2000</v>
      </c>
      <c r="W85" s="19">
        <f t="shared" si="83"/>
        <v>4000</v>
      </c>
      <c r="X85" s="19">
        <f t="shared" si="83"/>
        <v>8000</v>
      </c>
      <c r="Y85" s="19">
        <f t="shared" si="83"/>
        <v>16000</v>
      </c>
      <c r="Z85" s="19">
        <f t="shared" si="83"/>
        <v>32000</v>
      </c>
      <c r="AA85" s="19">
        <f t="shared" si="83"/>
        <v>64000</v>
      </c>
      <c r="AB85" s="19">
        <f t="shared" si="83"/>
        <v>128000</v>
      </c>
      <c r="AC85" s="19">
        <f t="shared" si="83"/>
        <v>256000</v>
      </c>
      <c r="AD85" s="19">
        <f t="shared" si="83"/>
        <v>512000</v>
      </c>
      <c r="AE85" s="19">
        <f t="shared" si="83"/>
        <v>1024000</v>
      </c>
      <c r="AF85" s="19">
        <f t="shared" si="83"/>
        <v>2048000</v>
      </c>
      <c r="AG85" s="19">
        <f t="shared" ref="AG85:AI86" si="84">SUM(AG67,AG69,AG71,AG73,AG75,AG77,AG79,AG81,AG83)</f>
        <v>4096000</v>
      </c>
      <c r="AH85" s="19">
        <f t="shared" si="84"/>
        <v>8192000</v>
      </c>
      <c r="AI85" s="19">
        <f t="shared" si="84"/>
        <v>16384000</v>
      </c>
      <c r="AJ85" s="19">
        <f t="shared" ref="AJ85:AP85" si="85">SUM(AJ67,AJ69,AJ71,AJ73,AJ75,AJ77,AJ79,AJ81,AJ83)</f>
        <v>32768000</v>
      </c>
      <c r="AK85" s="19">
        <f t="shared" si="85"/>
        <v>65536000</v>
      </c>
      <c r="AL85" s="18">
        <f t="shared" si="85"/>
        <v>131072000</v>
      </c>
      <c r="AM85" s="19">
        <f t="shared" si="85"/>
        <v>262144000</v>
      </c>
      <c r="AN85" s="19">
        <f t="shared" ref="AN85" si="86">SUM(AN67,AN69,AN71,AN73,AN75,AN77,AN79,AN81,AN83)</f>
        <v>524288000</v>
      </c>
      <c r="AO85" s="19">
        <f t="shared" si="85"/>
        <v>1048576000</v>
      </c>
      <c r="AP85" s="59">
        <f t="shared" si="85"/>
        <v>1392156000</v>
      </c>
      <c r="AQ85" s="45"/>
    </row>
    <row r="86" spans="1:43" x14ac:dyDescent="0.25">
      <c r="A86" s="43" t="s">
        <v>38</v>
      </c>
      <c r="B86" s="44"/>
      <c r="C86" s="11"/>
      <c r="D86" s="11"/>
      <c r="E86" s="38"/>
      <c r="F86" s="11"/>
      <c r="G86" s="11"/>
      <c r="H86" s="11"/>
      <c r="I86" s="11"/>
      <c r="J86" s="11"/>
      <c r="K86" s="11"/>
      <c r="L86" s="11"/>
      <c r="M86" s="11"/>
      <c r="N86" s="11"/>
      <c r="O86" s="11"/>
      <c r="P86" s="31">
        <f>SUM(P68,P70,P72,P74,P76,P78,P80,P82,P84)</f>
        <v>0.37140624999999999</v>
      </c>
      <c r="Q86" s="32">
        <f>SUM(Q68,Q70,Q72,Q74,Q76,Q78,Q80,Q82,Q84)</f>
        <v>0.74281249999999999</v>
      </c>
      <c r="R86" s="32">
        <f t="shared" ref="R86:AF86" si="87">SUM(R68,R70,R72,R74,R76,R78,R80,R82,R84)</f>
        <v>1.485625</v>
      </c>
      <c r="S86" s="32">
        <f t="shared" si="87"/>
        <v>2.9712499999999999</v>
      </c>
      <c r="T86" s="32">
        <f t="shared" si="87"/>
        <v>5.9424999999999999</v>
      </c>
      <c r="U86" s="32">
        <f t="shared" si="87"/>
        <v>11.885</v>
      </c>
      <c r="V86" s="32">
        <f t="shared" si="87"/>
        <v>23.77</v>
      </c>
      <c r="W86" s="32">
        <f t="shared" si="87"/>
        <v>47.54</v>
      </c>
      <c r="X86" s="32">
        <f t="shared" si="87"/>
        <v>95.08</v>
      </c>
      <c r="Y86" s="32">
        <f t="shared" si="87"/>
        <v>190.16</v>
      </c>
      <c r="Z86" s="32">
        <f t="shared" si="87"/>
        <v>380.32</v>
      </c>
      <c r="AA86" s="32">
        <f t="shared" si="87"/>
        <v>760.64</v>
      </c>
      <c r="AB86" s="32">
        <f t="shared" si="87"/>
        <v>1521.28</v>
      </c>
      <c r="AC86" s="32">
        <f t="shared" si="87"/>
        <v>3042.56</v>
      </c>
      <c r="AD86" s="32">
        <f t="shared" si="87"/>
        <v>6085.12</v>
      </c>
      <c r="AE86" s="32">
        <f t="shared" si="87"/>
        <v>12170.24</v>
      </c>
      <c r="AF86" s="32">
        <f t="shared" si="87"/>
        <v>24340.48</v>
      </c>
      <c r="AG86" s="32">
        <f t="shared" si="84"/>
        <v>48680.959999999999</v>
      </c>
      <c r="AH86" s="32">
        <f t="shared" si="84"/>
        <v>97361.919999999998</v>
      </c>
      <c r="AI86" s="32">
        <f t="shared" si="84"/>
        <v>194723.84</v>
      </c>
      <c r="AJ86" s="32">
        <f t="shared" ref="AJ86:AP86" si="88">SUM(AJ68,AJ70,AJ72,AJ74,AJ76,AJ78,AJ80,AJ82,AJ84)</f>
        <v>389447.67999999999</v>
      </c>
      <c r="AK86" s="32">
        <f t="shared" si="88"/>
        <v>778895.35999999999</v>
      </c>
      <c r="AL86" s="31">
        <f t="shared" si="88"/>
        <v>1557790.72</v>
      </c>
      <c r="AM86" s="32">
        <f t="shared" si="88"/>
        <v>3115581.4399999999</v>
      </c>
      <c r="AN86" s="32">
        <f t="shared" ref="AN86" si="89">SUM(AN68,AN70,AN72,AN74,AN76,AN78,AN80,AN82,AN84)</f>
        <v>6231162.8799999999</v>
      </c>
      <c r="AO86" s="32">
        <f t="shared" si="88"/>
        <v>12462325.76</v>
      </c>
      <c r="AP86" s="70">
        <f t="shared" si="88"/>
        <v>16545774.059999999</v>
      </c>
      <c r="AQ86" s="45"/>
    </row>
    <row r="87" spans="1:43" x14ac:dyDescent="0.25">
      <c r="A87" s="42"/>
      <c r="B87" s="14"/>
      <c r="C87" s="10"/>
      <c r="D87" s="10"/>
      <c r="E87" s="15"/>
      <c r="F87" s="10"/>
      <c r="G87" s="10"/>
      <c r="H87" s="10"/>
      <c r="I87" s="10"/>
      <c r="J87" s="10"/>
      <c r="K87" s="10"/>
      <c r="L87" s="10"/>
      <c r="M87" s="10"/>
      <c r="N87" s="10"/>
      <c r="O87" s="10"/>
      <c r="P87" s="45"/>
      <c r="Q87" s="45"/>
      <c r="R87" s="45"/>
      <c r="S87" s="45"/>
      <c r="T87" s="45"/>
      <c r="U87" s="45"/>
      <c r="V87" s="45"/>
      <c r="W87" s="45"/>
      <c r="X87" s="45"/>
      <c r="Y87" s="45"/>
      <c r="Z87" s="45"/>
      <c r="AA87" s="45"/>
      <c r="AB87" s="45"/>
      <c r="AC87" s="45"/>
      <c r="AD87" s="45"/>
      <c r="AE87" s="45"/>
      <c r="AF87" s="45"/>
      <c r="AG87" s="45"/>
    </row>
    <row r="88" spans="1:43" x14ac:dyDescent="0.25">
      <c r="A88" s="53" t="s">
        <v>49</v>
      </c>
      <c r="B88" s="14"/>
      <c r="C88" s="10"/>
      <c r="D88" s="10"/>
      <c r="E88" s="15"/>
      <c r="F88" s="10"/>
      <c r="G88" s="10"/>
      <c r="H88" s="10"/>
      <c r="I88" s="10"/>
      <c r="J88" s="10"/>
      <c r="K88" s="10"/>
      <c r="L88" s="10"/>
      <c r="M88" s="10"/>
      <c r="N88" s="10"/>
      <c r="O88" s="10"/>
      <c r="P88" s="45"/>
      <c r="Q88" s="45"/>
      <c r="R88" s="45"/>
      <c r="S88" s="45"/>
      <c r="T88" s="45"/>
      <c r="U88" s="45"/>
      <c r="V88" s="45"/>
      <c r="W88" s="45"/>
      <c r="X88" s="45"/>
      <c r="Y88" s="45"/>
      <c r="Z88" s="45"/>
      <c r="AA88" s="45"/>
      <c r="AB88" s="45"/>
      <c r="AC88" s="45"/>
      <c r="AD88" s="45"/>
      <c r="AE88" s="45"/>
      <c r="AF88" s="45"/>
      <c r="AG88" s="45"/>
    </row>
    <row r="89" spans="1:43" x14ac:dyDescent="0.25">
      <c r="A89" s="4"/>
      <c r="B89" s="9" t="s">
        <v>5</v>
      </c>
      <c r="C89" s="9" t="s">
        <v>3</v>
      </c>
      <c r="D89" s="9"/>
      <c r="E89" s="58" t="s">
        <v>2</v>
      </c>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5"/>
      <c r="AQ89" s="47"/>
    </row>
    <row r="90" spans="1:43" x14ac:dyDescent="0.25">
      <c r="A90" s="48" t="s">
        <v>1</v>
      </c>
      <c r="B90" s="24">
        <v>3.9E-2</v>
      </c>
      <c r="C90" s="10">
        <f>$B$21 * B90</f>
        <v>54294084</v>
      </c>
      <c r="D90" s="16"/>
      <c r="E90" s="16"/>
      <c r="F90" s="16"/>
      <c r="G90" s="16"/>
      <c r="H90" s="16"/>
      <c r="I90" s="16"/>
      <c r="J90" s="16"/>
      <c r="K90" s="16"/>
      <c r="L90" s="16"/>
      <c r="M90" s="16"/>
      <c r="N90" s="16"/>
      <c r="O90" s="16"/>
      <c r="P90" s="18">
        <f t="shared" ref="P90:AP90" si="90">P$35*$B$90</f>
        <v>1.21875</v>
      </c>
      <c r="Q90" s="19">
        <f t="shared" si="90"/>
        <v>2.4375</v>
      </c>
      <c r="R90" s="19">
        <f t="shared" si="90"/>
        <v>4.875</v>
      </c>
      <c r="S90" s="19">
        <f t="shared" si="90"/>
        <v>9.75</v>
      </c>
      <c r="T90" s="19">
        <f t="shared" si="90"/>
        <v>19.5</v>
      </c>
      <c r="U90" s="19">
        <f t="shared" si="90"/>
        <v>39</v>
      </c>
      <c r="V90" s="19">
        <f t="shared" si="90"/>
        <v>78</v>
      </c>
      <c r="W90" s="19">
        <f t="shared" si="90"/>
        <v>156</v>
      </c>
      <c r="X90" s="19">
        <f t="shared" si="90"/>
        <v>312</v>
      </c>
      <c r="Y90" s="19">
        <f t="shared" si="90"/>
        <v>624</v>
      </c>
      <c r="Z90" s="19">
        <f t="shared" si="90"/>
        <v>1248</v>
      </c>
      <c r="AA90" s="19">
        <f t="shared" si="90"/>
        <v>2496</v>
      </c>
      <c r="AB90" s="19">
        <f t="shared" si="90"/>
        <v>4992</v>
      </c>
      <c r="AC90" s="19">
        <f t="shared" si="90"/>
        <v>9984</v>
      </c>
      <c r="AD90" s="19">
        <f t="shared" si="90"/>
        <v>19968</v>
      </c>
      <c r="AE90" s="19">
        <f t="shared" si="90"/>
        <v>39936</v>
      </c>
      <c r="AF90" s="19">
        <f t="shared" si="90"/>
        <v>79872</v>
      </c>
      <c r="AG90" s="19">
        <f t="shared" si="90"/>
        <v>159744</v>
      </c>
      <c r="AH90" s="19">
        <f t="shared" si="90"/>
        <v>319488</v>
      </c>
      <c r="AI90" s="19">
        <f t="shared" si="90"/>
        <v>638976</v>
      </c>
      <c r="AJ90" s="19">
        <f t="shared" si="90"/>
        <v>1277952</v>
      </c>
      <c r="AK90" s="19">
        <f t="shared" si="90"/>
        <v>2555904</v>
      </c>
      <c r="AL90" s="18">
        <f t="shared" si="90"/>
        <v>5111808</v>
      </c>
      <c r="AM90" s="19">
        <f t="shared" si="90"/>
        <v>10223616</v>
      </c>
      <c r="AN90" s="19">
        <f t="shared" si="90"/>
        <v>20447232</v>
      </c>
      <c r="AO90" s="19">
        <f t="shared" si="90"/>
        <v>40894464</v>
      </c>
      <c r="AP90" s="59">
        <f t="shared" si="90"/>
        <v>54294084</v>
      </c>
      <c r="AQ90" s="45"/>
    </row>
    <row r="91" spans="1:43" x14ac:dyDescent="0.25">
      <c r="A91" s="48"/>
      <c r="B91" s="16"/>
      <c r="C91" s="16"/>
      <c r="D91" s="25"/>
      <c r="E91" s="46">
        <v>0.105</v>
      </c>
      <c r="F91" s="16"/>
      <c r="G91" s="16"/>
      <c r="H91" s="16"/>
      <c r="I91" s="16"/>
      <c r="J91" s="16"/>
      <c r="K91" s="16"/>
      <c r="L91" s="16"/>
      <c r="M91" s="16"/>
      <c r="N91" s="16"/>
      <c r="O91" s="16"/>
      <c r="P91" s="29">
        <f>P90*$E$91</f>
        <v>0.12796874999999999</v>
      </c>
      <c r="Q91" s="30">
        <f t="shared" ref="Q91:AF91" si="91">Q90*$E$91</f>
        <v>0.25593749999999998</v>
      </c>
      <c r="R91" s="30">
        <f t="shared" si="91"/>
        <v>0.51187499999999997</v>
      </c>
      <c r="S91" s="30">
        <f t="shared" si="91"/>
        <v>1.0237499999999999</v>
      </c>
      <c r="T91" s="30">
        <f t="shared" si="91"/>
        <v>2.0474999999999999</v>
      </c>
      <c r="U91" s="30">
        <f t="shared" si="91"/>
        <v>4.0949999999999998</v>
      </c>
      <c r="V91" s="30">
        <f t="shared" si="91"/>
        <v>8.19</v>
      </c>
      <c r="W91" s="30">
        <f t="shared" si="91"/>
        <v>16.38</v>
      </c>
      <c r="X91" s="30">
        <f t="shared" si="91"/>
        <v>32.76</v>
      </c>
      <c r="Y91" s="30">
        <f t="shared" si="91"/>
        <v>65.52</v>
      </c>
      <c r="Z91" s="30">
        <f t="shared" si="91"/>
        <v>131.04</v>
      </c>
      <c r="AA91" s="30">
        <f t="shared" si="91"/>
        <v>262.08</v>
      </c>
      <c r="AB91" s="30">
        <f t="shared" si="91"/>
        <v>524.16</v>
      </c>
      <c r="AC91" s="30">
        <f t="shared" si="91"/>
        <v>1048.32</v>
      </c>
      <c r="AD91" s="30">
        <f t="shared" si="91"/>
        <v>2096.64</v>
      </c>
      <c r="AE91" s="30">
        <f t="shared" si="91"/>
        <v>4193.28</v>
      </c>
      <c r="AF91" s="30">
        <f t="shared" si="91"/>
        <v>8386.56</v>
      </c>
      <c r="AG91" s="30">
        <f>AG90*$E$91</f>
        <v>16773.12</v>
      </c>
      <c r="AH91" s="30">
        <f>AH90*$E$91</f>
        <v>33546.239999999998</v>
      </c>
      <c r="AI91" s="30">
        <f>AI90*$E$91</f>
        <v>67092.479999999996</v>
      </c>
      <c r="AJ91" s="30">
        <f t="shared" ref="AJ91:AP91" si="92">AJ90*$E$91</f>
        <v>134184.95999999999</v>
      </c>
      <c r="AK91" s="30">
        <f t="shared" si="92"/>
        <v>268369.91999999998</v>
      </c>
      <c r="AL91" s="29">
        <f t="shared" si="92"/>
        <v>536739.83999999997</v>
      </c>
      <c r="AM91" s="30">
        <f t="shared" si="92"/>
        <v>1073479.6799999999</v>
      </c>
      <c r="AN91" s="30">
        <f t="shared" ref="AN91" si="93">AN90*$E$91</f>
        <v>2146959.3599999999</v>
      </c>
      <c r="AO91" s="30">
        <f t="shared" si="92"/>
        <v>4293918.7199999997</v>
      </c>
      <c r="AP91" s="68">
        <f t="shared" si="92"/>
        <v>5700878.8199999994</v>
      </c>
      <c r="AQ91" s="45"/>
    </row>
    <row r="92" spans="1:43" x14ac:dyDescent="0.25">
      <c r="A92" s="48" t="s">
        <v>4</v>
      </c>
      <c r="B92" s="24">
        <v>8.8999999999999996E-2</v>
      </c>
      <c r="C92" s="10">
        <f>$B$21 * B92</f>
        <v>123901884</v>
      </c>
      <c r="D92" s="47"/>
      <c r="E92" s="16"/>
      <c r="F92" s="16"/>
      <c r="G92" s="16"/>
      <c r="H92" s="16"/>
      <c r="I92" s="16"/>
      <c r="J92" s="16"/>
      <c r="K92" s="16"/>
      <c r="L92" s="16"/>
      <c r="M92" s="16"/>
      <c r="N92" s="16"/>
      <c r="O92" s="16"/>
      <c r="P92" s="20">
        <f t="shared" ref="P92:AP92" si="94">P$35*$B$92</f>
        <v>2.78125</v>
      </c>
      <c r="Q92" s="21">
        <f t="shared" si="94"/>
        <v>5.5625</v>
      </c>
      <c r="R92" s="21">
        <f t="shared" si="94"/>
        <v>11.125</v>
      </c>
      <c r="S92" s="21">
        <f t="shared" si="94"/>
        <v>22.25</v>
      </c>
      <c r="T92" s="21">
        <f t="shared" si="94"/>
        <v>44.5</v>
      </c>
      <c r="U92" s="21">
        <f t="shared" si="94"/>
        <v>89</v>
      </c>
      <c r="V92" s="21">
        <f t="shared" si="94"/>
        <v>178</v>
      </c>
      <c r="W92" s="21">
        <f t="shared" si="94"/>
        <v>356</v>
      </c>
      <c r="X92" s="21">
        <f t="shared" si="94"/>
        <v>712</v>
      </c>
      <c r="Y92" s="21">
        <f t="shared" si="94"/>
        <v>1424</v>
      </c>
      <c r="Z92" s="21">
        <f t="shared" si="94"/>
        <v>2848</v>
      </c>
      <c r="AA92" s="21">
        <f t="shared" si="94"/>
        <v>5696</v>
      </c>
      <c r="AB92" s="21">
        <f t="shared" si="94"/>
        <v>11392</v>
      </c>
      <c r="AC92" s="21">
        <f t="shared" si="94"/>
        <v>22784</v>
      </c>
      <c r="AD92" s="21">
        <f t="shared" si="94"/>
        <v>45568</v>
      </c>
      <c r="AE92" s="21">
        <f t="shared" si="94"/>
        <v>91136</v>
      </c>
      <c r="AF92" s="21">
        <f t="shared" si="94"/>
        <v>182272</v>
      </c>
      <c r="AG92" s="21">
        <f t="shared" si="94"/>
        <v>364544</v>
      </c>
      <c r="AH92" s="21">
        <f t="shared" si="94"/>
        <v>729088</v>
      </c>
      <c r="AI92" s="21">
        <f t="shared" si="94"/>
        <v>1458176</v>
      </c>
      <c r="AJ92" s="21">
        <f t="shared" si="94"/>
        <v>2916352</v>
      </c>
      <c r="AK92" s="21">
        <f t="shared" si="94"/>
        <v>5832704</v>
      </c>
      <c r="AL92" s="20">
        <f t="shared" si="94"/>
        <v>11665408</v>
      </c>
      <c r="AM92" s="21">
        <f t="shared" si="94"/>
        <v>23330816</v>
      </c>
      <c r="AN92" s="21">
        <f t="shared" si="94"/>
        <v>46661632</v>
      </c>
      <c r="AO92" s="21">
        <f t="shared" si="94"/>
        <v>93323264</v>
      </c>
      <c r="AP92" s="69">
        <f t="shared" si="94"/>
        <v>123901884</v>
      </c>
      <c r="AQ92" s="45"/>
    </row>
    <row r="93" spans="1:43" x14ac:dyDescent="0.25">
      <c r="A93" s="48"/>
      <c r="B93" s="16"/>
      <c r="C93" s="16"/>
      <c r="D93" s="25"/>
      <c r="E93" s="46">
        <v>7.2999999999999995E-2</v>
      </c>
      <c r="F93" s="16"/>
      <c r="G93" s="16"/>
      <c r="H93" s="16"/>
      <c r="I93" s="16"/>
      <c r="J93" s="16"/>
      <c r="K93" s="16"/>
      <c r="L93" s="16"/>
      <c r="M93" s="16"/>
      <c r="N93" s="16"/>
      <c r="O93" s="16"/>
      <c r="P93" s="29">
        <f t="shared" ref="P93:AF93" si="95">P92*$E$93</f>
        <v>0.20303125</v>
      </c>
      <c r="Q93" s="30">
        <f t="shared" si="95"/>
        <v>0.40606249999999999</v>
      </c>
      <c r="R93" s="30">
        <f t="shared" si="95"/>
        <v>0.81212499999999999</v>
      </c>
      <c r="S93" s="30">
        <f t="shared" si="95"/>
        <v>1.62425</v>
      </c>
      <c r="T93" s="30">
        <f t="shared" si="95"/>
        <v>3.2484999999999999</v>
      </c>
      <c r="U93" s="30">
        <f t="shared" si="95"/>
        <v>6.4969999999999999</v>
      </c>
      <c r="V93" s="30">
        <f t="shared" si="95"/>
        <v>12.994</v>
      </c>
      <c r="W93" s="30">
        <f t="shared" si="95"/>
        <v>25.988</v>
      </c>
      <c r="X93" s="30">
        <f t="shared" si="95"/>
        <v>51.975999999999999</v>
      </c>
      <c r="Y93" s="30">
        <f t="shared" si="95"/>
        <v>103.952</v>
      </c>
      <c r="Z93" s="30">
        <f t="shared" si="95"/>
        <v>207.904</v>
      </c>
      <c r="AA93" s="30">
        <f t="shared" si="95"/>
        <v>415.80799999999999</v>
      </c>
      <c r="AB93" s="30">
        <f t="shared" si="95"/>
        <v>831.61599999999999</v>
      </c>
      <c r="AC93" s="30">
        <f t="shared" si="95"/>
        <v>1663.232</v>
      </c>
      <c r="AD93" s="30">
        <f t="shared" si="95"/>
        <v>3326.4639999999999</v>
      </c>
      <c r="AE93" s="30">
        <f t="shared" si="95"/>
        <v>6652.9279999999999</v>
      </c>
      <c r="AF93" s="30">
        <f t="shared" si="95"/>
        <v>13305.856</v>
      </c>
      <c r="AG93" s="30">
        <f>AG92*$E$93</f>
        <v>26611.712</v>
      </c>
      <c r="AH93" s="30">
        <f>AH92*$E$93</f>
        <v>53223.423999999999</v>
      </c>
      <c r="AI93" s="30">
        <f>AI92*$E$93</f>
        <v>106446.848</v>
      </c>
      <c r="AJ93" s="30">
        <f t="shared" ref="AJ93:AP93" si="96">AJ92*$E$93</f>
        <v>212893.696</v>
      </c>
      <c r="AK93" s="30">
        <f t="shared" si="96"/>
        <v>425787.39199999999</v>
      </c>
      <c r="AL93" s="29">
        <f t="shared" si="96"/>
        <v>851574.78399999999</v>
      </c>
      <c r="AM93" s="30">
        <f t="shared" si="96"/>
        <v>1703149.568</v>
      </c>
      <c r="AN93" s="30">
        <f t="shared" ref="AN93" si="97">AN92*$E$93</f>
        <v>3406299.1359999999</v>
      </c>
      <c r="AO93" s="30">
        <f t="shared" si="96"/>
        <v>6812598.2719999999</v>
      </c>
      <c r="AP93" s="68">
        <f t="shared" si="96"/>
        <v>9044837.5319999997</v>
      </c>
      <c r="AQ93" s="45"/>
    </row>
    <row r="94" spans="1:43" x14ac:dyDescent="0.25">
      <c r="A94" s="48" t="s">
        <v>6</v>
      </c>
      <c r="B94" s="24">
        <v>0.2</v>
      </c>
      <c r="C94" s="10">
        <f>$B$21 * B94</f>
        <v>278431200</v>
      </c>
      <c r="D94" s="47"/>
      <c r="E94" s="16"/>
      <c r="F94" s="16"/>
      <c r="G94" s="16"/>
      <c r="H94" s="16"/>
      <c r="I94" s="16"/>
      <c r="J94" s="16"/>
      <c r="K94" s="16"/>
      <c r="L94" s="16"/>
      <c r="M94" s="16"/>
      <c r="N94" s="16"/>
      <c r="O94" s="16"/>
      <c r="P94" s="20">
        <f t="shared" ref="P94:AP94" si="98">P$35*$B$94</f>
        <v>6.25</v>
      </c>
      <c r="Q94" s="21">
        <f t="shared" si="98"/>
        <v>12.5</v>
      </c>
      <c r="R94" s="21">
        <f t="shared" si="98"/>
        <v>25</v>
      </c>
      <c r="S94" s="21">
        <f t="shared" si="98"/>
        <v>50</v>
      </c>
      <c r="T94" s="21">
        <f t="shared" si="98"/>
        <v>100</v>
      </c>
      <c r="U94" s="21">
        <f t="shared" si="98"/>
        <v>200</v>
      </c>
      <c r="V94" s="21">
        <f t="shared" si="98"/>
        <v>400</v>
      </c>
      <c r="W94" s="21">
        <f t="shared" si="98"/>
        <v>800</v>
      </c>
      <c r="X94" s="21">
        <f t="shared" si="98"/>
        <v>1600</v>
      </c>
      <c r="Y94" s="21">
        <f t="shared" si="98"/>
        <v>3200</v>
      </c>
      <c r="Z94" s="21">
        <f t="shared" si="98"/>
        <v>6400</v>
      </c>
      <c r="AA94" s="21">
        <f t="shared" si="98"/>
        <v>12800</v>
      </c>
      <c r="AB94" s="21">
        <f t="shared" si="98"/>
        <v>25600</v>
      </c>
      <c r="AC94" s="21">
        <f t="shared" si="98"/>
        <v>51200</v>
      </c>
      <c r="AD94" s="21">
        <f t="shared" si="98"/>
        <v>102400</v>
      </c>
      <c r="AE94" s="21">
        <f t="shared" si="98"/>
        <v>204800</v>
      </c>
      <c r="AF94" s="21">
        <f t="shared" si="98"/>
        <v>409600</v>
      </c>
      <c r="AG94" s="21">
        <f t="shared" si="98"/>
        <v>819200</v>
      </c>
      <c r="AH94" s="21">
        <f t="shared" si="98"/>
        <v>1638400</v>
      </c>
      <c r="AI94" s="21">
        <f t="shared" si="98"/>
        <v>3276800</v>
      </c>
      <c r="AJ94" s="21">
        <f t="shared" si="98"/>
        <v>6553600</v>
      </c>
      <c r="AK94" s="21">
        <f t="shared" si="98"/>
        <v>13107200</v>
      </c>
      <c r="AL94" s="20">
        <f t="shared" si="98"/>
        <v>26214400</v>
      </c>
      <c r="AM94" s="21">
        <f t="shared" si="98"/>
        <v>52428800</v>
      </c>
      <c r="AN94" s="21">
        <f t="shared" si="98"/>
        <v>104857600</v>
      </c>
      <c r="AO94" s="21">
        <f t="shared" si="98"/>
        <v>209715200</v>
      </c>
      <c r="AP94" s="69">
        <f t="shared" si="98"/>
        <v>278431200</v>
      </c>
      <c r="AQ94" s="45"/>
    </row>
    <row r="95" spans="1:43" x14ac:dyDescent="0.25">
      <c r="A95" s="48"/>
      <c r="B95" s="16"/>
      <c r="C95" s="16"/>
      <c r="D95" s="25"/>
      <c r="E95" s="46">
        <v>6.3E-2</v>
      </c>
      <c r="F95" s="16"/>
      <c r="G95" s="16"/>
      <c r="H95" s="16"/>
      <c r="I95" s="16"/>
      <c r="J95" s="16"/>
      <c r="K95" s="16"/>
      <c r="L95" s="16"/>
      <c r="M95" s="16"/>
      <c r="N95" s="16"/>
      <c r="O95" s="16"/>
      <c r="P95" s="29">
        <f t="shared" ref="P95:AF95" si="99">P94*$E$95</f>
        <v>0.39374999999999999</v>
      </c>
      <c r="Q95" s="30">
        <f t="shared" si="99"/>
        <v>0.78749999999999998</v>
      </c>
      <c r="R95" s="30">
        <f t="shared" si="99"/>
        <v>1.575</v>
      </c>
      <c r="S95" s="30">
        <f t="shared" si="99"/>
        <v>3.15</v>
      </c>
      <c r="T95" s="30">
        <f t="shared" si="99"/>
        <v>6.3</v>
      </c>
      <c r="U95" s="30">
        <f t="shared" si="99"/>
        <v>12.6</v>
      </c>
      <c r="V95" s="30">
        <f t="shared" si="99"/>
        <v>25.2</v>
      </c>
      <c r="W95" s="30">
        <f t="shared" si="99"/>
        <v>50.4</v>
      </c>
      <c r="X95" s="30">
        <f t="shared" si="99"/>
        <v>100.8</v>
      </c>
      <c r="Y95" s="30">
        <f t="shared" si="99"/>
        <v>201.6</v>
      </c>
      <c r="Z95" s="30">
        <f t="shared" si="99"/>
        <v>403.2</v>
      </c>
      <c r="AA95" s="30">
        <f t="shared" si="99"/>
        <v>806.4</v>
      </c>
      <c r="AB95" s="30">
        <f t="shared" si="99"/>
        <v>1612.8</v>
      </c>
      <c r="AC95" s="30">
        <f t="shared" si="99"/>
        <v>3225.6</v>
      </c>
      <c r="AD95" s="30">
        <f t="shared" si="99"/>
        <v>6451.2</v>
      </c>
      <c r="AE95" s="30">
        <f t="shared" si="99"/>
        <v>12902.4</v>
      </c>
      <c r="AF95" s="30">
        <f t="shared" si="99"/>
        <v>25804.799999999999</v>
      </c>
      <c r="AG95" s="30">
        <f>AG94*$E$95</f>
        <v>51609.599999999999</v>
      </c>
      <c r="AH95" s="30">
        <f>AH94*$E$95</f>
        <v>103219.2</v>
      </c>
      <c r="AI95" s="30">
        <f>AI94*$E$95</f>
        <v>206438.39999999999</v>
      </c>
      <c r="AJ95" s="30">
        <f t="shared" ref="AJ95:AP95" si="100">AJ94*$E$95</f>
        <v>412876.79999999999</v>
      </c>
      <c r="AK95" s="30">
        <f t="shared" si="100"/>
        <v>825753.59999999998</v>
      </c>
      <c r="AL95" s="29">
        <f>AL94*$E$95</f>
        <v>1651507.2</v>
      </c>
      <c r="AM95" s="30">
        <f t="shared" si="100"/>
        <v>3303014.3999999999</v>
      </c>
      <c r="AN95" s="30">
        <f t="shared" ref="AN95" si="101">AN94*$E$95</f>
        <v>6606028.7999999998</v>
      </c>
      <c r="AO95" s="30">
        <f t="shared" si="100"/>
        <v>13212057.6</v>
      </c>
      <c r="AP95" s="68">
        <f t="shared" si="100"/>
        <v>17541165.600000001</v>
      </c>
      <c r="AQ95" s="45"/>
    </row>
    <row r="96" spans="1:43" x14ac:dyDescent="0.25">
      <c r="A96" s="48" t="s">
        <v>7</v>
      </c>
      <c r="B96" s="24">
        <v>0.29799999999999999</v>
      </c>
      <c r="C96" s="10">
        <f>$B$21 * B96</f>
        <v>414862488</v>
      </c>
      <c r="D96" s="47"/>
      <c r="E96" s="16"/>
      <c r="F96" s="16"/>
      <c r="G96" s="16"/>
      <c r="H96" s="16"/>
      <c r="I96" s="16"/>
      <c r="J96" s="16"/>
      <c r="K96" s="16"/>
      <c r="L96" s="16"/>
      <c r="M96" s="16"/>
      <c r="N96" s="16"/>
      <c r="O96" s="16"/>
      <c r="P96" s="20">
        <f t="shared" ref="P96:AP96" si="102">P$35*$B$96</f>
        <v>9.3125</v>
      </c>
      <c r="Q96" s="21">
        <f t="shared" si="102"/>
        <v>18.625</v>
      </c>
      <c r="R96" s="21">
        <f t="shared" si="102"/>
        <v>37.25</v>
      </c>
      <c r="S96" s="21">
        <f t="shared" si="102"/>
        <v>74.5</v>
      </c>
      <c r="T96" s="21">
        <f t="shared" si="102"/>
        <v>149</v>
      </c>
      <c r="U96" s="21">
        <f t="shared" si="102"/>
        <v>298</v>
      </c>
      <c r="V96" s="21">
        <f t="shared" si="102"/>
        <v>596</v>
      </c>
      <c r="W96" s="21">
        <f t="shared" si="102"/>
        <v>1192</v>
      </c>
      <c r="X96" s="21">
        <f t="shared" si="102"/>
        <v>2384</v>
      </c>
      <c r="Y96" s="21">
        <f t="shared" si="102"/>
        <v>4768</v>
      </c>
      <c r="Z96" s="21">
        <f t="shared" si="102"/>
        <v>9536</v>
      </c>
      <c r="AA96" s="21">
        <f t="shared" si="102"/>
        <v>19072</v>
      </c>
      <c r="AB96" s="21">
        <f t="shared" si="102"/>
        <v>38144</v>
      </c>
      <c r="AC96" s="21">
        <f t="shared" si="102"/>
        <v>76288</v>
      </c>
      <c r="AD96" s="21">
        <f t="shared" si="102"/>
        <v>152576</v>
      </c>
      <c r="AE96" s="21">
        <f t="shared" si="102"/>
        <v>305152</v>
      </c>
      <c r="AF96" s="21">
        <f t="shared" si="102"/>
        <v>610304</v>
      </c>
      <c r="AG96" s="21">
        <f t="shared" si="102"/>
        <v>1220608</v>
      </c>
      <c r="AH96" s="21">
        <f t="shared" si="102"/>
        <v>2441216</v>
      </c>
      <c r="AI96" s="21">
        <f t="shared" si="102"/>
        <v>4882432</v>
      </c>
      <c r="AJ96" s="21">
        <f t="shared" si="102"/>
        <v>9764864</v>
      </c>
      <c r="AK96" s="21">
        <f t="shared" si="102"/>
        <v>19529728</v>
      </c>
      <c r="AL96" s="20">
        <f t="shared" si="102"/>
        <v>39059456</v>
      </c>
      <c r="AM96" s="21">
        <f t="shared" si="102"/>
        <v>78118912</v>
      </c>
      <c r="AN96" s="21">
        <f t="shared" si="102"/>
        <v>156237824</v>
      </c>
      <c r="AO96" s="21">
        <f t="shared" si="102"/>
        <v>312475648</v>
      </c>
      <c r="AP96" s="69">
        <f t="shared" si="102"/>
        <v>414862488</v>
      </c>
      <c r="AQ96" s="45"/>
    </row>
    <row r="97" spans="1:43" x14ac:dyDescent="0.25">
      <c r="A97" s="48"/>
      <c r="B97" s="16"/>
      <c r="C97" s="16"/>
      <c r="D97" s="25"/>
      <c r="E97" s="46">
        <v>0.06</v>
      </c>
      <c r="F97" s="16"/>
      <c r="G97" s="16"/>
      <c r="H97" s="16"/>
      <c r="I97" s="16"/>
      <c r="J97" s="16"/>
      <c r="K97" s="16"/>
      <c r="L97" s="16"/>
      <c r="M97" s="16"/>
      <c r="N97" s="16"/>
      <c r="O97" s="16"/>
      <c r="P97" s="29">
        <f t="shared" ref="P97:AF97" si="103">P96*$E$97</f>
        <v>0.55874999999999997</v>
      </c>
      <c r="Q97" s="30">
        <f t="shared" si="103"/>
        <v>1.1174999999999999</v>
      </c>
      <c r="R97" s="30">
        <f t="shared" si="103"/>
        <v>2.2349999999999999</v>
      </c>
      <c r="S97" s="30">
        <f t="shared" si="103"/>
        <v>4.47</v>
      </c>
      <c r="T97" s="30">
        <f t="shared" si="103"/>
        <v>8.94</v>
      </c>
      <c r="U97" s="30">
        <f t="shared" si="103"/>
        <v>17.88</v>
      </c>
      <c r="V97" s="30">
        <f t="shared" si="103"/>
        <v>35.76</v>
      </c>
      <c r="W97" s="30">
        <f t="shared" si="103"/>
        <v>71.52</v>
      </c>
      <c r="X97" s="30">
        <f t="shared" si="103"/>
        <v>143.04</v>
      </c>
      <c r="Y97" s="30">
        <f t="shared" si="103"/>
        <v>286.08</v>
      </c>
      <c r="Z97" s="30">
        <f t="shared" si="103"/>
        <v>572.16</v>
      </c>
      <c r="AA97" s="30">
        <f t="shared" si="103"/>
        <v>1144.32</v>
      </c>
      <c r="AB97" s="30">
        <f t="shared" si="103"/>
        <v>2288.64</v>
      </c>
      <c r="AC97" s="30">
        <f t="shared" si="103"/>
        <v>4577.28</v>
      </c>
      <c r="AD97" s="30">
        <f t="shared" si="103"/>
        <v>9154.56</v>
      </c>
      <c r="AE97" s="30">
        <f t="shared" si="103"/>
        <v>18309.12</v>
      </c>
      <c r="AF97" s="30">
        <f t="shared" si="103"/>
        <v>36618.239999999998</v>
      </c>
      <c r="AG97" s="30">
        <f>AG96*$E$97</f>
        <v>73236.479999999996</v>
      </c>
      <c r="AH97" s="30">
        <f>AH96*$E$97</f>
        <v>146472.95999999999</v>
      </c>
      <c r="AI97" s="30">
        <f>AI96*$E$97</f>
        <v>292945.91999999998</v>
      </c>
      <c r="AJ97" s="30">
        <f t="shared" ref="AJ97:AP97" si="104">AJ96*$E$97</f>
        <v>585891.83999999997</v>
      </c>
      <c r="AK97" s="30">
        <f t="shared" si="104"/>
        <v>1171783.6799999999</v>
      </c>
      <c r="AL97" s="29">
        <f t="shared" si="104"/>
        <v>2343567.3599999999</v>
      </c>
      <c r="AM97" s="30">
        <f t="shared" si="104"/>
        <v>4687134.7199999997</v>
      </c>
      <c r="AN97" s="30">
        <f t="shared" ref="AN97" si="105">AN96*$E$97</f>
        <v>9374269.4399999995</v>
      </c>
      <c r="AO97" s="30">
        <f t="shared" si="104"/>
        <v>18748538.879999999</v>
      </c>
      <c r="AP97" s="68">
        <f t="shared" si="104"/>
        <v>24891749.279999997</v>
      </c>
      <c r="AQ97" s="45"/>
    </row>
    <row r="98" spans="1:43" x14ac:dyDescent="0.25">
      <c r="A98" s="48" t="s">
        <v>8</v>
      </c>
      <c r="B98" s="24">
        <v>9.5E-4</v>
      </c>
      <c r="C98" s="10">
        <f>$B$21 * B98</f>
        <v>1322548.2</v>
      </c>
      <c r="D98" s="47"/>
      <c r="E98" s="16"/>
      <c r="F98" s="16"/>
      <c r="G98" s="16"/>
      <c r="H98" s="16"/>
      <c r="I98" s="16"/>
      <c r="J98" s="16"/>
      <c r="K98" s="16"/>
      <c r="L98" s="16"/>
      <c r="M98" s="16"/>
      <c r="N98" s="16"/>
      <c r="O98" s="16"/>
      <c r="P98" s="20">
        <f t="shared" ref="P98:AP98" si="106">P$35*$B$98</f>
        <v>2.9687499999999999E-2</v>
      </c>
      <c r="Q98" s="21">
        <f t="shared" si="106"/>
        <v>5.9374999999999997E-2</v>
      </c>
      <c r="R98" s="21">
        <f t="shared" si="106"/>
        <v>0.11874999999999999</v>
      </c>
      <c r="S98" s="21">
        <f t="shared" si="106"/>
        <v>0.23749999999999999</v>
      </c>
      <c r="T98" s="21">
        <f t="shared" si="106"/>
        <v>0.47499999999999998</v>
      </c>
      <c r="U98" s="21">
        <f t="shared" si="106"/>
        <v>0.95</v>
      </c>
      <c r="V98" s="21">
        <f t="shared" si="106"/>
        <v>1.9</v>
      </c>
      <c r="W98" s="21">
        <f t="shared" si="106"/>
        <v>3.8</v>
      </c>
      <c r="X98" s="21">
        <f t="shared" si="106"/>
        <v>7.6</v>
      </c>
      <c r="Y98" s="21">
        <f t="shared" si="106"/>
        <v>15.2</v>
      </c>
      <c r="Z98" s="21">
        <f t="shared" si="106"/>
        <v>30.4</v>
      </c>
      <c r="AA98" s="21">
        <f t="shared" si="106"/>
        <v>60.8</v>
      </c>
      <c r="AB98" s="21">
        <f t="shared" si="106"/>
        <v>121.6</v>
      </c>
      <c r="AC98" s="21">
        <f t="shared" si="106"/>
        <v>243.2</v>
      </c>
      <c r="AD98" s="21">
        <f t="shared" si="106"/>
        <v>486.4</v>
      </c>
      <c r="AE98" s="21">
        <f t="shared" si="106"/>
        <v>972.8</v>
      </c>
      <c r="AF98" s="21">
        <f t="shared" si="106"/>
        <v>1945.6</v>
      </c>
      <c r="AG98" s="21">
        <f t="shared" si="106"/>
        <v>3891.2</v>
      </c>
      <c r="AH98" s="21">
        <f t="shared" si="106"/>
        <v>7782.4</v>
      </c>
      <c r="AI98" s="21">
        <f t="shared" si="106"/>
        <v>15564.8</v>
      </c>
      <c r="AJ98" s="21">
        <f t="shared" si="106"/>
        <v>31129.599999999999</v>
      </c>
      <c r="AK98" s="21">
        <f t="shared" si="106"/>
        <v>62259.199999999997</v>
      </c>
      <c r="AL98" s="20">
        <f t="shared" si="106"/>
        <v>124518.39999999999</v>
      </c>
      <c r="AM98" s="21">
        <f t="shared" si="106"/>
        <v>249036.79999999999</v>
      </c>
      <c r="AN98" s="21">
        <f t="shared" si="106"/>
        <v>498073.59999999998</v>
      </c>
      <c r="AO98" s="21">
        <f t="shared" si="106"/>
        <v>996147.19999999995</v>
      </c>
      <c r="AP98" s="69">
        <f t="shared" si="106"/>
        <v>1322548.2</v>
      </c>
      <c r="AQ98" s="45"/>
    </row>
    <row r="99" spans="1:43" x14ac:dyDescent="0.25">
      <c r="A99" s="48"/>
      <c r="B99" s="16"/>
      <c r="C99" s="16"/>
      <c r="D99" s="25"/>
      <c r="E99" s="46">
        <v>5.6000000000000001E-2</v>
      </c>
      <c r="F99" s="16"/>
      <c r="G99" s="16"/>
      <c r="H99" s="16"/>
      <c r="I99" s="16"/>
      <c r="J99" s="16"/>
      <c r="K99" s="16"/>
      <c r="L99" s="16"/>
      <c r="M99" s="16"/>
      <c r="N99" s="16"/>
      <c r="O99" s="16"/>
      <c r="P99" s="29">
        <f t="shared" ref="P99:AF99" si="107">P98*$E$99</f>
        <v>1.6624999999999999E-3</v>
      </c>
      <c r="Q99" s="30">
        <f t="shared" si="107"/>
        <v>3.3249999999999998E-3</v>
      </c>
      <c r="R99" s="30">
        <f t="shared" si="107"/>
        <v>6.6499999999999997E-3</v>
      </c>
      <c r="S99" s="30">
        <f t="shared" si="107"/>
        <v>1.3299999999999999E-2</v>
      </c>
      <c r="T99" s="30">
        <f t="shared" si="107"/>
        <v>2.6599999999999999E-2</v>
      </c>
      <c r="U99" s="30">
        <f t="shared" si="107"/>
        <v>5.3199999999999997E-2</v>
      </c>
      <c r="V99" s="30">
        <f t="shared" si="107"/>
        <v>0.10639999999999999</v>
      </c>
      <c r="W99" s="30">
        <f t="shared" si="107"/>
        <v>0.21279999999999999</v>
      </c>
      <c r="X99" s="30">
        <f t="shared" si="107"/>
        <v>0.42559999999999998</v>
      </c>
      <c r="Y99" s="30">
        <f t="shared" si="107"/>
        <v>0.85119999999999996</v>
      </c>
      <c r="Z99" s="30">
        <f t="shared" si="107"/>
        <v>1.7023999999999999</v>
      </c>
      <c r="AA99" s="30">
        <f t="shared" si="107"/>
        <v>3.4047999999999998</v>
      </c>
      <c r="AB99" s="30">
        <f t="shared" si="107"/>
        <v>6.8095999999999997</v>
      </c>
      <c r="AC99" s="30">
        <f t="shared" si="107"/>
        <v>13.619199999999999</v>
      </c>
      <c r="AD99" s="30">
        <f t="shared" si="107"/>
        <v>27.238399999999999</v>
      </c>
      <c r="AE99" s="30">
        <f t="shared" si="107"/>
        <v>54.476799999999997</v>
      </c>
      <c r="AF99" s="30">
        <f t="shared" si="107"/>
        <v>108.95359999999999</v>
      </c>
      <c r="AG99" s="30">
        <f>AG98*$E$99</f>
        <v>217.90719999999999</v>
      </c>
      <c r="AH99" s="30">
        <f>AH98*$E$99</f>
        <v>435.81439999999998</v>
      </c>
      <c r="AI99" s="30">
        <f>AI98*$E$99</f>
        <v>871.62879999999996</v>
      </c>
      <c r="AJ99" s="30">
        <f t="shared" ref="AJ99:AP99" si="108">AJ98*$E$99</f>
        <v>1743.2575999999999</v>
      </c>
      <c r="AK99" s="30">
        <f t="shared" si="108"/>
        <v>3486.5151999999998</v>
      </c>
      <c r="AL99" s="29">
        <f t="shared" si="108"/>
        <v>6973.0303999999996</v>
      </c>
      <c r="AM99" s="30">
        <f t="shared" si="108"/>
        <v>13946.060799999999</v>
      </c>
      <c r="AN99" s="30">
        <f t="shared" ref="AN99" si="109">AN98*$E$99</f>
        <v>27892.121599999999</v>
      </c>
      <c r="AO99" s="30">
        <f t="shared" si="108"/>
        <v>55784.243199999997</v>
      </c>
      <c r="AP99" s="68">
        <f t="shared" si="108"/>
        <v>74062.699200000003</v>
      </c>
      <c r="AQ99" s="45"/>
    </row>
    <row r="100" spans="1:43" x14ac:dyDescent="0.25">
      <c r="A100" s="48" t="s">
        <v>9</v>
      </c>
      <c r="B100" s="24">
        <v>0.14000000000000001</v>
      </c>
      <c r="C100" s="10">
        <f>$B$21 * B100</f>
        <v>194901840.00000003</v>
      </c>
      <c r="D100" s="47"/>
      <c r="E100" s="16"/>
      <c r="F100" s="16"/>
      <c r="G100" s="16"/>
      <c r="H100" s="16"/>
      <c r="I100" s="16"/>
      <c r="J100" s="16"/>
      <c r="K100" s="16"/>
      <c r="L100" s="16"/>
      <c r="M100" s="16"/>
      <c r="N100" s="16"/>
      <c r="O100" s="16"/>
      <c r="P100" s="20">
        <f t="shared" ref="P100:AP100" si="110">P$35*$B$100</f>
        <v>4.375</v>
      </c>
      <c r="Q100" s="21">
        <f t="shared" si="110"/>
        <v>8.75</v>
      </c>
      <c r="R100" s="21">
        <f t="shared" si="110"/>
        <v>17.5</v>
      </c>
      <c r="S100" s="21">
        <f t="shared" si="110"/>
        <v>35</v>
      </c>
      <c r="T100" s="21">
        <f t="shared" si="110"/>
        <v>70</v>
      </c>
      <c r="U100" s="21">
        <f t="shared" si="110"/>
        <v>140</v>
      </c>
      <c r="V100" s="21">
        <f t="shared" si="110"/>
        <v>280</v>
      </c>
      <c r="W100" s="21">
        <f t="shared" si="110"/>
        <v>560</v>
      </c>
      <c r="X100" s="21">
        <f t="shared" si="110"/>
        <v>1120</v>
      </c>
      <c r="Y100" s="21">
        <f t="shared" si="110"/>
        <v>2240</v>
      </c>
      <c r="Z100" s="21">
        <f t="shared" si="110"/>
        <v>4480</v>
      </c>
      <c r="AA100" s="21">
        <f t="shared" si="110"/>
        <v>8960</v>
      </c>
      <c r="AB100" s="21">
        <f t="shared" si="110"/>
        <v>17920</v>
      </c>
      <c r="AC100" s="21">
        <f t="shared" si="110"/>
        <v>35840</v>
      </c>
      <c r="AD100" s="21">
        <f t="shared" si="110"/>
        <v>71680</v>
      </c>
      <c r="AE100" s="21">
        <f t="shared" si="110"/>
        <v>143360</v>
      </c>
      <c r="AF100" s="21">
        <f t="shared" si="110"/>
        <v>286720</v>
      </c>
      <c r="AG100" s="21">
        <f t="shared" si="110"/>
        <v>573440</v>
      </c>
      <c r="AH100" s="21">
        <f t="shared" si="110"/>
        <v>1146880</v>
      </c>
      <c r="AI100" s="21">
        <f t="shared" si="110"/>
        <v>2293760</v>
      </c>
      <c r="AJ100" s="21">
        <f t="shared" si="110"/>
        <v>4587520</v>
      </c>
      <c r="AK100" s="21">
        <f t="shared" si="110"/>
        <v>9175040</v>
      </c>
      <c r="AL100" s="20">
        <f t="shared" si="110"/>
        <v>18350080</v>
      </c>
      <c r="AM100" s="21">
        <f t="shared" si="110"/>
        <v>36700160</v>
      </c>
      <c r="AN100" s="21">
        <f t="shared" si="110"/>
        <v>73400320</v>
      </c>
      <c r="AO100" s="21">
        <f t="shared" si="110"/>
        <v>146800640</v>
      </c>
      <c r="AP100" s="69">
        <f t="shared" si="110"/>
        <v>194901840.00000003</v>
      </c>
      <c r="AQ100" s="45"/>
    </row>
    <row r="101" spans="1:43" x14ac:dyDescent="0.25">
      <c r="A101" s="37"/>
      <c r="B101" s="39"/>
      <c r="C101" s="39"/>
      <c r="D101" s="54"/>
      <c r="E101" s="55" t="s">
        <v>10</v>
      </c>
      <c r="F101" s="39"/>
      <c r="G101" s="39"/>
      <c r="H101" s="39"/>
      <c r="I101" s="39"/>
      <c r="J101" s="39"/>
      <c r="K101" s="39"/>
      <c r="L101" s="39"/>
      <c r="M101" s="39"/>
      <c r="N101" s="39"/>
      <c r="O101" s="39"/>
      <c r="P101" s="29" t="s">
        <v>10</v>
      </c>
      <c r="Q101" s="30" t="s">
        <v>10</v>
      </c>
      <c r="R101" s="30" t="s">
        <v>10</v>
      </c>
      <c r="S101" s="30" t="s">
        <v>10</v>
      </c>
      <c r="T101" s="30" t="s">
        <v>10</v>
      </c>
      <c r="U101" s="30" t="s">
        <v>10</v>
      </c>
      <c r="V101" s="30" t="s">
        <v>10</v>
      </c>
      <c r="W101" s="30" t="s">
        <v>10</v>
      </c>
      <c r="X101" s="30" t="s">
        <v>10</v>
      </c>
      <c r="Y101" s="30" t="s">
        <v>10</v>
      </c>
      <c r="Z101" s="30" t="s">
        <v>10</v>
      </c>
      <c r="AA101" s="30" t="s">
        <v>10</v>
      </c>
      <c r="AB101" s="30" t="s">
        <v>10</v>
      </c>
      <c r="AC101" s="30" t="s">
        <v>10</v>
      </c>
      <c r="AD101" s="30" t="s">
        <v>10</v>
      </c>
      <c r="AE101" s="30" t="s">
        <v>10</v>
      </c>
      <c r="AF101" s="30" t="s">
        <v>10</v>
      </c>
      <c r="AG101" s="30" t="s">
        <v>10</v>
      </c>
      <c r="AH101" s="30" t="s">
        <v>10</v>
      </c>
      <c r="AI101" s="30" t="s">
        <v>10</v>
      </c>
      <c r="AJ101" s="30" t="s">
        <v>10</v>
      </c>
      <c r="AK101" s="30" t="s">
        <v>10</v>
      </c>
      <c r="AL101" s="29" t="s">
        <v>10</v>
      </c>
      <c r="AM101" s="30" t="s">
        <v>10</v>
      </c>
      <c r="AN101" s="30" t="s">
        <v>10</v>
      </c>
      <c r="AO101" s="30" t="s">
        <v>10</v>
      </c>
      <c r="AP101" s="68" t="s">
        <v>10</v>
      </c>
      <c r="AQ101" s="45"/>
    </row>
    <row r="102" spans="1:43" x14ac:dyDescent="0.25">
      <c r="A102" s="41" t="s">
        <v>196</v>
      </c>
      <c r="B102" s="16"/>
      <c r="C102" s="16"/>
      <c r="D102" s="47"/>
      <c r="E102" s="16"/>
      <c r="F102" s="16"/>
      <c r="G102" s="16"/>
      <c r="H102" s="16"/>
      <c r="I102" s="16"/>
      <c r="J102" s="16"/>
      <c r="K102" s="16"/>
      <c r="L102" s="16"/>
      <c r="M102" s="16"/>
      <c r="N102" s="16"/>
      <c r="O102" s="16"/>
      <c r="P102" s="18">
        <f>SUM(P90,P92,P94,P96,P98,P100)</f>
        <v>23.967187500000001</v>
      </c>
      <c r="Q102" s="19">
        <f t="shared" ref="Q102:AF102" si="111">SUM(Q90,Q92,Q94,Q96,Q98,Q100)</f>
        <v>47.934375000000003</v>
      </c>
      <c r="R102" s="19">
        <f t="shared" si="111"/>
        <v>95.868750000000006</v>
      </c>
      <c r="S102" s="19">
        <f t="shared" si="111"/>
        <v>191.73750000000001</v>
      </c>
      <c r="T102" s="19">
        <f t="shared" si="111"/>
        <v>383.47500000000002</v>
      </c>
      <c r="U102" s="19">
        <f t="shared" si="111"/>
        <v>766.95</v>
      </c>
      <c r="V102" s="19">
        <f>SUM(V90,V92,V94,V96,V98,V100)</f>
        <v>1533.9</v>
      </c>
      <c r="W102" s="19">
        <f t="shared" si="111"/>
        <v>3067.8</v>
      </c>
      <c r="X102" s="19">
        <f t="shared" si="111"/>
        <v>6135.6</v>
      </c>
      <c r="Y102" s="19">
        <f t="shared" si="111"/>
        <v>12271.2</v>
      </c>
      <c r="Z102" s="19">
        <f t="shared" si="111"/>
        <v>24542.400000000001</v>
      </c>
      <c r="AA102" s="19">
        <f t="shared" si="111"/>
        <v>49084.800000000003</v>
      </c>
      <c r="AB102" s="19">
        <f t="shared" si="111"/>
        <v>98169.600000000006</v>
      </c>
      <c r="AC102" s="19">
        <f t="shared" si="111"/>
        <v>196339.20000000001</v>
      </c>
      <c r="AD102" s="19">
        <f t="shared" si="111"/>
        <v>392678.40000000002</v>
      </c>
      <c r="AE102" s="19">
        <f t="shared" si="111"/>
        <v>785356.80000000005</v>
      </c>
      <c r="AF102" s="19">
        <f t="shared" si="111"/>
        <v>1570713.6000000001</v>
      </c>
      <c r="AG102" s="19">
        <f t="shared" ref="AG102:AI103" si="112">SUM(AG90,AG92,AG94,AG96,AG98,AG100)</f>
        <v>3141427.2000000002</v>
      </c>
      <c r="AH102" s="19">
        <f t="shared" si="112"/>
        <v>6282854.4000000004</v>
      </c>
      <c r="AI102" s="19">
        <f t="shared" si="112"/>
        <v>12565708.800000001</v>
      </c>
      <c r="AJ102" s="19">
        <f t="shared" ref="AJ102:AP102" si="113">SUM(AJ90,AJ92,AJ94,AJ96,AJ98,AJ100)</f>
        <v>25131417.600000001</v>
      </c>
      <c r="AK102" s="19">
        <f t="shared" si="113"/>
        <v>50262835.200000003</v>
      </c>
      <c r="AL102" s="18">
        <f t="shared" si="113"/>
        <v>100525670.40000001</v>
      </c>
      <c r="AM102" s="19">
        <f t="shared" si="113"/>
        <v>201051340.80000001</v>
      </c>
      <c r="AN102" s="19">
        <f t="shared" ref="AN102" si="114">SUM(AN90,AN92,AN94,AN96,AN98,AN100)</f>
        <v>402102681.60000002</v>
      </c>
      <c r="AO102" s="19">
        <f t="shared" si="113"/>
        <v>804205363.20000005</v>
      </c>
      <c r="AP102" s="59">
        <f t="shared" si="113"/>
        <v>1067714044.2</v>
      </c>
      <c r="AQ102" s="45"/>
    </row>
    <row r="103" spans="1:43" x14ac:dyDescent="0.25">
      <c r="A103" s="37" t="s">
        <v>40</v>
      </c>
      <c r="B103" s="39"/>
      <c r="C103" s="39"/>
      <c r="D103" s="39"/>
      <c r="E103" s="39"/>
      <c r="F103" s="39"/>
      <c r="G103" s="39"/>
      <c r="H103" s="39"/>
      <c r="I103" s="39"/>
      <c r="J103" s="39"/>
      <c r="K103" s="39"/>
      <c r="L103" s="39"/>
      <c r="M103" s="39"/>
      <c r="N103" s="39"/>
      <c r="O103" s="39"/>
      <c r="P103" s="31">
        <f>SUM(P91,P93,P95,P97,P99,P101)</f>
        <v>1.2851625</v>
      </c>
      <c r="Q103" s="32">
        <f t="shared" ref="Q103:AF103" si="115">SUM(Q91,Q93,Q95,Q97,Q99,Q101)</f>
        <v>2.570325</v>
      </c>
      <c r="R103" s="32">
        <f t="shared" si="115"/>
        <v>5.1406499999999999</v>
      </c>
      <c r="S103" s="32">
        <f t="shared" si="115"/>
        <v>10.2813</v>
      </c>
      <c r="T103" s="32">
        <f t="shared" si="115"/>
        <v>20.5626</v>
      </c>
      <c r="U103" s="32">
        <f t="shared" si="115"/>
        <v>41.1252</v>
      </c>
      <c r="V103" s="32">
        <f t="shared" si="115"/>
        <v>82.250399999999999</v>
      </c>
      <c r="W103" s="32">
        <f t="shared" si="115"/>
        <v>164.5008</v>
      </c>
      <c r="X103" s="32">
        <f t="shared" si="115"/>
        <v>329.0016</v>
      </c>
      <c r="Y103" s="32">
        <f t="shared" si="115"/>
        <v>658.00319999999999</v>
      </c>
      <c r="Z103" s="32">
        <f t="shared" si="115"/>
        <v>1316.0064</v>
      </c>
      <c r="AA103" s="32">
        <f t="shared" si="115"/>
        <v>2632.0128</v>
      </c>
      <c r="AB103" s="32">
        <f t="shared" si="115"/>
        <v>5264.0255999999999</v>
      </c>
      <c r="AC103" s="32">
        <f t="shared" si="115"/>
        <v>10528.0512</v>
      </c>
      <c r="AD103" s="32">
        <f t="shared" si="115"/>
        <v>21056.1024</v>
      </c>
      <c r="AE103" s="32">
        <f t="shared" si="115"/>
        <v>42112.2048</v>
      </c>
      <c r="AF103" s="32">
        <f t="shared" si="115"/>
        <v>84224.409599999999</v>
      </c>
      <c r="AG103" s="32">
        <f t="shared" si="112"/>
        <v>168448.8192</v>
      </c>
      <c r="AH103" s="32">
        <f t="shared" si="112"/>
        <v>336897.6384</v>
      </c>
      <c r="AI103" s="32">
        <f t="shared" si="112"/>
        <v>673795.27679999999</v>
      </c>
      <c r="AJ103" s="32">
        <f t="shared" ref="AJ103:AP103" si="116">SUM(AJ91,AJ93,AJ95,AJ97,AJ99,AJ101)</f>
        <v>1347590.5536</v>
      </c>
      <c r="AK103" s="32">
        <f t="shared" si="116"/>
        <v>2695181.1072</v>
      </c>
      <c r="AL103" s="31">
        <f t="shared" si="116"/>
        <v>5390362.2143999999</v>
      </c>
      <c r="AM103" s="32">
        <f t="shared" si="116"/>
        <v>10780724.4288</v>
      </c>
      <c r="AN103" s="32">
        <f t="shared" ref="AN103" si="117">SUM(AN91,AN93,AN95,AN97,AN99,AN101)</f>
        <v>21561448.8576</v>
      </c>
      <c r="AO103" s="32">
        <f t="shared" si="116"/>
        <v>43122897.7152</v>
      </c>
      <c r="AP103" s="70">
        <f t="shared" si="116"/>
        <v>57252693.93119999</v>
      </c>
      <c r="AQ103" s="45"/>
    </row>
    <row r="107" spans="1:43" x14ac:dyDescent="0.25">
      <c r="E107" s="2"/>
    </row>
    <row r="108" spans="1:43" x14ac:dyDescent="0.25">
      <c r="E108" s="2"/>
    </row>
    <row r="110" spans="1:43" x14ac:dyDescent="0.25">
      <c r="E110" s="267"/>
    </row>
  </sheetData>
  <conditionalFormatting sqref="AN46:AQ46 P46:AJ46">
    <cfRule type="cellIs" dxfId="28" priority="38" operator="greaterThan">
      <formula>$C$25</formula>
    </cfRule>
  </conditionalFormatting>
  <conditionalFormatting sqref="P48:AK48 AN48:AP48">
    <cfRule type="cellIs" dxfId="27" priority="37" operator="greaterThan">
      <formula>$C$26</formula>
    </cfRule>
  </conditionalFormatting>
  <conditionalFormatting sqref="P67:AP67">
    <cfRule type="cellIs" dxfId="26" priority="36" operator="greaterThan">
      <formula>$C$67</formula>
    </cfRule>
  </conditionalFormatting>
  <conditionalFormatting sqref="P69:AP69">
    <cfRule type="cellIs" dxfId="25" priority="35" operator="greaterThan">
      <formula>$C$69</formula>
    </cfRule>
  </conditionalFormatting>
  <conditionalFormatting sqref="P71:AP71">
    <cfRule type="cellIs" dxfId="24" priority="34" operator="greaterThan">
      <formula>$C$71</formula>
    </cfRule>
  </conditionalFormatting>
  <conditionalFormatting sqref="P73:AP73">
    <cfRule type="cellIs" dxfId="23" priority="26" operator="greaterThan">
      <formula>$C$73</formula>
    </cfRule>
  </conditionalFormatting>
  <conditionalFormatting sqref="P75:AP75">
    <cfRule type="cellIs" dxfId="22" priority="25" operator="greaterThan">
      <formula>$C$75</formula>
    </cfRule>
  </conditionalFormatting>
  <conditionalFormatting sqref="P77:AP77">
    <cfRule type="cellIs" dxfId="21" priority="24" operator="greaterThan">
      <formula>$C$77</formula>
    </cfRule>
  </conditionalFormatting>
  <conditionalFormatting sqref="P79:AP79">
    <cfRule type="cellIs" dxfId="20" priority="23" operator="greaterThan">
      <formula>$C$79</formula>
    </cfRule>
  </conditionalFormatting>
  <conditionalFormatting sqref="P81:AP81">
    <cfRule type="cellIs" dxfId="19" priority="22" operator="greaterThan">
      <formula>$C$81</formula>
    </cfRule>
  </conditionalFormatting>
  <conditionalFormatting sqref="P83:AP83">
    <cfRule type="cellIs" dxfId="18" priority="21" operator="greaterThan">
      <formula>$C$83</formula>
    </cfRule>
  </conditionalFormatting>
  <conditionalFormatting sqref="P37:AK37 AN37:AP37">
    <cfRule type="cellIs" dxfId="17" priority="20" operator="equal">
      <formula>0</formula>
    </cfRule>
  </conditionalFormatting>
  <conditionalFormatting sqref="P44:AJ44 AN44:AP44 AN46:AP46 Q48:AK48 P46:AJ46 AN48:AP48">
    <cfRule type="cellIs" dxfId="16" priority="19" operator="equal">
      <formula>0</formula>
    </cfRule>
  </conditionalFormatting>
  <conditionalFormatting sqref="D67">
    <cfRule type="cellIs" dxfId="15" priority="16" operator="greaterThan">
      <formula>$B$67</formula>
    </cfRule>
  </conditionalFormatting>
  <conditionalFormatting sqref="D69">
    <cfRule type="cellIs" dxfId="14" priority="15" operator="greaterThan">
      <formula>$B$69</formula>
    </cfRule>
  </conditionalFormatting>
  <conditionalFormatting sqref="D71">
    <cfRule type="cellIs" dxfId="13" priority="14" operator="greaterThan">
      <formula>$B$71</formula>
    </cfRule>
  </conditionalFormatting>
  <conditionalFormatting sqref="D73">
    <cfRule type="cellIs" dxfId="12" priority="13" operator="greaterThan">
      <formula>$B$73</formula>
    </cfRule>
  </conditionalFormatting>
  <conditionalFormatting sqref="D75">
    <cfRule type="cellIs" dxfId="11" priority="12" operator="greaterThan">
      <formula>$B$75</formula>
    </cfRule>
  </conditionalFormatting>
  <conditionalFormatting sqref="D77">
    <cfRule type="cellIs" dxfId="10" priority="11" operator="greaterThan">
      <formula>$B$77</formula>
    </cfRule>
  </conditionalFormatting>
  <conditionalFormatting sqref="D79">
    <cfRule type="cellIs" dxfId="9" priority="10" operator="greaterThan">
      <formula>$B$79</formula>
    </cfRule>
  </conditionalFormatting>
  <conditionalFormatting sqref="D81">
    <cfRule type="cellIs" dxfId="8" priority="9" operator="greaterThan">
      <formula>$B$81</formula>
    </cfRule>
  </conditionalFormatting>
  <conditionalFormatting sqref="D83">
    <cfRule type="cellIs" dxfId="7" priority="8" operator="greaterThan">
      <formula>$B$83</formula>
    </cfRule>
  </conditionalFormatting>
  <conditionalFormatting sqref="AK44">
    <cfRule type="cellIs" dxfId="6" priority="7" operator="equal">
      <formula>0</formula>
    </cfRule>
  </conditionalFormatting>
  <conditionalFormatting sqref="AK46">
    <cfRule type="cellIs" dxfId="5" priority="6" operator="greaterThan">
      <formula>$C$25</formula>
    </cfRule>
  </conditionalFormatting>
  <conditionalFormatting sqref="AK46">
    <cfRule type="cellIs" dxfId="4" priority="5" operator="equal">
      <formula>0</formula>
    </cfRule>
  </conditionalFormatting>
  <conditionalFormatting sqref="AL46:AM46">
    <cfRule type="cellIs" dxfId="3" priority="4" operator="greaterThan">
      <formula>$C$25</formula>
    </cfRule>
  </conditionalFormatting>
  <conditionalFormatting sqref="AL48:AM48">
    <cfRule type="cellIs" dxfId="2" priority="3" operator="greaterThan">
      <formula>$C$26</formula>
    </cfRule>
  </conditionalFormatting>
  <conditionalFormatting sqref="AL37:AM37">
    <cfRule type="cellIs" dxfId="1" priority="2" operator="equal">
      <formula>0</formula>
    </cfRule>
  </conditionalFormatting>
  <conditionalFormatting sqref="AL44:AM44 AL48:AM48 AL46:AM46">
    <cfRule type="cellIs" dxfId="0" priority="1" operator="equal">
      <formula>0</formula>
    </cfRule>
  </conditionalFormatting>
  <hyperlinks>
    <hyperlink ref="E66" r:id="rId1" location="case-fatality-rate-of-covid-19-by-age" xr:uid="{0058192C-B05A-45D2-8597-C1F9B3D9241E}"/>
    <hyperlink ref="E89" r:id="rId2" location="case-fatality-rate-of-covid-19-by-preexisting-health-conditions" xr:uid="{110A2613-24A6-4768-B90C-571B307D13E2}"/>
    <hyperlink ref="A59" r:id="rId3" xr:uid="{168ADFE7-28CA-4E37-B04A-0F894FC4F702}"/>
    <hyperlink ref="A21" r:id="rId4" xr:uid="{C82EF781-DCE9-40F2-B400-788BB6410A85}"/>
    <hyperlink ref="F66" r:id="rId5" xr:uid="{503A7334-7FEF-4AE6-896F-53AD99C1BBA1}"/>
    <hyperlink ref="B23" r:id="rId6" display="https://cmmid.github.io/topics/covid19/severity/global_cfr_estimates.html" xr:uid="{BFBD0714-5129-4D5C-8C1E-3168F1985A4F}"/>
    <hyperlink ref="A22"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C7" sqref="C7"/>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117</v>
      </c>
      <c r="C3" s="152">
        <f>Projections!B21</f>
        <v>1392156000</v>
      </c>
      <c r="J3" s="2"/>
    </row>
    <row r="4" spans="2:10" x14ac:dyDescent="0.25">
      <c r="B4" s="169" t="s">
        <v>134</v>
      </c>
      <c r="C4" s="152">
        <f>Projections!P35</f>
        <v>31.25</v>
      </c>
      <c r="J4" s="2"/>
    </row>
    <row r="5" spans="2:10" x14ac:dyDescent="0.25">
      <c r="B5" s="169" t="s">
        <v>135</v>
      </c>
      <c r="C5" s="150">
        <f>Projections!P34</f>
        <v>43895</v>
      </c>
      <c r="J5" s="2"/>
    </row>
    <row r="6" spans="2:10" x14ac:dyDescent="0.25">
      <c r="B6" s="169" t="s">
        <v>118</v>
      </c>
      <c r="C6" s="152">
        <v>8184082</v>
      </c>
    </row>
    <row r="7" spans="2:10" x14ac:dyDescent="0.25">
      <c r="B7" s="169" t="s">
        <v>120</v>
      </c>
      <c r="C7" s="150">
        <f ca="1">NOW()</f>
        <v>44136.698564120372</v>
      </c>
    </row>
    <row r="8" spans="2:10" x14ac:dyDescent="0.25">
      <c r="B8" s="169" t="s">
        <v>136</v>
      </c>
      <c r="C8" s="151">
        <f ca="1">C7-C5</f>
        <v>241.69856412037188</v>
      </c>
    </row>
    <row r="9" spans="2:10" x14ac:dyDescent="0.25">
      <c r="B9" s="169" t="s">
        <v>119</v>
      </c>
      <c r="C9" s="153">
        <f ca="1">C8/(LOG(C6/C4)/LOG(2))</f>
        <v>13.428738819868531</v>
      </c>
      <c r="D9" t="s">
        <v>97</v>
      </c>
      <c r="F9" t="s">
        <v>137</v>
      </c>
    </row>
    <row r="10" spans="2:10" x14ac:dyDescent="0.25">
      <c r="B10" s="169" t="s">
        <v>124</v>
      </c>
      <c r="C10" s="152">
        <f>Projections!C25</f>
        <v>689882.90580000007</v>
      </c>
    </row>
    <row r="11" spans="2:10" x14ac:dyDescent="0.25">
      <c r="B11" s="170" t="s">
        <v>125</v>
      </c>
      <c r="C11" s="157">
        <f>Projections!C26</f>
        <v>47959.774200000007</v>
      </c>
    </row>
    <row r="12" spans="2:10" s="66" customFormat="1" x14ac:dyDescent="0.25">
      <c r="B12" s="61" t="s">
        <v>165</v>
      </c>
      <c r="C12" s="158">
        <f>C6/Projections!B23</f>
        <v>14322143.5</v>
      </c>
    </row>
    <row r="13" spans="2:10" s="66" customFormat="1" x14ac:dyDescent="0.25">
      <c r="B13" s="48" t="s">
        <v>166</v>
      </c>
      <c r="C13" s="159">
        <f ca="1">(C4/Projections!B23)*(2^(((C7-21)-C5)/C9))</f>
        <v>4844558.6145694954</v>
      </c>
    </row>
    <row r="14" spans="2:10" s="66" customFormat="1" x14ac:dyDescent="0.25">
      <c r="B14" s="49" t="s">
        <v>167</v>
      </c>
      <c r="C14" s="141">
        <f ca="1">C12-C13</f>
        <v>9477584.8854305036</v>
      </c>
      <c r="E14" s="155"/>
      <c r="F14" s="156" t="s">
        <v>141</v>
      </c>
      <c r="G14" s="154"/>
    </row>
    <row r="15" spans="2:10" x14ac:dyDescent="0.25">
      <c r="B15" s="4" t="s">
        <v>138</v>
      </c>
      <c r="C15" s="63">
        <f>C6*Projections!B27</f>
        <v>6629106.4200000009</v>
      </c>
      <c r="I15" s="149"/>
    </row>
    <row r="16" spans="2:10" x14ac:dyDescent="0.25">
      <c r="B16" s="41" t="s">
        <v>148</v>
      </c>
      <c r="C16" s="77">
        <f ca="1">(C4*Projections!B27)*(2^(((C7-21)-C5)/C9))</f>
        <v>2242338.5587435951</v>
      </c>
      <c r="I16" s="149"/>
    </row>
    <row r="17" spans="2:9" x14ac:dyDescent="0.25">
      <c r="B17" s="41" t="s">
        <v>139</v>
      </c>
      <c r="C17" s="77">
        <f ca="1">C15-C16</f>
        <v>4386767.8612564057</v>
      </c>
      <c r="F17" t="s">
        <v>142</v>
      </c>
      <c r="I17" s="149"/>
    </row>
    <row r="18" spans="2:9" x14ac:dyDescent="0.25">
      <c r="B18" s="4" t="s">
        <v>144</v>
      </c>
      <c r="C18" s="63">
        <f>C6*Projections!B28</f>
        <v>1145771.4800000002</v>
      </c>
    </row>
    <row r="19" spans="2:9" x14ac:dyDescent="0.25">
      <c r="B19" s="41" t="s">
        <v>149</v>
      </c>
      <c r="C19" s="77">
        <f ca="1">(C4*Projections!B28)*(2^(((C7-49)-C5)/C9))</f>
        <v>91342.408856104463</v>
      </c>
    </row>
    <row r="20" spans="2:9" x14ac:dyDescent="0.25">
      <c r="B20" s="41" t="s">
        <v>143</v>
      </c>
      <c r="C20" s="77">
        <f ca="1">C18-C19</f>
        <v>1054429.0711438959</v>
      </c>
      <c r="F20" t="s">
        <v>147</v>
      </c>
    </row>
    <row r="21" spans="2:9" x14ac:dyDescent="0.25">
      <c r="B21" s="4" t="s">
        <v>145</v>
      </c>
      <c r="C21" s="63">
        <f>C6*Projections!B29</f>
        <v>409204.10000000003</v>
      </c>
      <c r="I21" s="149"/>
    </row>
    <row r="22" spans="2:9" x14ac:dyDescent="0.25">
      <c r="B22" s="41" t="s">
        <v>150</v>
      </c>
      <c r="C22" s="77">
        <f ca="1">(C4*Projections!B29)*(2^(((C7-49)-C5)/C9))</f>
        <v>32622.288877180166</v>
      </c>
      <c r="I22" s="149"/>
    </row>
    <row r="23" spans="2:9" x14ac:dyDescent="0.25">
      <c r="B23" s="41" t="s">
        <v>146</v>
      </c>
      <c r="C23" s="77">
        <f ca="1">C21-C22</f>
        <v>376581.8111228199</v>
      </c>
      <c r="I23" s="149"/>
    </row>
    <row r="24" spans="2:9" x14ac:dyDescent="0.25">
      <c r="B24" s="4" t="s">
        <v>151</v>
      </c>
      <c r="C24" s="63">
        <f>C6*Projections!B30</f>
        <v>143221.43500000003</v>
      </c>
    </row>
    <row r="25" spans="2:9" x14ac:dyDescent="0.25">
      <c r="B25" s="37" t="s">
        <v>152</v>
      </c>
      <c r="C25" s="60">
        <f ca="1">(C4*Projections!B30)*(2^(((C7-42)-C5)/C9))</f>
        <v>16387.036039681887</v>
      </c>
      <c r="F25" t="s">
        <v>153</v>
      </c>
    </row>
    <row r="26" spans="2:9" x14ac:dyDescent="0.25">
      <c r="B26" s="41" t="s">
        <v>129</v>
      </c>
      <c r="C26" s="162">
        <f ca="1">C9*(LOG(C10/C21)/LOG(2))</f>
        <v>10.118969824592202</v>
      </c>
      <c r="D26" t="s">
        <v>97</v>
      </c>
      <c r="F26" s="66" t="s">
        <v>154</v>
      </c>
    </row>
    <row r="27" spans="2:9" x14ac:dyDescent="0.25">
      <c r="B27" s="37" t="s">
        <v>126</v>
      </c>
      <c r="C27" s="161">
        <f ca="1">C7+C26</f>
        <v>44146.817533944966</v>
      </c>
      <c r="F27" t="s">
        <v>155</v>
      </c>
    </row>
    <row r="28" spans="2:9" x14ac:dyDescent="0.25">
      <c r="B28" s="4" t="s">
        <v>130</v>
      </c>
      <c r="C28" s="160">
        <f ca="1">C9*(LOG(C11/C21)/LOG(2))</f>
        <v>-41.534066284767007</v>
      </c>
      <c r="D28" t="s">
        <v>97</v>
      </c>
    </row>
    <row r="29" spans="2:9" x14ac:dyDescent="0.25">
      <c r="B29" s="37" t="s">
        <v>127</v>
      </c>
      <c r="C29" s="161">
        <f ca="1">C7+C28</f>
        <v>44095.164497835605</v>
      </c>
      <c r="F29" t="s">
        <v>155</v>
      </c>
    </row>
    <row r="30" spans="2:9" x14ac:dyDescent="0.25">
      <c r="B30" s="4" t="s">
        <v>131</v>
      </c>
      <c r="C30" s="160">
        <f ca="1">C9*(LOG((C3*0.6)/C12)/LOG(2))</f>
        <v>78.772499177557435</v>
      </c>
      <c r="D30" t="s">
        <v>97</v>
      </c>
    </row>
    <row r="31" spans="2:9" x14ac:dyDescent="0.25">
      <c r="B31" s="37" t="s">
        <v>128</v>
      </c>
      <c r="C31" s="161">
        <f ca="1">C7+C30</f>
        <v>44215.471063297926</v>
      </c>
    </row>
    <row r="34" spans="2:6" x14ac:dyDescent="0.25">
      <c r="B34" s="4" t="s">
        <v>132</v>
      </c>
      <c r="C34" s="150">
        <f ca="1">C7+30</f>
        <v>44166.698564120372</v>
      </c>
      <c r="F34" t="s">
        <v>168</v>
      </c>
    </row>
    <row r="35" spans="2:6" x14ac:dyDescent="0.25">
      <c r="B35" s="41" t="s">
        <v>133</v>
      </c>
      <c r="C35" s="77">
        <f ca="1">C6*(2^((C34-C7)/C9))</f>
        <v>38501301.372329511</v>
      </c>
      <c r="F35" t="s">
        <v>140</v>
      </c>
    </row>
    <row r="36" spans="2:6" x14ac:dyDescent="0.25">
      <c r="B36" s="41" t="s">
        <v>174</v>
      </c>
      <c r="C36" s="77">
        <f ca="1">C35/Projections!B23</f>
        <v>67377277.401576653</v>
      </c>
    </row>
    <row r="37" spans="2:6" x14ac:dyDescent="0.25">
      <c r="B37" s="41" t="s">
        <v>73</v>
      </c>
      <c r="C37" s="77">
        <f ca="1">C35*Projections!B27</f>
        <v>31186054.111586906</v>
      </c>
    </row>
    <row r="38" spans="2:6" x14ac:dyDescent="0.25">
      <c r="B38" s="41" t="s">
        <v>121</v>
      </c>
      <c r="C38" s="77">
        <f ca="1">C35*Projections!B28</f>
        <v>5390182.1921261316</v>
      </c>
    </row>
    <row r="39" spans="2:6" x14ac:dyDescent="0.25">
      <c r="B39" s="41" t="s">
        <v>122</v>
      </c>
      <c r="C39" s="77">
        <f ca="1">C35*Projections!B29</f>
        <v>1925065.0686164757</v>
      </c>
    </row>
    <row r="40" spans="2:6" x14ac:dyDescent="0.25">
      <c r="B40" s="37" t="s">
        <v>123</v>
      </c>
      <c r="C40" s="60">
        <f ca="1">C35*Projections!B30</f>
        <v>673772.77401576645</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184</v>
      </c>
    </row>
    <row r="2" spans="1:4" x14ac:dyDescent="0.25">
      <c r="A2" s="237" t="s">
        <v>183</v>
      </c>
      <c r="B2" t="s">
        <v>46</v>
      </c>
      <c r="D2" t="s">
        <v>185</v>
      </c>
    </row>
    <row r="3" spans="1:4" x14ac:dyDescent="0.25">
      <c r="A3" s="240" t="s">
        <v>21</v>
      </c>
      <c r="B3" s="241">
        <v>112806778</v>
      </c>
      <c r="C3" s="242"/>
      <c r="D3" s="5"/>
    </row>
    <row r="4" spans="1:4" x14ac:dyDescent="0.25">
      <c r="A4" s="243" t="s">
        <v>22</v>
      </c>
      <c r="B4" s="244">
        <v>126928126</v>
      </c>
      <c r="C4" s="244">
        <f>SUM(B3:B4)</f>
        <v>239734904</v>
      </c>
      <c r="D4" s="245">
        <f>C4/$B$25</f>
        <v>0.19798812289970874</v>
      </c>
    </row>
    <row r="5" spans="1:4" x14ac:dyDescent="0.25">
      <c r="A5" s="240" t="s">
        <v>23</v>
      </c>
      <c r="B5" s="241">
        <v>132709212</v>
      </c>
      <c r="C5" s="242"/>
      <c r="D5" s="5"/>
    </row>
    <row r="6" spans="1:4" x14ac:dyDescent="0.25">
      <c r="A6" s="243" t="s">
        <v>24</v>
      </c>
      <c r="B6" s="244">
        <v>120526449</v>
      </c>
      <c r="C6" s="244">
        <f>SUM(B5:B6)</f>
        <v>253235661</v>
      </c>
      <c r="D6" s="245">
        <f>C6/$B$25</f>
        <v>0.20913789496692137</v>
      </c>
    </row>
    <row r="7" spans="1:4" x14ac:dyDescent="0.25">
      <c r="A7" s="240" t="s">
        <v>25</v>
      </c>
      <c r="B7" s="241">
        <v>111424222</v>
      </c>
      <c r="C7" s="242"/>
      <c r="D7" s="5"/>
    </row>
    <row r="8" spans="1:4" x14ac:dyDescent="0.25">
      <c r="A8" s="243" t="s">
        <v>26</v>
      </c>
      <c r="B8" s="244">
        <v>101413965</v>
      </c>
      <c r="C8" s="244">
        <f>SUM(B7:B8)</f>
        <v>212838187</v>
      </c>
      <c r="D8" s="245">
        <f>C8/$B$25</f>
        <v>0.17577512670206416</v>
      </c>
    </row>
    <row r="9" spans="1:4" x14ac:dyDescent="0.25">
      <c r="A9" s="240" t="s">
        <v>27</v>
      </c>
      <c r="B9" s="241">
        <v>88594951</v>
      </c>
      <c r="C9" s="242"/>
      <c r="D9" s="5"/>
    </row>
    <row r="10" spans="1:4" x14ac:dyDescent="0.25">
      <c r="A10" s="243" t="s">
        <v>28</v>
      </c>
      <c r="B10" s="244">
        <v>85140684</v>
      </c>
      <c r="C10" s="244">
        <f>SUM(B9:B10)</f>
        <v>173735635</v>
      </c>
      <c r="D10" s="245">
        <f>C10/$B$25</f>
        <v>0.14348178625853722</v>
      </c>
    </row>
    <row r="11" spans="1:4" x14ac:dyDescent="0.25">
      <c r="A11" s="240" t="s">
        <v>29</v>
      </c>
      <c r="B11" s="241">
        <v>72438112</v>
      </c>
      <c r="C11" s="242"/>
      <c r="D11" s="5"/>
    </row>
    <row r="12" spans="1:4" x14ac:dyDescent="0.25">
      <c r="A12" s="243" t="s">
        <v>30</v>
      </c>
      <c r="B12" s="244">
        <v>62318327</v>
      </c>
      <c r="C12" s="244">
        <f>SUM(B11:B12)</f>
        <v>134756439</v>
      </c>
      <c r="D12" s="245">
        <f>C12/$B$25</f>
        <v>0.11129032093824395</v>
      </c>
    </row>
    <row r="13" spans="1:4" x14ac:dyDescent="0.25">
      <c r="A13" s="240" t="s">
        <v>31</v>
      </c>
      <c r="B13" s="241">
        <v>49069254</v>
      </c>
      <c r="C13" s="242"/>
      <c r="D13" s="5"/>
    </row>
    <row r="14" spans="1:4" x14ac:dyDescent="0.25">
      <c r="A14" s="243" t="s">
        <v>32</v>
      </c>
      <c r="B14" s="244">
        <v>39146055</v>
      </c>
      <c r="C14" s="244">
        <f>SUM(B13:B14)</f>
        <v>88215309</v>
      </c>
      <c r="D14" s="245">
        <f>C14/$B$25</f>
        <v>7.2853736141516481E-2</v>
      </c>
    </row>
    <row r="15" spans="1:4" x14ac:dyDescent="0.25">
      <c r="A15" s="240" t="s">
        <v>33</v>
      </c>
      <c r="B15" s="241">
        <v>37663707</v>
      </c>
      <c r="C15" s="242"/>
      <c r="D15" s="5"/>
    </row>
    <row r="16" spans="1:4" x14ac:dyDescent="0.25">
      <c r="A16" s="243" t="s">
        <v>34</v>
      </c>
      <c r="B16" s="244">
        <v>26454983</v>
      </c>
      <c r="C16" s="244">
        <f>SUM(B15:B16)</f>
        <v>64118690</v>
      </c>
      <c r="D16" s="245">
        <f>C16/$B$25</f>
        <v>5.2953236529497287E-2</v>
      </c>
    </row>
    <row r="17" spans="1:4" x14ac:dyDescent="0.25">
      <c r="A17" s="240" t="s">
        <v>35</v>
      </c>
      <c r="B17" s="241">
        <v>19208842</v>
      </c>
      <c r="C17" s="242"/>
      <c r="D17" s="5"/>
    </row>
    <row r="18" spans="1:4" x14ac:dyDescent="0.25">
      <c r="A18" s="246" t="s">
        <v>36</v>
      </c>
      <c r="B18" s="247">
        <v>9232503</v>
      </c>
      <c r="C18" s="247">
        <f>SUM(B17:B18)</f>
        <v>28441345</v>
      </c>
      <c r="D18" s="211">
        <f>C18/$B$25</f>
        <v>2.3488646898463382E-2</v>
      </c>
    </row>
    <row r="19" spans="1:4" x14ac:dyDescent="0.25">
      <c r="A19" s="240" t="s">
        <v>37</v>
      </c>
      <c r="B19" s="241">
        <v>6220229</v>
      </c>
      <c r="C19" s="242"/>
      <c r="D19" s="5"/>
    </row>
    <row r="20" spans="1:4" x14ac:dyDescent="0.25">
      <c r="A20" s="246" t="s">
        <v>178</v>
      </c>
      <c r="B20" s="247">
        <v>2383167</v>
      </c>
      <c r="C20" s="247"/>
      <c r="D20" s="211"/>
    </row>
    <row r="21" spans="1:4" x14ac:dyDescent="0.25">
      <c r="A21" s="246" t="s">
        <v>179</v>
      </c>
      <c r="B21" s="247">
        <v>1446534</v>
      </c>
      <c r="C21" s="248"/>
      <c r="D21" s="17"/>
    </row>
    <row r="22" spans="1:4" x14ac:dyDescent="0.25">
      <c r="A22" s="246" t="s">
        <v>180</v>
      </c>
      <c r="B22" s="247">
        <v>633297</v>
      </c>
      <c r="C22" s="248"/>
      <c r="D22" s="17"/>
    </row>
    <row r="23" spans="1:4" x14ac:dyDescent="0.25">
      <c r="A23" s="243" t="s">
        <v>181</v>
      </c>
      <c r="B23" s="244">
        <v>605778</v>
      </c>
      <c r="C23" s="244">
        <f>SUM(B19:B23)</f>
        <v>11289005</v>
      </c>
      <c r="D23" s="245">
        <f>C23/$B$25</f>
        <v>9.323168516819004E-3</v>
      </c>
    </row>
    <row r="24" spans="1:4" x14ac:dyDescent="0.25">
      <c r="A24" s="243" t="s">
        <v>182</v>
      </c>
      <c r="B24" s="244">
        <v>4489802</v>
      </c>
      <c r="C24" s="249"/>
      <c r="D24" s="245">
        <f>B24/B25</f>
        <v>3.7079601482283868E-3</v>
      </c>
    </row>
    <row r="25" spans="1:4" x14ac:dyDescent="0.25">
      <c r="A25" s="238" t="s">
        <v>46</v>
      </c>
      <c r="B25" s="239">
        <f>SUM(B3:B24)</f>
        <v>1210854977</v>
      </c>
    </row>
    <row r="26" spans="1:4" x14ac:dyDescent="0.25">
      <c r="A26" s="217"/>
    </row>
    <row r="27" spans="1:4" x14ac:dyDescent="0.25">
      <c r="A27" s="218"/>
    </row>
    <row r="28" spans="1:4" x14ac:dyDescent="0.25">
      <c r="A28" s="217"/>
    </row>
    <row r="29" spans="1:4" x14ac:dyDescent="0.25">
      <c r="A29" s="218"/>
    </row>
    <row r="30" spans="1:4" x14ac:dyDescent="0.25">
      <c r="A30" s="217"/>
    </row>
    <row r="31" spans="1:4" x14ac:dyDescent="0.25">
      <c r="A31" s="218"/>
    </row>
    <row r="32" spans="1:4" x14ac:dyDescent="0.25">
      <c r="A32" s="217"/>
    </row>
    <row r="33" spans="1:1" x14ac:dyDescent="0.25">
      <c r="A33" s="218"/>
    </row>
    <row r="34" spans="1:1" x14ac:dyDescent="0.25">
      <c r="A34" s="217"/>
    </row>
    <row r="35" spans="1:1" x14ac:dyDescent="0.25">
      <c r="A35" s="218"/>
    </row>
    <row r="36" spans="1:1" x14ac:dyDescent="0.25">
      <c r="A36" s="217"/>
    </row>
    <row r="37" spans="1:1" x14ac:dyDescent="0.25">
      <c r="A37" s="218"/>
    </row>
    <row r="38" spans="1:1" x14ac:dyDescent="0.25">
      <c r="A38" s="217"/>
    </row>
    <row r="39" spans="1:1" x14ac:dyDescent="0.25">
      <c r="A39" s="218"/>
    </row>
    <row r="40" spans="1:1" x14ac:dyDescent="0.25">
      <c r="A40" s="217"/>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61" t="s">
        <v>187</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2020-11-01T05:45:56Z</dcterms:modified>
</cp:coreProperties>
</file>