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4C6FD38A-20EC-4ADF-BED1-0BEFAAE8F9FC}" xr6:coauthVersionLast="45" xr6:coauthVersionMax="45" xr10:uidLastSave="{00000000-0000-0000-0000-000000000000}"/>
  <bookViews>
    <workbookView xWindow="6915" yWindow="3855" windowWidth="28800" windowHeight="15435"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8" i="1" l="1"/>
  <c r="AM76" i="1" l="1"/>
  <c r="M103" i="1"/>
  <c r="N103" i="1"/>
  <c r="O103" i="1"/>
  <c r="P103" i="1"/>
  <c r="Q103" i="1"/>
  <c r="R103" i="1"/>
  <c r="S103" i="1"/>
  <c r="T103" i="1"/>
  <c r="U103" i="1"/>
  <c r="V103" i="1"/>
  <c r="W103" i="1"/>
  <c r="X103" i="1"/>
  <c r="Y103" i="1"/>
  <c r="Z103" i="1"/>
  <c r="L103" i="1"/>
  <c r="AD100" i="1"/>
  <c r="E34" i="4" l="1"/>
  <c r="C45" i="4"/>
  <c r="AO80" i="1" l="1"/>
  <c r="AO77" i="1"/>
  <c r="AO76" i="1" s="1"/>
  <c r="AO84" i="1" s="1"/>
  <c r="AL80" i="1"/>
  <c r="AM80" i="1"/>
  <c r="AK80" i="1"/>
  <c r="AO82" i="1" l="1"/>
  <c r="AO81" i="1"/>
  <c r="C5" i="5"/>
  <c r="C4" i="5"/>
  <c r="B124" i="1"/>
  <c r="B120" i="1"/>
  <c r="B122" i="1"/>
  <c r="B118" i="1"/>
  <c r="B116" i="1"/>
  <c r="B114" i="1"/>
  <c r="B112" i="1"/>
  <c r="B110" i="1"/>
  <c r="B108"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M75" i="1"/>
  <c r="L99" i="1"/>
  <c r="N75" i="1" l="1"/>
  <c r="M101" i="1"/>
  <c r="O75" i="1" l="1"/>
  <c r="M99" i="1"/>
  <c r="L101" i="1"/>
  <c r="L98" i="1"/>
  <c r="P75" i="1" l="1"/>
  <c r="N99" i="1"/>
  <c r="L86" i="1"/>
  <c r="L87" i="1" s="1"/>
  <c r="L88" i="1"/>
  <c r="L89" i="1" s="1"/>
  <c r="AE100" i="1"/>
  <c r="AF100" i="1" s="1"/>
  <c r="AG100" i="1" s="1"/>
  <c r="AH100" i="1" s="1"/>
  <c r="AI100" i="1" s="1"/>
  <c r="AJ100" i="1" s="1"/>
  <c r="AK100" i="1" s="1"/>
  <c r="AL100" i="1" s="1"/>
  <c r="AM100" i="1" s="1"/>
  <c r="Q75" i="1" l="1"/>
  <c r="O99" i="1"/>
  <c r="L84" i="1"/>
  <c r="L85" i="1" s="1"/>
  <c r="L80" i="1"/>
  <c r="L82" i="1" s="1"/>
  <c r="L83" i="1" s="1"/>
  <c r="C12" i="5"/>
  <c r="C7" i="5"/>
  <c r="C8" i="5" s="1"/>
  <c r="C9" i="5" s="1"/>
  <c r="C21" i="5"/>
  <c r="C18" i="5"/>
  <c r="C15" i="5"/>
  <c r="C24" i="5"/>
  <c r="C3" i="5"/>
  <c r="R75" i="1" l="1"/>
  <c r="C30" i="5"/>
  <c r="L81" i="1"/>
  <c r="P99" i="1"/>
  <c r="L78" i="1"/>
  <c r="L79" i="1" s="1"/>
  <c r="C34" i="5"/>
  <c r="S75" i="1" l="1"/>
  <c r="Q99" i="1"/>
  <c r="C13" i="5"/>
  <c r="C14" i="5" s="1"/>
  <c r="AN76" i="1"/>
  <c r="L94" i="1"/>
  <c r="L92" i="1"/>
  <c r="L95" i="1"/>
  <c r="L93" i="1"/>
  <c r="AO100" i="1" l="1"/>
  <c r="AN100" i="1"/>
  <c r="T75" i="1"/>
  <c r="AN133" i="1"/>
  <c r="AN134" i="1" s="1"/>
  <c r="AN131" i="1"/>
  <c r="AN137" i="1"/>
  <c r="AN138" i="1" s="1"/>
  <c r="AN141" i="1"/>
  <c r="AN135" i="1"/>
  <c r="AN136" i="1" s="1"/>
  <c r="AN139" i="1"/>
  <c r="AN140" i="1" s="1"/>
  <c r="R99" i="1"/>
  <c r="AN77" i="1"/>
  <c r="AO90" i="1"/>
  <c r="AO88" i="1"/>
  <c r="AO86" i="1"/>
  <c r="AN84" i="1"/>
  <c r="AN80" i="1"/>
  <c r="AN82" i="1" s="1"/>
  <c r="C22" i="5"/>
  <c r="C23" i="5" s="1"/>
  <c r="C35" i="5"/>
  <c r="C40" i="5" s="1"/>
  <c r="C25" i="5"/>
  <c r="C19" i="5"/>
  <c r="C20" i="5" s="1"/>
  <c r="C16" i="5"/>
  <c r="C17" i="5" s="1"/>
  <c r="C31" i="5"/>
  <c r="AP25" i="4"/>
  <c r="E31" i="4"/>
  <c r="B17" i="4" s="1"/>
  <c r="K20" i="4" l="1"/>
  <c r="B18" i="4"/>
  <c r="B19" i="4" s="1"/>
  <c r="U75" i="1"/>
  <c r="AN132" i="1"/>
  <c r="AN144" i="1" s="1"/>
  <c r="AN143"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V75" i="1"/>
  <c r="E18" i="4"/>
  <c r="K21" i="4" s="1"/>
  <c r="N20" i="4"/>
  <c r="H17" i="4"/>
  <c r="L131" i="1"/>
  <c r="L132" i="1" s="1"/>
  <c r="W75" i="1" l="1"/>
  <c r="E19" i="4"/>
  <c r="Q20" i="4"/>
  <c r="H18" i="4"/>
  <c r="N22" i="4" s="1"/>
  <c r="K17" i="4"/>
  <c r="Y24" i="4"/>
  <c r="B14" i="3"/>
  <c r="X75" i="1" l="1"/>
  <c r="H19" i="4"/>
  <c r="T20" i="4"/>
  <c r="K18" i="4"/>
  <c r="K19" i="4" s="1"/>
  <c r="N21" i="4"/>
  <c r="AB24" i="4" s="1"/>
  <c r="N17" i="4"/>
  <c r="Y75" i="1" l="1"/>
  <c r="Q17" i="4"/>
  <c r="T17" i="4" s="1"/>
  <c r="W20" i="4"/>
  <c r="N18" i="4"/>
  <c r="N19" i="4" s="1"/>
  <c r="Q21" i="4"/>
  <c r="AE24" i="4" s="1"/>
  <c r="Q22" i="4"/>
  <c r="Z75" i="1" l="1"/>
  <c r="T18" i="4"/>
  <c r="T19" i="4" s="1"/>
  <c r="AC20" i="4"/>
  <c r="Z20" i="4"/>
  <c r="Q18" i="4"/>
  <c r="Q19" i="4" s="1"/>
  <c r="T21" i="4"/>
  <c r="AH24" i="4" s="1"/>
  <c r="T22" i="4"/>
  <c r="T23" i="4"/>
  <c r="W17" i="4"/>
  <c r="W21" i="4" l="1"/>
  <c r="AK24" i="4" s="1"/>
  <c r="W23" i="4"/>
  <c r="AD75" i="1"/>
  <c r="AD101" i="1" s="1"/>
  <c r="W18" i="4"/>
  <c r="W19" i="4" s="1"/>
  <c r="AF20" i="4"/>
  <c r="W22" i="4"/>
  <c r="Z21" i="4"/>
  <c r="AN24" i="4" s="1"/>
  <c r="Z23" i="4"/>
  <c r="Z22" i="4"/>
  <c r="Z17" i="4"/>
  <c r="C141" i="1"/>
  <c r="C139" i="1"/>
  <c r="C137" i="1"/>
  <c r="C135" i="1"/>
  <c r="C133" i="1"/>
  <c r="C131" i="1"/>
  <c r="L90" i="1"/>
  <c r="C5" i="3"/>
  <c r="D110" i="1" s="1"/>
  <c r="AB75" i="1" l="1"/>
  <c r="AA75" i="1"/>
  <c r="AC75" i="1"/>
  <c r="AE75" i="1"/>
  <c r="Z18" i="4"/>
  <c r="Z19" i="4" s="1"/>
  <c r="AI20" i="4"/>
  <c r="AN110" i="1"/>
  <c r="AN111" i="1"/>
  <c r="AC21" i="4"/>
  <c r="AC22" i="4"/>
  <c r="AC23" i="4"/>
  <c r="AC17" i="4"/>
  <c r="AN90" i="1"/>
  <c r="C7" i="3"/>
  <c r="D114" i="1" s="1"/>
  <c r="C4" i="3"/>
  <c r="D108" i="1" s="1"/>
  <c r="C12" i="3"/>
  <c r="D124" i="1" s="1"/>
  <c r="C11" i="3"/>
  <c r="D122" i="1" s="1"/>
  <c r="C10" i="3"/>
  <c r="D120" i="1" s="1"/>
  <c r="C9" i="3"/>
  <c r="D118" i="1" s="1"/>
  <c r="C8" i="3"/>
  <c r="D116" i="1" s="1"/>
  <c r="C6" i="3"/>
  <c r="D112" i="1" s="1"/>
  <c r="C66" i="1"/>
  <c r="C10" i="5" s="1"/>
  <c r="C26" i="5" s="1"/>
  <c r="C27" i="5" s="1"/>
  <c r="C67" i="1"/>
  <c r="C11" i="5" s="1"/>
  <c r="C28" i="5" s="1"/>
  <c r="C29" i="5" s="1"/>
  <c r="L111" i="1"/>
  <c r="L141" i="1"/>
  <c r="L139" i="1"/>
  <c r="L137" i="1"/>
  <c r="L138" i="1" s="1"/>
  <c r="L135" i="1"/>
  <c r="L136" i="1" s="1"/>
  <c r="L133" i="1"/>
  <c r="L134" i="1" s="1"/>
  <c r="C110" i="1"/>
  <c r="C112" i="1"/>
  <c r="C114" i="1"/>
  <c r="C116" i="1"/>
  <c r="C118" i="1"/>
  <c r="C120" i="1"/>
  <c r="C122" i="1"/>
  <c r="C124" i="1"/>
  <c r="C108" i="1"/>
  <c r="L77" i="1"/>
  <c r="M76" i="1"/>
  <c r="AA98" i="1" l="1"/>
  <c r="AA99" i="1"/>
  <c r="AC99" i="1"/>
  <c r="AC98" i="1"/>
  <c r="AB99" i="1"/>
  <c r="AB98" i="1"/>
  <c r="AA101" i="1"/>
  <c r="AC101" i="1"/>
  <c r="AB101" i="1"/>
  <c r="AF75" i="1"/>
  <c r="AN108" i="1"/>
  <c r="AN109" i="1"/>
  <c r="AL20" i="4"/>
  <c r="AC18" i="4"/>
  <c r="AC19" i="4" s="1"/>
  <c r="AN120" i="1"/>
  <c r="AN121" i="1"/>
  <c r="AN113" i="1"/>
  <c r="AN112" i="1"/>
  <c r="AN116" i="1"/>
  <c r="AN117" i="1"/>
  <c r="AN123" i="1"/>
  <c r="AN122" i="1"/>
  <c r="AN115" i="1"/>
  <c r="AN114" i="1"/>
  <c r="AN119" i="1"/>
  <c r="AN118" i="1"/>
  <c r="L125" i="1"/>
  <c r="AN125" i="1"/>
  <c r="AN124" i="1"/>
  <c r="M88" i="1"/>
  <c r="M89" i="1" s="1"/>
  <c r="M84" i="1"/>
  <c r="M85" i="1" s="1"/>
  <c r="M92" i="1"/>
  <c r="M95" i="1"/>
  <c r="M98" i="1"/>
  <c r="M93" i="1"/>
  <c r="M94" i="1"/>
  <c r="M80" i="1"/>
  <c r="AF22" i="4"/>
  <c r="AF23" i="4"/>
  <c r="AF21" i="4"/>
  <c r="AF17" i="4"/>
  <c r="L109" i="1"/>
  <c r="L108" i="1"/>
  <c r="L117" i="1"/>
  <c r="L116" i="1"/>
  <c r="L120" i="1"/>
  <c r="L119" i="1"/>
  <c r="L122" i="1"/>
  <c r="L112" i="1"/>
  <c r="N76" i="1"/>
  <c r="M135" i="1"/>
  <c r="M136" i="1" s="1"/>
  <c r="L113" i="1"/>
  <c r="M124" i="1"/>
  <c r="M133" i="1"/>
  <c r="M134" i="1" s="1"/>
  <c r="L121" i="1"/>
  <c r="M122" i="1"/>
  <c r="M141" i="1"/>
  <c r="L110" i="1"/>
  <c r="L118" i="1"/>
  <c r="M139" i="1"/>
  <c r="M140" i="1" s="1"/>
  <c r="M137" i="1"/>
  <c r="M138" i="1" s="1"/>
  <c r="M120" i="1"/>
  <c r="M113" i="1"/>
  <c r="M117" i="1"/>
  <c r="M121" i="1"/>
  <c r="M125" i="1"/>
  <c r="L143" i="1"/>
  <c r="M131" i="1"/>
  <c r="M132" i="1" s="1"/>
  <c r="L114" i="1"/>
  <c r="M110" i="1"/>
  <c r="L115" i="1"/>
  <c r="L123" i="1"/>
  <c r="M114" i="1"/>
  <c r="M111" i="1"/>
  <c r="M118" i="1"/>
  <c r="L124" i="1"/>
  <c r="M108" i="1"/>
  <c r="M115" i="1"/>
  <c r="M119" i="1"/>
  <c r="M123" i="1"/>
  <c r="M112" i="1"/>
  <c r="M109" i="1"/>
  <c r="M116" i="1"/>
  <c r="L140" i="1"/>
  <c r="L144" i="1" s="1"/>
  <c r="M77" i="1"/>
  <c r="M90" i="1"/>
  <c r="N84" i="1" l="1"/>
  <c r="N85" i="1" s="1"/>
  <c r="AG75" i="1"/>
  <c r="AH75" i="1" s="1"/>
  <c r="AO20" i="4"/>
  <c r="AF18" i="4"/>
  <c r="AF19" i="4" s="1"/>
  <c r="AN127" i="1"/>
  <c r="AN126" i="1"/>
  <c r="N133" i="1"/>
  <c r="N134" i="1" s="1"/>
  <c r="N114" i="1"/>
  <c r="N88" i="1"/>
  <c r="N89" i="1" s="1"/>
  <c r="N139" i="1"/>
  <c r="N140" i="1" s="1"/>
  <c r="N110" i="1"/>
  <c r="N109" i="1"/>
  <c r="N131" i="1"/>
  <c r="N132" i="1" s="1"/>
  <c r="N111" i="1"/>
  <c r="N77" i="1"/>
  <c r="M81" i="1"/>
  <c r="M82" i="1"/>
  <c r="M83" i="1" s="1"/>
  <c r="N101" i="1"/>
  <c r="O76" i="1"/>
  <c r="N80" i="1"/>
  <c r="N90" i="1"/>
  <c r="N124" i="1"/>
  <c r="N123" i="1"/>
  <c r="N135" i="1"/>
  <c r="N136" i="1" s="1"/>
  <c r="N119" i="1"/>
  <c r="N118" i="1"/>
  <c r="N94" i="1"/>
  <c r="N92" i="1"/>
  <c r="N95" i="1"/>
  <c r="N98" i="1"/>
  <c r="N93" i="1"/>
  <c r="AI23" i="4"/>
  <c r="AI21" i="4"/>
  <c r="AI22" i="4"/>
  <c r="AI17" i="4"/>
  <c r="AI18" i="4" s="1"/>
  <c r="L127" i="1"/>
  <c r="M127" i="1"/>
  <c r="N121" i="1"/>
  <c r="N120" i="1"/>
  <c r="N116" i="1"/>
  <c r="N113" i="1"/>
  <c r="N115" i="1"/>
  <c r="N108" i="1"/>
  <c r="N117" i="1"/>
  <c r="N122" i="1"/>
  <c r="N141" i="1"/>
  <c r="N112" i="1"/>
  <c r="N137" i="1"/>
  <c r="N138" i="1" s="1"/>
  <c r="N125" i="1"/>
  <c r="M143" i="1"/>
  <c r="L126" i="1"/>
  <c r="M126" i="1"/>
  <c r="M144" i="1"/>
  <c r="O84" i="1" l="1"/>
  <c r="O85" i="1" s="1"/>
  <c r="O125" i="1"/>
  <c r="O115" i="1"/>
  <c r="O113" i="1"/>
  <c r="O111" i="1"/>
  <c r="O133" i="1"/>
  <c r="O134" i="1" s="1"/>
  <c r="O121" i="1"/>
  <c r="O120" i="1"/>
  <c r="O112" i="1"/>
  <c r="O123" i="1"/>
  <c r="O118" i="1"/>
  <c r="O141" i="1"/>
  <c r="O108" i="1"/>
  <c r="O88" i="1"/>
  <c r="O89" i="1" s="1"/>
  <c r="O119" i="1"/>
  <c r="O117" i="1"/>
  <c r="O110" i="1"/>
  <c r="O131" i="1"/>
  <c r="O132" i="1" s="1"/>
  <c r="O114" i="1"/>
  <c r="P76" i="1"/>
  <c r="O124" i="1"/>
  <c r="O122" i="1"/>
  <c r="O90" i="1"/>
  <c r="O135" i="1"/>
  <c r="O136" i="1" s="1"/>
  <c r="N144" i="1"/>
  <c r="O109" i="1"/>
  <c r="O137" i="1"/>
  <c r="O138" i="1" s="1"/>
  <c r="O139" i="1"/>
  <c r="O140" i="1" s="1"/>
  <c r="O77" i="1"/>
  <c r="O116" i="1"/>
  <c r="O101" i="1"/>
  <c r="N81" i="1"/>
  <c r="N82" i="1"/>
  <c r="N83" i="1" s="1"/>
  <c r="O93" i="1"/>
  <c r="O94" i="1"/>
  <c r="O95" i="1"/>
  <c r="O98" i="1"/>
  <c r="O92" i="1"/>
  <c r="N143" i="1"/>
  <c r="O80" i="1"/>
  <c r="AL22" i="4"/>
  <c r="AL21" i="4"/>
  <c r="AL23" i="4"/>
  <c r="AL17" i="4"/>
  <c r="AL18" i="4" s="1"/>
  <c r="AI19" i="4"/>
  <c r="N126" i="1"/>
  <c r="N127" i="1"/>
  <c r="P120" i="1" l="1"/>
  <c r="AI75" i="1"/>
  <c r="P124" i="1"/>
  <c r="P121" i="1"/>
  <c r="P133" i="1"/>
  <c r="P134" i="1" s="1"/>
  <c r="P118" i="1"/>
  <c r="P119" i="1"/>
  <c r="P110" i="1"/>
  <c r="P116" i="1"/>
  <c r="P131" i="1"/>
  <c r="P132" i="1" s="1"/>
  <c r="O127" i="1"/>
  <c r="P117" i="1"/>
  <c r="P109" i="1"/>
  <c r="P139" i="1"/>
  <c r="P140" i="1" s="1"/>
  <c r="P123" i="1"/>
  <c r="P115" i="1"/>
  <c r="P122" i="1"/>
  <c r="P137" i="1"/>
  <c r="P138" i="1" s="1"/>
  <c r="O144" i="1"/>
  <c r="P84" i="1"/>
  <c r="P77" i="1"/>
  <c r="P111" i="1"/>
  <c r="P112" i="1"/>
  <c r="P135" i="1"/>
  <c r="P136" i="1" s="1"/>
  <c r="P80" i="1"/>
  <c r="P82" i="1" s="1"/>
  <c r="P90" i="1"/>
  <c r="P114" i="1"/>
  <c r="Q76" i="1"/>
  <c r="Q108" i="1" s="1"/>
  <c r="P125" i="1"/>
  <c r="O126" i="1"/>
  <c r="P113" i="1"/>
  <c r="P141" i="1"/>
  <c r="O143" i="1"/>
  <c r="P108" i="1"/>
  <c r="P101" i="1"/>
  <c r="O81" i="1"/>
  <c r="O82" i="1"/>
  <c r="O83" i="1" s="1"/>
  <c r="P93" i="1"/>
  <c r="P98" i="1"/>
  <c r="P94" i="1"/>
  <c r="P95" i="1"/>
  <c r="P92" i="1"/>
  <c r="AO21" i="4"/>
  <c r="AO22" i="4"/>
  <c r="AO23" i="4"/>
  <c r="AO17" i="4"/>
  <c r="AO18" i="4" s="1"/>
  <c r="AO19" i="4" s="1"/>
  <c r="AL19" i="4"/>
  <c r="Q118" i="1"/>
  <c r="Q121" i="1" l="1"/>
  <c r="AJ75" i="1"/>
  <c r="AI98" i="1"/>
  <c r="AI99" i="1"/>
  <c r="AI101" i="1"/>
  <c r="Q111" i="1"/>
  <c r="P126" i="1"/>
  <c r="P144" i="1"/>
  <c r="Q124" i="1"/>
  <c r="Q90" i="1"/>
  <c r="R76" i="1"/>
  <c r="R80" i="1" s="1"/>
  <c r="Q113" i="1"/>
  <c r="Q139" i="1"/>
  <c r="Q140" i="1" s="1"/>
  <c r="Q119" i="1"/>
  <c r="Q120" i="1"/>
  <c r="P143" i="1"/>
  <c r="Q116" i="1"/>
  <c r="P127" i="1"/>
  <c r="Q77" i="1"/>
  <c r="Q114" i="1"/>
  <c r="Q137" i="1"/>
  <c r="Q138" i="1" s="1"/>
  <c r="Q84" i="1"/>
  <c r="Q133" i="1"/>
  <c r="Q134" i="1" s="1"/>
  <c r="Q115" i="1"/>
  <c r="Q80" i="1"/>
  <c r="Q81" i="1" s="1"/>
  <c r="Q123" i="1"/>
  <c r="Q122" i="1"/>
  <c r="Q117" i="1"/>
  <c r="Q135" i="1"/>
  <c r="Q136" i="1" s="1"/>
  <c r="Q110" i="1"/>
  <c r="Q131" i="1"/>
  <c r="Q132" i="1" s="1"/>
  <c r="Q141" i="1"/>
  <c r="Q112" i="1"/>
  <c r="P81" i="1"/>
  <c r="Q109" i="1"/>
  <c r="Q125" i="1"/>
  <c r="Q101" i="1"/>
  <c r="Q93" i="1"/>
  <c r="Q94" i="1"/>
  <c r="Q92" i="1"/>
  <c r="Q95" i="1"/>
  <c r="Q98" i="1"/>
  <c r="R122" i="1" l="1"/>
  <c r="R84" i="1"/>
  <c r="AK75" i="1"/>
  <c r="AJ101" i="1"/>
  <c r="AJ99" i="1"/>
  <c r="AJ98" i="1"/>
  <c r="R90" i="1"/>
  <c r="R119" i="1"/>
  <c r="R131" i="1"/>
  <c r="R141" i="1"/>
  <c r="R116" i="1"/>
  <c r="R117" i="1"/>
  <c r="R109" i="1"/>
  <c r="R123" i="1"/>
  <c r="R110" i="1"/>
  <c r="R108" i="1"/>
  <c r="R113" i="1"/>
  <c r="R120" i="1"/>
  <c r="R121" i="1"/>
  <c r="R77" i="1"/>
  <c r="R133" i="1"/>
  <c r="R134" i="1" s="1"/>
  <c r="R118" i="1"/>
  <c r="R111" i="1"/>
  <c r="R137" i="1"/>
  <c r="R138" i="1" s="1"/>
  <c r="R135" i="1"/>
  <c r="R136" i="1" s="1"/>
  <c r="R115" i="1"/>
  <c r="R114" i="1"/>
  <c r="S76" i="1"/>
  <c r="R125" i="1"/>
  <c r="R124" i="1"/>
  <c r="R139" i="1"/>
  <c r="R140" i="1" s="1"/>
  <c r="R112" i="1"/>
  <c r="Q144" i="1"/>
  <c r="Q127" i="1"/>
  <c r="Q143" i="1"/>
  <c r="Q126" i="1"/>
  <c r="Q82" i="1"/>
  <c r="R101" i="1"/>
  <c r="R81" i="1"/>
  <c r="R82" i="1"/>
  <c r="R93" i="1"/>
  <c r="R94" i="1"/>
  <c r="R95" i="1"/>
  <c r="R92" i="1"/>
  <c r="R98" i="1"/>
  <c r="R132" i="1"/>
  <c r="S118" i="1" l="1"/>
  <c r="AL75" i="1"/>
  <c r="AK98" i="1"/>
  <c r="AK101" i="1"/>
  <c r="AK99" i="1"/>
  <c r="S121" i="1"/>
  <c r="S133" i="1"/>
  <c r="S134" i="1" s="1"/>
  <c r="S108" i="1"/>
  <c r="S131" i="1"/>
  <c r="S132" i="1" s="1"/>
  <c r="S90" i="1"/>
  <c r="S119" i="1"/>
  <c r="S124" i="1"/>
  <c r="S141" i="1"/>
  <c r="S113" i="1"/>
  <c r="T76" i="1"/>
  <c r="S120" i="1"/>
  <c r="S125" i="1"/>
  <c r="S109" i="1"/>
  <c r="R126" i="1"/>
  <c r="S115" i="1"/>
  <c r="R127" i="1"/>
  <c r="R143" i="1"/>
  <c r="S111" i="1"/>
  <c r="S122" i="1"/>
  <c r="S117" i="1"/>
  <c r="S116" i="1"/>
  <c r="S135" i="1"/>
  <c r="S136" i="1" s="1"/>
  <c r="R144" i="1"/>
  <c r="S80" i="1"/>
  <c r="S81" i="1" s="1"/>
  <c r="S137" i="1"/>
  <c r="S138" i="1" s="1"/>
  <c r="S84" i="1"/>
  <c r="S77" i="1"/>
  <c r="S110" i="1"/>
  <c r="S112" i="1"/>
  <c r="S123" i="1"/>
  <c r="S139" i="1"/>
  <c r="S140" i="1" s="1"/>
  <c r="S114" i="1"/>
  <c r="T101" i="1"/>
  <c r="S101" i="1"/>
  <c r="S99" i="1"/>
  <c r="S98" i="1"/>
  <c r="S93" i="1"/>
  <c r="S95" i="1"/>
  <c r="S94" i="1"/>
  <c r="S92" i="1"/>
  <c r="T84" i="1" l="1"/>
  <c r="AM75" i="1"/>
  <c r="AL101" i="1"/>
  <c r="AL98" i="1"/>
  <c r="AL99" i="1"/>
  <c r="T121" i="1"/>
  <c r="T124" i="1"/>
  <c r="T125" i="1"/>
  <c r="T77" i="1"/>
  <c r="T139" i="1"/>
  <c r="T140" i="1" s="1"/>
  <c r="T137" i="1"/>
  <c r="T138" i="1" s="1"/>
  <c r="T135" i="1"/>
  <c r="T136" i="1" s="1"/>
  <c r="T116" i="1"/>
  <c r="T133" i="1"/>
  <c r="T134" i="1" s="1"/>
  <c r="T119" i="1"/>
  <c r="T111" i="1"/>
  <c r="T109" i="1"/>
  <c r="T108" i="1"/>
  <c r="T117" i="1"/>
  <c r="T123" i="1"/>
  <c r="T90" i="1"/>
  <c r="T110" i="1"/>
  <c r="T118" i="1"/>
  <c r="T122" i="1"/>
  <c r="T131" i="1"/>
  <c r="T132" i="1" s="1"/>
  <c r="T115" i="1"/>
  <c r="T120" i="1"/>
  <c r="T114" i="1"/>
  <c r="T113" i="1"/>
  <c r="U76" i="1"/>
  <c r="T112" i="1"/>
  <c r="T141" i="1"/>
  <c r="T80" i="1"/>
  <c r="T81" i="1" s="1"/>
  <c r="S127" i="1"/>
  <c r="S82" i="1"/>
  <c r="S126" i="1"/>
  <c r="S143" i="1"/>
  <c r="S144" i="1"/>
  <c r="T98" i="1"/>
  <c r="T99" i="1"/>
  <c r="T93" i="1"/>
  <c r="T95" i="1"/>
  <c r="T92" i="1"/>
  <c r="T94" i="1"/>
  <c r="U141" i="1"/>
  <c r="U137" i="1"/>
  <c r="U138" i="1" s="1"/>
  <c r="U114" i="1"/>
  <c r="U90" i="1" l="1"/>
  <c r="U80" i="1"/>
  <c r="U82" i="1" s="1"/>
  <c r="U77" i="1"/>
  <c r="AN75" i="1"/>
  <c r="AM98" i="1"/>
  <c r="AM101" i="1"/>
  <c r="AM99" i="1"/>
  <c r="T144" i="1"/>
  <c r="T143" i="1"/>
  <c r="T127" i="1"/>
  <c r="T126" i="1"/>
  <c r="U111" i="1"/>
  <c r="U113" i="1"/>
  <c r="U121" i="1"/>
  <c r="U108" i="1"/>
  <c r="V76" i="1"/>
  <c r="U122" i="1"/>
  <c r="U135" i="1"/>
  <c r="U136" i="1" s="1"/>
  <c r="U131" i="1"/>
  <c r="U132" i="1" s="1"/>
  <c r="U124" i="1"/>
  <c r="U133" i="1"/>
  <c r="U134" i="1" s="1"/>
  <c r="U119" i="1"/>
  <c r="U115" i="1"/>
  <c r="U120" i="1"/>
  <c r="U110" i="1"/>
  <c r="U84" i="1"/>
  <c r="U118" i="1"/>
  <c r="U116" i="1"/>
  <c r="U109" i="1"/>
  <c r="U125" i="1"/>
  <c r="U117" i="1"/>
  <c r="U139" i="1"/>
  <c r="U140" i="1" s="1"/>
  <c r="U123" i="1"/>
  <c r="U112" i="1"/>
  <c r="T82" i="1"/>
  <c r="U81" i="1"/>
  <c r="U101" i="1"/>
  <c r="U99" i="1"/>
  <c r="U98" i="1"/>
  <c r="U94" i="1"/>
  <c r="U95" i="1"/>
  <c r="U92" i="1"/>
  <c r="U93" i="1"/>
  <c r="V84" i="1" l="1"/>
  <c r="V113" i="1"/>
  <c r="V118" i="1"/>
  <c r="V116" i="1"/>
  <c r="V133" i="1"/>
  <c r="V134" i="1" s="1"/>
  <c r="V120" i="1"/>
  <c r="U126" i="1"/>
  <c r="V124" i="1"/>
  <c r="V131" i="1"/>
  <c r="V132" i="1" s="1"/>
  <c r="V110" i="1"/>
  <c r="V117" i="1"/>
  <c r="V90" i="1"/>
  <c r="V135" i="1"/>
  <c r="V136" i="1" s="1"/>
  <c r="V122" i="1"/>
  <c r="V119" i="1"/>
  <c r="V125" i="1"/>
  <c r="V111" i="1"/>
  <c r="V115" i="1"/>
  <c r="V137" i="1"/>
  <c r="V138" i="1" s="1"/>
  <c r="V123" i="1"/>
  <c r="W76" i="1"/>
  <c r="W122" i="1" s="1"/>
  <c r="V108" i="1"/>
  <c r="V80" i="1"/>
  <c r="V82" i="1" s="1"/>
  <c r="U127" i="1"/>
  <c r="V121" i="1"/>
  <c r="V114" i="1"/>
  <c r="V139" i="1"/>
  <c r="V140" i="1" s="1"/>
  <c r="V109" i="1"/>
  <c r="V112" i="1"/>
  <c r="V141" i="1"/>
  <c r="V77" i="1"/>
  <c r="U143" i="1"/>
  <c r="U144" i="1"/>
  <c r="V101" i="1"/>
  <c r="V99" i="1"/>
  <c r="V98" i="1"/>
  <c r="V95" i="1"/>
  <c r="V92" i="1"/>
  <c r="V94" i="1"/>
  <c r="V93" i="1"/>
  <c r="W135" i="1" l="1"/>
  <c r="W136" i="1" s="1"/>
  <c r="W120" i="1"/>
  <c r="W77" i="1"/>
  <c r="W113" i="1"/>
  <c r="W139" i="1"/>
  <c r="W140" i="1" s="1"/>
  <c r="V81" i="1"/>
  <c r="W141" i="1"/>
  <c r="W125" i="1"/>
  <c r="W115" i="1"/>
  <c r="W116" i="1"/>
  <c r="W114" i="1"/>
  <c r="W111" i="1"/>
  <c r="W124" i="1"/>
  <c r="W108" i="1"/>
  <c r="V143" i="1"/>
  <c r="V126" i="1"/>
  <c r="W118" i="1"/>
  <c r="W123" i="1"/>
  <c r="W90" i="1"/>
  <c r="W121" i="1"/>
  <c r="W84" i="1"/>
  <c r="W112" i="1"/>
  <c r="W110" i="1"/>
  <c r="X76" i="1"/>
  <c r="X141" i="1" s="1"/>
  <c r="W109" i="1"/>
  <c r="W80" i="1"/>
  <c r="W82" i="1" s="1"/>
  <c r="W119" i="1"/>
  <c r="W137" i="1"/>
  <c r="W138" i="1" s="1"/>
  <c r="W117" i="1"/>
  <c r="V127" i="1"/>
  <c r="V144" i="1"/>
  <c r="W133" i="1"/>
  <c r="W134" i="1" s="1"/>
  <c r="W131" i="1"/>
  <c r="W132" i="1" s="1"/>
  <c r="W99" i="1"/>
  <c r="W101" i="1"/>
  <c r="W92" i="1"/>
  <c r="W94" i="1"/>
  <c r="W98" i="1"/>
  <c r="W93" i="1"/>
  <c r="W95" i="1"/>
  <c r="X116" i="1" l="1"/>
  <c r="X133" i="1"/>
  <c r="X134" i="1" s="1"/>
  <c r="X122" i="1"/>
  <c r="X115" i="1"/>
  <c r="X112" i="1"/>
  <c r="X84" i="1"/>
  <c r="X118" i="1"/>
  <c r="X135" i="1"/>
  <c r="X136" i="1" s="1"/>
  <c r="X120" i="1"/>
  <c r="X119" i="1"/>
  <c r="X123" i="1"/>
  <c r="X110" i="1"/>
  <c r="X80" i="1"/>
  <c r="X81" i="1" s="1"/>
  <c r="X137" i="1"/>
  <c r="X138" i="1" s="1"/>
  <c r="X77" i="1"/>
  <c r="W127" i="1"/>
  <c r="W126" i="1"/>
  <c r="X108" i="1"/>
  <c r="X109" i="1"/>
  <c r="X117" i="1"/>
  <c r="X113" i="1"/>
  <c r="X111" i="1"/>
  <c r="X114" i="1"/>
  <c r="W81" i="1"/>
  <c r="X124" i="1"/>
  <c r="Y76" i="1"/>
  <c r="X139" i="1"/>
  <c r="X140" i="1" s="1"/>
  <c r="W143" i="1"/>
  <c r="X131" i="1"/>
  <c r="X132" i="1" s="1"/>
  <c r="X121" i="1"/>
  <c r="X125" i="1"/>
  <c r="X90" i="1"/>
  <c r="W144" i="1"/>
  <c r="X99" i="1"/>
  <c r="X101" i="1"/>
  <c r="X92" i="1"/>
  <c r="X94" i="1"/>
  <c r="X95" i="1"/>
  <c r="X98" i="1"/>
  <c r="X93" i="1"/>
  <c r="Y84" i="1" l="1"/>
  <c r="X82" i="1"/>
  <c r="X127" i="1"/>
  <c r="X126" i="1"/>
  <c r="Y109" i="1"/>
  <c r="Y110" i="1"/>
  <c r="Y122" i="1"/>
  <c r="Y125" i="1"/>
  <c r="Y108" i="1"/>
  <c r="Y119" i="1"/>
  <c r="Y141" i="1"/>
  <c r="Y117" i="1"/>
  <c r="Y114" i="1"/>
  <c r="Y112" i="1"/>
  <c r="Y133" i="1"/>
  <c r="Y134" i="1" s="1"/>
  <c r="Y115" i="1"/>
  <c r="Y111" i="1"/>
  <c r="Y121" i="1"/>
  <c r="Y118" i="1"/>
  <c r="Y113" i="1"/>
  <c r="Y77" i="1"/>
  <c r="Z76" i="1"/>
  <c r="Y80" i="1"/>
  <c r="Y81" i="1" s="1"/>
  <c r="Y135" i="1"/>
  <c r="Y136" i="1" s="1"/>
  <c r="Y120" i="1"/>
  <c r="Y90" i="1"/>
  <c r="Y124" i="1"/>
  <c r="X144" i="1"/>
  <c r="X143" i="1"/>
  <c r="Y131" i="1"/>
  <c r="Y132" i="1" s="1"/>
  <c r="Y116" i="1"/>
  <c r="Y123" i="1"/>
  <c r="Y139" i="1"/>
  <c r="Y140" i="1" s="1"/>
  <c r="Y137" i="1"/>
  <c r="Y138" i="1" s="1"/>
  <c r="Y99" i="1"/>
  <c r="Y101" i="1"/>
  <c r="Y95" i="1"/>
  <c r="Y94" i="1"/>
  <c r="Y92" i="1"/>
  <c r="Y98" i="1"/>
  <c r="Y93" i="1"/>
  <c r="Z84" i="1" l="1"/>
  <c r="Z115" i="1"/>
  <c r="Z114" i="1"/>
  <c r="Z116" i="1"/>
  <c r="Z120" i="1"/>
  <c r="AD76" i="1"/>
  <c r="AD110" i="1" s="1"/>
  <c r="Z111" i="1"/>
  <c r="Z90" i="1"/>
  <c r="Z113" i="1"/>
  <c r="Z139" i="1"/>
  <c r="Z140" i="1" s="1"/>
  <c r="Z119" i="1"/>
  <c r="Z77" i="1"/>
  <c r="Z117" i="1"/>
  <c r="Z133" i="1"/>
  <c r="Z134" i="1" s="1"/>
  <c r="Z80" i="1"/>
  <c r="Z81" i="1" s="1"/>
  <c r="Z109" i="1"/>
  <c r="Z141" i="1"/>
  <c r="Z135" i="1"/>
  <c r="Z136" i="1" s="1"/>
  <c r="Z137" i="1"/>
  <c r="Z138" i="1" s="1"/>
  <c r="Z121" i="1"/>
  <c r="Y127" i="1"/>
  <c r="Z123" i="1"/>
  <c r="Z122" i="1"/>
  <c r="Z124" i="1"/>
  <c r="Z118" i="1"/>
  <c r="Z108" i="1"/>
  <c r="Z125" i="1"/>
  <c r="Y126" i="1"/>
  <c r="Y82" i="1"/>
  <c r="Y144" i="1"/>
  <c r="Y143" i="1"/>
  <c r="Z110" i="1"/>
  <c r="Z112" i="1"/>
  <c r="Z131" i="1"/>
  <c r="Z132" i="1" s="1"/>
  <c r="Z99" i="1"/>
  <c r="S85" i="1" s="1"/>
  <c r="Z101" i="1"/>
  <c r="Z95" i="1"/>
  <c r="Z92" i="1"/>
  <c r="Z94" i="1"/>
  <c r="Z98" i="1"/>
  <c r="Z93" i="1"/>
  <c r="AD111" i="1"/>
  <c r="AD137" i="1"/>
  <c r="AD138" i="1" s="1"/>
  <c r="AD117" i="1"/>
  <c r="AD115" i="1"/>
  <c r="AD120" i="1"/>
  <c r="V86" i="1" l="1"/>
  <c r="V87" i="1" s="1"/>
  <c r="AD139" i="1"/>
  <c r="AD140" i="1" s="1"/>
  <c r="AD108" i="1"/>
  <c r="AD118" i="1"/>
  <c r="AD123" i="1"/>
  <c r="Y83" i="1"/>
  <c r="AD133" i="1"/>
  <c r="AD134" i="1" s="1"/>
  <c r="AD122" i="1"/>
  <c r="AD125" i="1"/>
  <c r="AD112" i="1"/>
  <c r="AD124" i="1"/>
  <c r="AD77" i="1"/>
  <c r="AD84" i="1"/>
  <c r="AD109" i="1"/>
  <c r="AD121" i="1"/>
  <c r="AD113" i="1"/>
  <c r="AD80" i="1"/>
  <c r="AD81" i="1" s="1"/>
  <c r="AD119" i="1"/>
  <c r="AD135" i="1"/>
  <c r="AD136" i="1" s="1"/>
  <c r="AD141" i="1"/>
  <c r="AD114" i="1"/>
  <c r="AE76" i="1"/>
  <c r="AE121" i="1" s="1"/>
  <c r="U88" i="1"/>
  <c r="U89" i="1" s="1"/>
  <c r="AB76" i="1"/>
  <c r="AD116" i="1"/>
  <c r="AD131" i="1"/>
  <c r="AD90" i="1"/>
  <c r="V85" i="1"/>
  <c r="AA76" i="1"/>
  <c r="U83" i="1"/>
  <c r="AC76" i="1"/>
  <c r="S88" i="1"/>
  <c r="S89" i="1" s="1"/>
  <c r="AA91" i="1"/>
  <c r="AB88" i="1"/>
  <c r="AB89" i="1" s="1"/>
  <c r="AA88" i="1"/>
  <c r="AA89" i="1" s="1"/>
  <c r="AB91" i="1"/>
  <c r="AA86" i="1"/>
  <c r="AC91" i="1"/>
  <c r="Q88" i="1"/>
  <c r="Q89" i="1" s="1"/>
  <c r="Z144" i="1"/>
  <c r="Z127" i="1"/>
  <c r="Z82" i="1"/>
  <c r="T85" i="1"/>
  <c r="R88" i="1"/>
  <c r="R89" i="1" s="1"/>
  <c r="V88" i="1"/>
  <c r="V89" i="1" s="1"/>
  <c r="R83" i="1"/>
  <c r="Q86" i="1"/>
  <c r="Q87" i="1" s="1"/>
  <c r="Q83" i="1"/>
  <c r="R85" i="1"/>
  <c r="P83" i="1"/>
  <c r="R86" i="1"/>
  <c r="R87" i="1" s="1"/>
  <c r="T86" i="1"/>
  <c r="T87" i="1" s="1"/>
  <c r="T88" i="1"/>
  <c r="T89" i="1" s="1"/>
  <c r="P85" i="1"/>
  <c r="O86" i="1"/>
  <c r="U85" i="1"/>
  <c r="P86" i="1"/>
  <c r="P87" i="1" s="1"/>
  <c r="Q85" i="1"/>
  <c r="P88" i="1"/>
  <c r="P89" i="1" s="1"/>
  <c r="X83" i="1"/>
  <c r="W83" i="1"/>
  <c r="Z91" i="1"/>
  <c r="N86" i="1"/>
  <c r="S86" i="1"/>
  <c r="S87" i="1" s="1"/>
  <c r="V83" i="1"/>
  <c r="Z126" i="1"/>
  <c r="Y91" i="1"/>
  <c r="M86" i="1"/>
  <c r="M87" i="1" s="1"/>
  <c r="M78" i="1" s="1"/>
  <c r="M79" i="1" s="1"/>
  <c r="X91" i="1"/>
  <c r="U86" i="1"/>
  <c r="U87" i="1" s="1"/>
  <c r="T83" i="1"/>
  <c r="S83" i="1"/>
  <c r="Z143" i="1"/>
  <c r="AD99" i="1"/>
  <c r="AD92" i="1"/>
  <c r="AD94" i="1"/>
  <c r="AD98" i="1"/>
  <c r="AD93" i="1"/>
  <c r="AD95" i="1"/>
  <c r="AE90" i="1"/>
  <c r="AF76" i="1"/>
  <c r="AD132" i="1"/>
  <c r="AE111" i="1"/>
  <c r="AE123" i="1"/>
  <c r="AE122" i="1" l="1"/>
  <c r="AD82" i="1"/>
  <c r="AE125" i="1"/>
  <c r="AE137" i="1"/>
  <c r="AE138" i="1" s="1"/>
  <c r="AE112" i="1"/>
  <c r="AE108" i="1"/>
  <c r="AE133" i="1"/>
  <c r="AE134" i="1" s="1"/>
  <c r="AE116" i="1"/>
  <c r="AE118" i="1"/>
  <c r="AE77" i="1"/>
  <c r="AE139" i="1"/>
  <c r="AE140" i="1" s="1"/>
  <c r="AE135" i="1"/>
  <c r="AE136" i="1" s="1"/>
  <c r="AE141" i="1"/>
  <c r="AE124" i="1"/>
  <c r="AE109" i="1"/>
  <c r="AE110" i="1"/>
  <c r="AE117" i="1"/>
  <c r="AE84" i="1"/>
  <c r="AE131" i="1"/>
  <c r="AE114" i="1"/>
  <c r="AD126" i="1"/>
  <c r="AD127" i="1"/>
  <c r="AE120" i="1"/>
  <c r="AD143" i="1"/>
  <c r="AE80" i="1"/>
  <c r="AE81" i="1" s="1"/>
  <c r="AE113" i="1"/>
  <c r="AE115" i="1"/>
  <c r="AE119" i="1"/>
  <c r="AD144" i="1"/>
  <c r="AB133" i="1"/>
  <c r="AB134" i="1" s="1"/>
  <c r="AB139" i="1"/>
  <c r="AB140" i="1" s="1"/>
  <c r="AB135" i="1"/>
  <c r="AB136" i="1" s="1"/>
  <c r="AB90" i="1"/>
  <c r="AB77" i="1"/>
  <c r="AB80" i="1"/>
  <c r="AB131" i="1"/>
  <c r="AB84" i="1"/>
  <c r="AB85" i="1" s="1"/>
  <c r="AB141" i="1"/>
  <c r="AB137" i="1"/>
  <c r="AB138" i="1" s="1"/>
  <c r="AB111" i="1"/>
  <c r="AB110" i="1"/>
  <c r="AB119" i="1"/>
  <c r="AB112" i="1"/>
  <c r="AB116" i="1"/>
  <c r="AB118" i="1"/>
  <c r="AB122" i="1"/>
  <c r="AB113" i="1"/>
  <c r="AB117" i="1"/>
  <c r="AB123" i="1"/>
  <c r="AB124" i="1"/>
  <c r="AB120" i="1"/>
  <c r="AB108" i="1"/>
  <c r="AB114" i="1"/>
  <c r="AB125" i="1"/>
  <c r="AB121" i="1"/>
  <c r="AB115" i="1"/>
  <c r="AB109" i="1"/>
  <c r="AC133" i="1"/>
  <c r="AC134" i="1" s="1"/>
  <c r="AC139" i="1"/>
  <c r="AC140" i="1" s="1"/>
  <c r="AC80" i="1"/>
  <c r="AC135" i="1"/>
  <c r="AC136" i="1" s="1"/>
  <c r="AC137" i="1"/>
  <c r="AC138" i="1" s="1"/>
  <c r="AC131" i="1"/>
  <c r="AC84" i="1"/>
  <c r="AC141" i="1"/>
  <c r="AC90" i="1"/>
  <c r="AC77" i="1"/>
  <c r="AC110" i="1"/>
  <c r="AC111" i="1"/>
  <c r="AC122" i="1"/>
  <c r="AC123" i="1"/>
  <c r="AC112" i="1"/>
  <c r="AC116" i="1"/>
  <c r="AC108" i="1"/>
  <c r="AC119" i="1"/>
  <c r="AC118" i="1"/>
  <c r="AC113" i="1"/>
  <c r="AC117" i="1"/>
  <c r="AC115" i="1"/>
  <c r="AC124" i="1"/>
  <c r="AC120" i="1"/>
  <c r="AC114" i="1"/>
  <c r="AC125" i="1"/>
  <c r="AC121" i="1"/>
  <c r="AC109" i="1"/>
  <c r="AA77" i="1"/>
  <c r="AA84" i="1"/>
  <c r="AA85" i="1" s="1"/>
  <c r="AA131" i="1"/>
  <c r="AA80" i="1"/>
  <c r="AA141" i="1"/>
  <c r="AA137" i="1"/>
  <c r="AA138" i="1" s="1"/>
  <c r="AA90" i="1"/>
  <c r="AA133" i="1"/>
  <c r="AA134" i="1" s="1"/>
  <c r="AA139" i="1"/>
  <c r="AA140" i="1" s="1"/>
  <c r="AA135" i="1"/>
  <c r="AA136" i="1" s="1"/>
  <c r="AA110" i="1"/>
  <c r="AA111" i="1"/>
  <c r="AA112" i="1"/>
  <c r="AA116" i="1"/>
  <c r="AA118" i="1"/>
  <c r="AA122" i="1"/>
  <c r="AA113" i="1"/>
  <c r="AA117" i="1"/>
  <c r="AA123" i="1"/>
  <c r="AA119" i="1"/>
  <c r="AA120" i="1"/>
  <c r="AA108" i="1"/>
  <c r="AA114" i="1"/>
  <c r="AA125" i="1"/>
  <c r="AA121" i="1"/>
  <c r="AA109" i="1"/>
  <c r="AA124" i="1"/>
  <c r="AA115" i="1"/>
  <c r="AA87" i="1"/>
  <c r="U78" i="1"/>
  <c r="U79" i="1" s="1"/>
  <c r="Q78" i="1"/>
  <c r="Q79" i="1" s="1"/>
  <c r="S78" i="1"/>
  <c r="S79" i="1" s="1"/>
  <c r="T78" i="1"/>
  <c r="T79" i="1" s="1"/>
  <c r="R78" i="1"/>
  <c r="R79" i="1" s="1"/>
  <c r="P78" i="1"/>
  <c r="P79" i="1" s="1"/>
  <c r="V78" i="1"/>
  <c r="V79" i="1" s="1"/>
  <c r="N87" i="1"/>
  <c r="N78" i="1" s="1"/>
  <c r="N79" i="1" s="1"/>
  <c r="O87" i="1"/>
  <c r="O78" i="1" s="1"/>
  <c r="O79" i="1" s="1"/>
  <c r="AF80" i="1"/>
  <c r="AF82" i="1" s="1"/>
  <c r="AF84" i="1"/>
  <c r="AE101" i="1"/>
  <c r="AE99" i="1"/>
  <c r="AE82" i="1"/>
  <c r="AE98" i="1"/>
  <c r="AE93" i="1"/>
  <c r="AE92" i="1"/>
  <c r="AE94" i="1"/>
  <c r="AE95" i="1"/>
  <c r="AF90" i="1"/>
  <c r="AG76" i="1"/>
  <c r="AF131" i="1"/>
  <c r="AF137" i="1"/>
  <c r="AF138" i="1" s="1"/>
  <c r="AF133" i="1"/>
  <c r="AF134" i="1" s="1"/>
  <c r="AF77" i="1"/>
  <c r="AF139" i="1"/>
  <c r="AF140" i="1" s="1"/>
  <c r="AF135" i="1"/>
  <c r="AF136" i="1" s="1"/>
  <c r="AF141" i="1"/>
  <c r="AF110" i="1"/>
  <c r="AF111" i="1"/>
  <c r="AF117" i="1"/>
  <c r="AF112" i="1"/>
  <c r="AF125" i="1"/>
  <c r="AF116" i="1"/>
  <c r="AF124" i="1"/>
  <c r="AF122" i="1"/>
  <c r="AF108" i="1"/>
  <c r="AF113" i="1"/>
  <c r="AF123" i="1"/>
  <c r="AF118" i="1"/>
  <c r="AF109" i="1"/>
  <c r="AF119" i="1"/>
  <c r="AF120" i="1"/>
  <c r="AF114" i="1"/>
  <c r="AF121" i="1"/>
  <c r="AF115" i="1"/>
  <c r="AE132" i="1"/>
  <c r="AE143" i="1" l="1"/>
  <c r="AE126" i="1"/>
  <c r="AE144" i="1"/>
  <c r="AE127" i="1"/>
  <c r="AC127" i="1"/>
  <c r="AA127" i="1"/>
  <c r="AA81" i="1"/>
  <c r="AA82" i="1"/>
  <c r="AA83" i="1" s="1"/>
  <c r="AA143" i="1"/>
  <c r="AA132" i="1"/>
  <c r="AB126" i="1"/>
  <c r="AC132" i="1"/>
  <c r="AC144" i="1" s="1"/>
  <c r="AC143" i="1"/>
  <c r="AC126" i="1"/>
  <c r="AC81" i="1"/>
  <c r="AC82" i="1"/>
  <c r="AB132" i="1"/>
  <c r="AB144" i="1" s="1"/>
  <c r="AB143" i="1"/>
  <c r="AA126" i="1"/>
  <c r="AB81" i="1"/>
  <c r="AB82" i="1"/>
  <c r="AB83" i="1" s="1"/>
  <c r="AA144" i="1"/>
  <c r="AB127" i="1"/>
  <c r="AA78" i="1"/>
  <c r="AA79" i="1" s="1"/>
  <c r="Z83" i="1"/>
  <c r="X85" i="1"/>
  <c r="Y85" i="1"/>
  <c r="Z85" i="1"/>
  <c r="W85" i="1"/>
  <c r="W88" i="1"/>
  <c r="W89" i="1" s="1"/>
  <c r="W86" i="1"/>
  <c r="W87" i="1" s="1"/>
  <c r="X86" i="1"/>
  <c r="X87" i="1" s="1"/>
  <c r="X88" i="1"/>
  <c r="X89" i="1" s="1"/>
  <c r="Y88" i="1"/>
  <c r="Y89" i="1" s="1"/>
  <c r="Y86" i="1"/>
  <c r="Y87" i="1" s="1"/>
  <c r="Z88" i="1"/>
  <c r="Z89" i="1" s="1"/>
  <c r="AD91" i="1"/>
  <c r="AG80" i="1"/>
  <c r="AG82" i="1" s="1"/>
  <c r="AG84" i="1"/>
  <c r="AF99" i="1"/>
  <c r="AF101" i="1"/>
  <c r="AF81" i="1"/>
  <c r="AF93" i="1"/>
  <c r="AF94" i="1"/>
  <c r="AF92" i="1"/>
  <c r="AF95" i="1"/>
  <c r="AF98" i="1"/>
  <c r="AG90" i="1"/>
  <c r="AF132" i="1"/>
  <c r="AF144" i="1" s="1"/>
  <c r="AF143" i="1"/>
  <c r="AF126" i="1"/>
  <c r="AF127" i="1"/>
  <c r="AG131" i="1"/>
  <c r="AG137" i="1"/>
  <c r="AG138" i="1" s="1"/>
  <c r="AG139" i="1"/>
  <c r="AG140" i="1" s="1"/>
  <c r="AG135" i="1"/>
  <c r="AG136" i="1" s="1"/>
  <c r="AG141" i="1"/>
  <c r="AG133" i="1"/>
  <c r="AG134" i="1" s="1"/>
  <c r="AG111" i="1"/>
  <c r="AH76" i="1"/>
  <c r="D72" i="1" s="1"/>
  <c r="AG77" i="1"/>
  <c r="AG110" i="1"/>
  <c r="AG116" i="1"/>
  <c r="AG112" i="1"/>
  <c r="AG125" i="1"/>
  <c r="AG109" i="1"/>
  <c r="AG117" i="1"/>
  <c r="AG113" i="1"/>
  <c r="AG119" i="1"/>
  <c r="AG124" i="1"/>
  <c r="AG115" i="1"/>
  <c r="AG108" i="1"/>
  <c r="AG118" i="1"/>
  <c r="AG120" i="1"/>
  <c r="AG114" i="1"/>
  <c r="AG123" i="1"/>
  <c r="AG122" i="1"/>
  <c r="AG121" i="1"/>
  <c r="AH80" i="1" l="1"/>
  <c r="AH82" i="1" s="1"/>
  <c r="AH120" i="1"/>
  <c r="AI76" i="1"/>
  <c r="Y78" i="1"/>
  <c r="Y79" i="1" s="1"/>
  <c r="X78" i="1"/>
  <c r="X79" i="1" s="1"/>
  <c r="W78" i="1"/>
  <c r="W79" i="1" s="1"/>
  <c r="AG99" i="1"/>
  <c r="AG101" i="1"/>
  <c r="AH90" i="1"/>
  <c r="AH84" i="1"/>
  <c r="AG81" i="1"/>
  <c r="AG94" i="1"/>
  <c r="AG93" i="1"/>
  <c r="AG92" i="1"/>
  <c r="AG95" i="1"/>
  <c r="AG98" i="1"/>
  <c r="AG127" i="1"/>
  <c r="AG143" i="1"/>
  <c r="AG132" i="1"/>
  <c r="AG144" i="1" s="1"/>
  <c r="AG126" i="1"/>
  <c r="AH135" i="1"/>
  <c r="AH136" i="1" s="1"/>
  <c r="AH131" i="1"/>
  <c r="AH137" i="1"/>
  <c r="AH138" i="1" s="1"/>
  <c r="AH133" i="1"/>
  <c r="AH134" i="1" s="1"/>
  <c r="AH139" i="1"/>
  <c r="AH140" i="1" s="1"/>
  <c r="AH141" i="1"/>
  <c r="AH111" i="1"/>
  <c r="AH110" i="1"/>
  <c r="AH121" i="1"/>
  <c r="AH115" i="1"/>
  <c r="AH118" i="1"/>
  <c r="AH109" i="1"/>
  <c r="AH116" i="1"/>
  <c r="AH114" i="1"/>
  <c r="AH122" i="1"/>
  <c r="AH119" i="1"/>
  <c r="AH124" i="1"/>
  <c r="AH117" i="1"/>
  <c r="AH112" i="1"/>
  <c r="AH77" i="1"/>
  <c r="AH108" i="1"/>
  <c r="AH125" i="1"/>
  <c r="AH113" i="1"/>
  <c r="AH123" i="1"/>
  <c r="AH81" i="1" l="1"/>
  <c r="AI80" i="1"/>
  <c r="AI82" i="1" s="1"/>
  <c r="AI135" i="1"/>
  <c r="AI136" i="1" s="1"/>
  <c r="AI139" i="1"/>
  <c r="AI140" i="1" s="1"/>
  <c r="AI108" i="1"/>
  <c r="AI110" i="1"/>
  <c r="AI112" i="1"/>
  <c r="AI114" i="1"/>
  <c r="AI116" i="1"/>
  <c r="AI118" i="1"/>
  <c r="AI120" i="1"/>
  <c r="AI122" i="1"/>
  <c r="AI124" i="1"/>
  <c r="AI133" i="1"/>
  <c r="AI134" i="1" s="1"/>
  <c r="AI131" i="1"/>
  <c r="AI137" i="1"/>
  <c r="AI138" i="1" s="1"/>
  <c r="AI141" i="1"/>
  <c r="AI109" i="1"/>
  <c r="AI111" i="1"/>
  <c r="AI113" i="1"/>
  <c r="AI115" i="1"/>
  <c r="AI117" i="1"/>
  <c r="AI119" i="1"/>
  <c r="AI121" i="1"/>
  <c r="AI123" i="1"/>
  <c r="AI125" i="1"/>
  <c r="AJ76" i="1"/>
  <c r="AI77" i="1"/>
  <c r="AI84" i="1"/>
  <c r="AI90" i="1"/>
  <c r="AH99" i="1"/>
  <c r="AH101" i="1"/>
  <c r="AM91" i="1" s="1"/>
  <c r="AH95" i="1"/>
  <c r="AH92" i="1"/>
  <c r="AH98" i="1"/>
  <c r="AH93" i="1"/>
  <c r="AH94" i="1"/>
  <c r="AH127" i="1"/>
  <c r="AH126" i="1"/>
  <c r="AH132" i="1"/>
  <c r="AH144" i="1" s="1"/>
  <c r="AH143" i="1"/>
  <c r="AI85" i="1" l="1"/>
  <c r="AD85" i="1"/>
  <c r="AE85" i="1"/>
  <c r="AF85" i="1"/>
  <c r="AC85" i="1"/>
  <c r="AG85" i="1"/>
  <c r="AH85" i="1"/>
  <c r="AF83" i="1"/>
  <c r="AC86" i="1"/>
  <c r="AC83" i="1"/>
  <c r="AC88" i="1"/>
  <c r="AC89" i="1" s="1"/>
  <c r="AB86" i="1"/>
  <c r="AG83" i="1"/>
  <c r="AI91" i="1"/>
  <c r="AD83" i="1"/>
  <c r="AE83" i="1"/>
  <c r="AD88" i="1"/>
  <c r="AD89" i="1" s="1"/>
  <c r="AE91" i="1"/>
  <c r="AK86" i="1"/>
  <c r="AL86" i="1"/>
  <c r="AL88" i="1"/>
  <c r="AL89" i="1" s="1"/>
  <c r="AI83" i="1"/>
  <c r="AH83" i="1"/>
  <c r="AI126" i="1"/>
  <c r="AI127" i="1"/>
  <c r="AJ141" i="1"/>
  <c r="AJ109" i="1"/>
  <c r="AJ111" i="1"/>
  <c r="AJ113" i="1"/>
  <c r="AJ115" i="1"/>
  <c r="AJ117" i="1"/>
  <c r="AJ119" i="1"/>
  <c r="AJ121" i="1"/>
  <c r="AJ123" i="1"/>
  <c r="AJ125" i="1"/>
  <c r="AJ80" i="1"/>
  <c r="AJ135" i="1"/>
  <c r="AJ136" i="1" s="1"/>
  <c r="AJ139" i="1"/>
  <c r="AJ140" i="1" s="1"/>
  <c r="AJ108" i="1"/>
  <c r="AJ110" i="1"/>
  <c r="AJ112" i="1"/>
  <c r="AJ114" i="1"/>
  <c r="AJ116" i="1"/>
  <c r="AJ118" i="1"/>
  <c r="AJ120" i="1"/>
  <c r="AJ122" i="1"/>
  <c r="AJ124" i="1"/>
  <c r="AJ133" i="1"/>
  <c r="AJ134" i="1" s="1"/>
  <c r="AJ131" i="1"/>
  <c r="AJ137" i="1"/>
  <c r="AJ138" i="1" s="1"/>
  <c r="AI132" i="1"/>
  <c r="AI144" i="1" s="1"/>
  <c r="AI143" i="1"/>
  <c r="AI81" i="1"/>
  <c r="AI88" i="1"/>
  <c r="AI89" i="1" s="1"/>
  <c r="AJ91" i="1"/>
  <c r="AL91" i="1"/>
  <c r="AK91" i="1"/>
  <c r="AJ77" i="1"/>
  <c r="AJ90" i="1"/>
  <c r="AJ84" i="1"/>
  <c r="AJ85" i="1" s="1"/>
  <c r="AK76" i="1"/>
  <c r="AK88" i="1"/>
  <c r="AK89" i="1" s="1"/>
  <c r="AI86" i="1"/>
  <c r="AJ88" i="1"/>
  <c r="AJ89" i="1" s="1"/>
  <c r="AJ86" i="1"/>
  <c r="Z86" i="1"/>
  <c r="Z87" i="1" s="1"/>
  <c r="AF91" i="1"/>
  <c r="AG91" i="1"/>
  <c r="AH91" i="1"/>
  <c r="AH86" i="1"/>
  <c r="AN99" i="1"/>
  <c r="AN101" i="1"/>
  <c r="AN86" i="1" s="1"/>
  <c r="AN95" i="1"/>
  <c r="AN92" i="1"/>
  <c r="AN98" i="1"/>
  <c r="AO75" i="1"/>
  <c r="AN94" i="1"/>
  <c r="AN93" i="1"/>
  <c r="AC87" i="1" l="1"/>
  <c r="AC78" i="1" s="1"/>
  <c r="AC79" i="1" s="1"/>
  <c r="AB87" i="1"/>
  <c r="AB78" i="1" s="1"/>
  <c r="AB79" i="1" s="1"/>
  <c r="AL87" i="1"/>
  <c r="AK87" i="1"/>
  <c r="AM88" i="1"/>
  <c r="AM89" i="1" s="1"/>
  <c r="AN83" i="1"/>
  <c r="AJ127" i="1"/>
  <c r="AJ126" i="1"/>
  <c r="AJ132" i="1"/>
  <c r="AJ144" i="1" s="1"/>
  <c r="AJ143" i="1"/>
  <c r="AK131" i="1"/>
  <c r="AK137" i="1"/>
  <c r="AK138" i="1" s="1"/>
  <c r="AK122" i="1"/>
  <c r="AK141" i="1"/>
  <c r="AK109" i="1"/>
  <c r="AK111" i="1"/>
  <c r="AK113" i="1"/>
  <c r="AK115" i="1"/>
  <c r="AK117" i="1"/>
  <c r="AK119" i="1"/>
  <c r="AK121" i="1"/>
  <c r="AK123" i="1"/>
  <c r="AK125" i="1"/>
  <c r="AK112" i="1"/>
  <c r="AK124" i="1"/>
  <c r="AK108" i="1"/>
  <c r="AK116" i="1"/>
  <c r="AK135" i="1"/>
  <c r="AK136" i="1" s="1"/>
  <c r="AK139" i="1"/>
  <c r="AK140" i="1" s="1"/>
  <c r="AK114" i="1"/>
  <c r="AK110" i="1"/>
  <c r="AK133" i="1"/>
  <c r="AK134" i="1" s="1"/>
  <c r="AK120" i="1"/>
  <c r="AK118" i="1"/>
  <c r="AJ81" i="1"/>
  <c r="AJ82" i="1"/>
  <c r="AJ83" i="1" s="1"/>
  <c r="AI87" i="1"/>
  <c r="AI78" i="1" s="1"/>
  <c r="AI79" i="1" s="1"/>
  <c r="Z78" i="1"/>
  <c r="Z79" i="1" s="1"/>
  <c r="AJ87" i="1"/>
  <c r="AJ78" i="1" s="1"/>
  <c r="AJ79" i="1" s="1"/>
  <c r="AK77" i="1"/>
  <c r="AK84" i="1"/>
  <c r="AK90" i="1"/>
  <c r="AL76" i="1"/>
  <c r="AH88" i="1"/>
  <c r="AH89" i="1" s="1"/>
  <c r="AH87" i="1" s="1"/>
  <c r="AF86" i="1"/>
  <c r="AN91" i="1"/>
  <c r="AD86" i="1"/>
  <c r="AD87" i="1" s="1"/>
  <c r="AE86" i="1"/>
  <c r="AG88" i="1"/>
  <c r="AG89" i="1" s="1"/>
  <c r="AE88" i="1"/>
  <c r="AE89" i="1" s="1"/>
  <c r="AG86" i="1"/>
  <c r="AF88" i="1"/>
  <c r="AF89" i="1" s="1"/>
  <c r="AN85" i="1"/>
  <c r="AN88" i="1"/>
  <c r="AN89" i="1" s="1"/>
  <c r="AN87" i="1" s="1"/>
  <c r="AO99" i="1"/>
  <c r="AM86" i="1" s="1"/>
  <c r="AO98" i="1"/>
  <c r="AO101" i="1"/>
  <c r="AO91" i="1" s="1"/>
  <c r="AN78" i="1" l="1"/>
  <c r="AN79" i="1" s="1"/>
  <c r="AM87" i="1"/>
  <c r="AK126" i="1"/>
  <c r="AK127" i="1"/>
  <c r="AK132" i="1"/>
  <c r="AK144" i="1" s="1"/>
  <c r="AK143" i="1"/>
  <c r="AK81" i="1"/>
  <c r="AK82" i="1"/>
  <c r="AK83" i="1" s="1"/>
  <c r="AL131" i="1"/>
  <c r="AL137" i="1"/>
  <c r="AL138" i="1" s="1"/>
  <c r="AL135" i="1"/>
  <c r="AL136" i="1" s="1"/>
  <c r="AL141" i="1"/>
  <c r="AL109" i="1"/>
  <c r="AL111" i="1"/>
  <c r="AL113" i="1"/>
  <c r="AL115" i="1"/>
  <c r="AL117" i="1"/>
  <c r="AL119" i="1"/>
  <c r="AL121" i="1"/>
  <c r="AL123" i="1"/>
  <c r="AL125" i="1"/>
  <c r="AL139" i="1"/>
  <c r="AL140" i="1" s="1"/>
  <c r="AL108" i="1"/>
  <c r="AL110" i="1"/>
  <c r="AL112" i="1"/>
  <c r="AL114" i="1"/>
  <c r="AL116" i="1"/>
  <c r="AL118" i="1"/>
  <c r="AL120" i="1"/>
  <c r="AL122" i="1"/>
  <c r="AL124" i="1"/>
  <c r="AL133" i="1"/>
  <c r="AL134" i="1" s="1"/>
  <c r="AD78" i="1"/>
  <c r="AD79" i="1" s="1"/>
  <c r="AL77" i="1"/>
  <c r="AL90" i="1"/>
  <c r="AL84" i="1"/>
  <c r="AL85" i="1" s="1"/>
  <c r="AL78" i="1" s="1"/>
  <c r="AL79" i="1" s="1"/>
  <c r="AK85" i="1"/>
  <c r="AK78" i="1" s="1"/>
  <c r="AK79" i="1" s="1"/>
  <c r="AF87" i="1"/>
  <c r="AF78" i="1" s="1"/>
  <c r="AF79" i="1" s="1"/>
  <c r="AE87" i="1"/>
  <c r="AE78" i="1" s="1"/>
  <c r="AE79" i="1" s="1"/>
  <c r="AG87" i="1"/>
  <c r="AG78" i="1" s="1"/>
  <c r="AG79" i="1" s="1"/>
  <c r="AH78" i="1"/>
  <c r="AH79" i="1" s="1"/>
  <c r="AL127" i="1" l="1"/>
  <c r="AM133" i="1"/>
  <c r="AM134" i="1" s="1"/>
  <c r="AM131" i="1"/>
  <c r="AM137" i="1"/>
  <c r="AM138" i="1" s="1"/>
  <c r="AM141" i="1"/>
  <c r="AM109" i="1"/>
  <c r="AM111" i="1"/>
  <c r="AM113" i="1"/>
  <c r="AM115" i="1"/>
  <c r="AM117" i="1"/>
  <c r="AM119" i="1"/>
  <c r="AM121" i="1"/>
  <c r="AM123" i="1"/>
  <c r="AM125" i="1"/>
  <c r="AM135" i="1"/>
  <c r="AM136" i="1" s="1"/>
  <c r="AM139" i="1"/>
  <c r="AM140" i="1" s="1"/>
  <c r="AM108" i="1"/>
  <c r="AM110" i="1"/>
  <c r="AM112" i="1"/>
  <c r="AM114" i="1"/>
  <c r="AM116" i="1"/>
  <c r="AM118" i="1"/>
  <c r="AM120" i="1"/>
  <c r="AM122" i="1"/>
  <c r="AM124" i="1"/>
  <c r="AL82" i="1"/>
  <c r="AL83" i="1" s="1"/>
  <c r="AL81" i="1"/>
  <c r="AL132" i="1"/>
  <c r="AL144" i="1" s="1"/>
  <c r="AL143" i="1"/>
  <c r="AL126" i="1"/>
  <c r="AM90" i="1"/>
  <c r="AM77" i="1"/>
  <c r="AM84" i="1"/>
  <c r="AM85" i="1" l="1"/>
  <c r="AM78" i="1" s="1"/>
  <c r="AM79" i="1" s="1"/>
  <c r="AM126" i="1"/>
  <c r="AM127" i="1"/>
  <c r="AM81" i="1"/>
  <c r="AM82" i="1"/>
  <c r="AM83" i="1" s="1"/>
  <c r="AM132" i="1"/>
  <c r="AM144" i="1" s="1"/>
  <c r="AM143" i="1"/>
</calcChain>
</file>

<file path=xl/sharedStrings.xml><?xml version="1.0" encoding="utf-8"?>
<sst xmlns="http://schemas.openxmlformats.org/spreadsheetml/2006/main" count="335" uniqueCount="260">
  <si>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</si>
  <si>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</si>
  <si>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</si>
  <si>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</si>
  <si>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</si>
  <si>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</si>
  <si>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</si>
  <si>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</si>
  <si>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</si>
  <si>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</si>
  <si>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</si>
  <si>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</si>
  <si>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</si>
  <si>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</si>
  <si>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</si>
  <si>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</si>
  <si>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</si>
  <si>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</si>
  <si>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</si>
  <si>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</si>
  <si>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</si>
  <si>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</si>
  <si>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</si>
  <si>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</si>
  <si>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</si>
  <si>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</si>
  <si>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</si>
  <si>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</si>
  <si>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</si>
  <si>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</si>
  <si>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</si>
  <si>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</si>
  <si>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</si>
  <si>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</si>
  <si>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</si>
  <si>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</si>
  <si>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</si>
  <si>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</si>
  <si>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</si>
  <si>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</si>
  <si>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</si>
  <si>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</si>
  <si>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</si>
  <si>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</si>
  <si>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</si>
  <si>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</si>
  <si>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</si>
  <si>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</si>
  <si>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</si>
  <si>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</si>
  <si>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</si>
  <si>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</si>
  <si>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</si>
  <si>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</si>
  <si>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</si>
  <si>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</si>
  <si>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</si>
  <si>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</si>
  <si>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</si>
  <si>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</si>
  <si>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</si>
  <si>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</si>
  <si>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</si>
  <si>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</si>
  <si>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</si>
  <si>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</si>
  <si>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</si>
  <si>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</si>
  <si>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</si>
  <si>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</si>
  <si>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</si>
  <si>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</si>
  <si>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</si>
  <si>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</si>
  <si>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</si>
  <si>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</si>
  <si>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</si>
  <si>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</si>
  <si>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</si>
  <si>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</si>
  <si>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</si>
  <si>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</si>
  <si>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</si>
  <si>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</si>
  <si>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</si>
  <si>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</si>
  <si>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</si>
  <si>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</si>
  <si>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</si>
  <si>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</si>
  <si>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</si>
  <si>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</si>
  <si>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</si>
  <si>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</si>
  <si>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</si>
  <si>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</si>
  <si>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</si>
  <si>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</si>
  <si>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</si>
  <si>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</si>
  <si>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</si>
  <si>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</si>
  <si>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</si>
  <si>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</si>
  <si>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</si>
  <si>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</si>
  <si>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</si>
  <si>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</si>
  <si>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</si>
  <si>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</si>
  <si>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</si>
  <si>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</si>
  <si>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</si>
  <si>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</si>
  <si>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</si>
  <si>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</si>
  <si>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</si>
  <si>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</si>
  <si>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</si>
  <si>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</si>
  <si>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</si>
  <si>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</si>
  <si>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</si>
  <si>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</si>
  <si>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</si>
  <si>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</si>
  <si>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</si>
  <si>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</si>
  <si>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</si>
  <si>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</si>
  <si>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</si>
  <si>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</si>
  <si>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</si>
  <si>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</si>
  <si>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</si>
  <si>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</si>
  <si>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</si>
  <si>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</si>
  <si>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</si>
  <si>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</si>
  <si>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</si>
  <si>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</si>
  <si>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</si>
  <si>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</si>
  <si>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</si>
  <si>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</si>
  <si>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</si>
  <si>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</si>
  <si>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</si>
  <si>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</si>
  <si>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</si>
  <si>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</si>
  <si>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</si>
  <si>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</si>
  <si>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</si>
  <si>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</si>
  <si>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</si>
  <si>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</si>
  <si>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</si>
  <si>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</si>
  <si>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</si>
  <si>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</si>
  <si>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</si>
  <si>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</si>
  <si>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</si>
  <si>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</si>
  <si>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</si>
  <si>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</si>
  <si>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</si>
  <si>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</si>
  <si>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</si>
  <si>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</si>
  <si>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</si>
  <si>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</si>
  <si>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</si>
  <si>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as of 8/4/2020</t>
  </si>
  <si>
    <t>First death 29/2</t>
  </si>
  <si>
    <t>Travel from the European Schengen Area blocked</t>
  </si>
  <si>
    <t>Canada travel restricted</t>
  </si>
  <si>
    <t>Mexico travel restricted</t>
  </si>
  <si>
    <t>UK and Ireland travel restricted</t>
  </si>
  <si>
    <t>Iran travel blocked</t>
  </si>
  <si>
    <t>State of Emergency declared by Trump</t>
  </si>
  <si>
    <t>By 16/3/2020 all states had declared a State of Emergency.  States progressively began implementing stay at home orders.  Not all states have done so though</t>
  </si>
  <si>
    <t>Public Hospital Beds in US / 1,000</t>
  </si>
  <si>
    <t>ICU Beds in US / 100,000</t>
  </si>
  <si>
    <t>Detected infection rates appear to have peaked 4/4</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</si>
  <si>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</si>
  <si>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</si>
  <si>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</si>
  <si>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</si>
  <si>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</si>
  <si>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</si>
  <si>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</si>
  <si>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</si>
  <si>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</si>
  <si>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</si>
  <si>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</si>
  <si>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</si>
  <si>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Reports that China is investigating respiratory illness in Wuhan</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</si>
  <si>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</si>
  <si>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</si>
  <si>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</si>
  <si>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</si>
  <si>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</si>
  <si>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</si>
  <si>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</si>
  <si>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</si>
  <si>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</si>
  <si>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</si>
  <si>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</si>
  <si>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</si>
  <si>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</si>
  <si>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</si>
  <si>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</si>
  <si>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Azar declares a public health emergency, Trump announces a ban on entry to the US from foreign nationals who recently visited China</t>
  </si>
  <si>
    <t>Jan - Feb</t>
  </si>
  <si>
    <t>US Intelligence agencies file classified reports warning about global destabilisation from the pending coronavirus pandemic</t>
  </si>
  <si>
    <t>Senate briefed by WH, expresses concern that WH not taking the threat seriously enough</t>
  </si>
  <si>
    <t>Trump predicts that "it’s going to work out fine. I think when we get into April, in the warmer weather, that has a very negative effect on that and that type of a virus."</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</si>
  <si>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</si>
  <si>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</si>
  <si>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</si>
  <si>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</si>
  <si>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</si>
  <si>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First community spread case documented, Trump states "The infection seems to have gone down over the last two days… We’re going to be pretty soon at only five people. And we could be at just one or two people over the next short period of time." and tweets "Low Ratings Fake News MSDNC (Comcast) &amp; @CNN are doing everything possible to make the Caronavirus look as bad as possible, including panicking markets, if possible. Likewise their incompetent Do Nothing Democrat comrades are all talk, no action. USA in great shape!"</t>
  </si>
  <si>
    <t>Trump states "It's going to disappear, One day it's like a miracle, it will disappear."</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</si>
  <si>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t>
  </si>
  <si>
    <t>Trump at the CDC calls the pandemic "an unforeseen problem. What a problem, came out of nowhere.", stockmarkets begin to plunge in earnest</t>
  </si>
  <si>
    <t>Trump tweets "So last year 37,000 Americans died from the common Flu. It averages between 27,000 and 70,000 per year. Nothing is shut down, life &amp; the economy go on. At this moment there are 546 confirmed cases of CoronaVirus, with 22 deaths. Think about that!"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</si>
  <si>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</si>
  <si>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</si>
  <si>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</si>
  <si>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</si>
  <si>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</si>
  <si>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</si>
  <si>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</si>
  <si>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announces halt to funding of WHO stating that the WHO had "failed in its basic duty and it must be held accountable"</t>
  </si>
  <si>
    <t>Trump tweets "cure can't be worse than the problem itself" and states he would "love to have the country opened up, and just raring to go by Easter"</t>
  </si>
  <si>
    <t>Trump signs $2.2tn emergency spending bill</t>
  </si>
  <si>
    <t>Trump falsely states that "inherited a broken test" for COVID-19, tells nation to prepare for hard days</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</si>
  <si>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</si>
  <si>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</si>
  <si>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</si>
  <si>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</si>
  <si>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raises first alert over Wuhan outbreak</t>
  </si>
  <si>
    <t>WHO begins ongoing briefings to US and other national govts</t>
  </si>
  <si>
    <t>WHO distributes guidance to member states for their own risk assessments and planning</t>
  </si>
  <si>
    <t>WHO report preliminary studies suggest no clear evidence of human to human transmission, but stated that it was still a strong possibility</t>
  </si>
  <si>
    <t>Trump tweets "China has been working very hard to contain the coronavirus… The United States greatly appreciates their efforts and transparency"</t>
  </si>
  <si>
    <t>Chinese scientists publicly release the genetic sequence of Covd-19</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</si>
  <si>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</si>
  <si>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</si>
  <si>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</si>
  <si>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states that the information they have from China showed there was no evidence of significant human to human transmission</t>
  </si>
  <si>
    <t>WHO confirms human to human transmission and the global risk was high following a brief field visit to Wuhan</t>
  </si>
  <si>
    <t>WHO published advice recommending no international restrictions, restricting the movement of people and goods duing public health emergencies is ineffective in most situations.</t>
  </si>
  <si>
    <t>WHO declares a global health emergency while praising China for its efforts to contain the virus including its commitment to transparency and discouraging the closing down of borders</t>
  </si>
  <si>
    <t>Trump begins pushing hydroxychloroquine and azithromycin , media outlets point out that Trump has shares in a pharmaceutical that makes hydroxychloroquine, this after Trump had previously stated that he does not do shares, only hotels</t>
  </si>
  <si>
    <t>Trump claims COVID-19 has gotten too brilliant for antibiotics to work against the virus, not understanding the difference between virus' and bacteria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</si>
</sst>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95">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3" xfId="0" applyNumberFormat="1" applyFill="1" applyBorder="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3" fontId="9" fillId="8" borderId="14" xfId="0" applyNumberFormat="1" applyFont="1" applyFill="1" applyBorder="1"/>
    <xf numFmtId="3" fontId="9" fillId="2" borderId="14" xfId="0" applyNumberFormat="1" applyFont="1" applyFill="1" applyBorder="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4" fontId="0" fillId="0" borderId="7" xfId="0" applyNumberFormat="1" applyFill="1" applyBorder="1"/>
    <xf numFmtId="14" fontId="0" fillId="0" borderId="2" xfId="0" applyNumberFormat="1" applyFill="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4" fontId="0" fillId="4" borderId="1" xfId="0" applyNumberFormat="1" applyFill="1" applyBorder="1"/>
    <xf numFmtId="14" fontId="0" fillId="15" borderId="7" xfId="0" applyNumberFormat="1" applyFill="1" applyBorder="1"/>
    <xf numFmtId="14" fontId="0" fillId="16" borderId="7" xfId="0" applyNumberFormat="1" applyFill="1" applyBorder="1"/>
    <xf numFmtId="14" fontId="0" fillId="10" borderId="7" xfId="0" applyNumberFormat="1" applyFill="1" applyBorder="1"/>
    <xf numFmtId="14" fontId="0" fillId="4" borderId="7" xfId="0" applyNumberFormat="1" applyFill="1" applyBorder="1"/>
    <xf numFmtId="171" fontId="0" fillId="9" borderId="1" xfId="0" applyNumberFormat="1" applyFill="1" applyBorder="1"/>
    <xf numFmtId="171" fontId="0" fillId="3" borderId="7" xfId="0" applyNumberFormat="1" applyFill="1" applyBorder="1"/>
    <xf numFmtId="171" fontId="0" fillId="3" borderId="2" xfId="0" applyNumberFormat="1" applyFill="1" applyBorder="1"/>
    <xf numFmtId="171" fontId="0" fillId="18" borderId="4" xfId="0" applyNumberFormat="1" applyFill="1" applyBorder="1"/>
    <xf numFmtId="3" fontId="0" fillId="0" borderId="13" xfId="0" applyNumberFormat="1" applyFill="1" applyBorder="1" applyAlignment="1">
      <alignment horizontal="center"/>
    </xf>
    <xf numFmtId="14" fontId="0" fillId="8" borderId="7" xfId="0" applyNumberFormat="1" applyFill="1" applyBorder="1"/>
    <xf numFmtId="14" fontId="0" fillId="2" borderId="0" xfId="0" applyNumberFormat="1" applyFill="1"/>
    <xf numFmtId="14" fontId="0" fillId="13" borderId="0" xfId="0" applyNumberFormat="1" applyFill="1"/>
    <xf numFmtId="0" fontId="0" fillId="13" borderId="0" xfId="0" applyFill="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43897.590662731483</c:v>
                </c:pt>
                <c:pt idx="1">
                  <c:v>43900.590662731483</c:v>
                </c:pt>
                <c:pt idx="2">
                  <c:v>43903.590662731483</c:v>
                </c:pt>
                <c:pt idx="3">
                  <c:v>43906.590662731483</c:v>
                </c:pt>
                <c:pt idx="4">
                  <c:v>43909.590662731483</c:v>
                </c:pt>
                <c:pt idx="5">
                  <c:v>43912.590662731483</c:v>
                </c:pt>
                <c:pt idx="6">
                  <c:v>43915.590662731483</c:v>
                </c:pt>
                <c:pt idx="7">
                  <c:v>43918.590662731483</c:v>
                </c:pt>
                <c:pt idx="8">
                  <c:v>43921.590662731483</c:v>
                </c:pt>
                <c:pt idx="9">
                  <c:v>43924.590662731483</c:v>
                </c:pt>
                <c:pt idx="10">
                  <c:v>43927.590662731483</c:v>
                </c:pt>
                <c:pt idx="11">
                  <c:v>43930.590662731483</c:v>
                </c:pt>
                <c:pt idx="12">
                  <c:v>43933.590662731483</c:v>
                </c:pt>
                <c:pt idx="13">
                  <c:v>43936.590662731483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208.33333333333334</c:v>
                </c:pt>
                <c:pt idx="1">
                  <c:v>416.66666666666669</c:v>
                </c:pt>
                <c:pt idx="2">
                  <c:v>833.33333333333337</c:v>
                </c:pt>
                <c:pt idx="3">
                  <c:v>1666.6666666666667</c:v>
                </c:pt>
                <c:pt idx="4">
                  <c:v>3333.3333333333335</c:v>
                </c:pt>
                <c:pt idx="5">
                  <c:v>6666.666666666667</c:v>
                </c:pt>
                <c:pt idx="6">
                  <c:v>13333.333333333334</c:v>
                </c:pt>
                <c:pt idx="7">
                  <c:v>26666.666666666668</c:v>
                </c:pt>
                <c:pt idx="8">
                  <c:v>53333.333333333336</c:v>
                </c:pt>
                <c:pt idx="9">
                  <c:v>106666.66666666667</c:v>
                </c:pt>
                <c:pt idx="10">
                  <c:v>213333.33333333334</c:v>
                </c:pt>
                <c:pt idx="11">
                  <c:v>426666.66666666669</c:v>
                </c:pt>
                <c:pt idx="12">
                  <c:v>853333.33333333337</c:v>
                </c:pt>
                <c:pt idx="13">
                  <c:v>1706666.6666666667</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43897.590662731483</c:v>
                </c:pt>
                <c:pt idx="1">
                  <c:v>43900.590662731483</c:v>
                </c:pt>
                <c:pt idx="2">
                  <c:v>43903.590662731483</c:v>
                </c:pt>
                <c:pt idx="3">
                  <c:v>43906.590662731483</c:v>
                </c:pt>
                <c:pt idx="4">
                  <c:v>43909.590662731483</c:v>
                </c:pt>
                <c:pt idx="5">
                  <c:v>43912.590662731483</c:v>
                </c:pt>
                <c:pt idx="6">
                  <c:v>43915.590662731483</c:v>
                </c:pt>
                <c:pt idx="7">
                  <c:v>43918.590662731483</c:v>
                </c:pt>
                <c:pt idx="8">
                  <c:v>43921.590662731483</c:v>
                </c:pt>
                <c:pt idx="9">
                  <c:v>43924.590662731483</c:v>
                </c:pt>
                <c:pt idx="10">
                  <c:v>43927.590662731483</c:v>
                </c:pt>
                <c:pt idx="11">
                  <c:v>43930.590662731483</c:v>
                </c:pt>
                <c:pt idx="12">
                  <c:v>43933.590662731483</c:v>
                </c:pt>
                <c:pt idx="13">
                  <c:v>43936.590662731483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183.33333333333334</c:v>
                </c:pt>
                <c:pt idx="1">
                  <c:v>366.66666666666669</c:v>
                </c:pt>
                <c:pt idx="2">
                  <c:v>733.33333333333337</c:v>
                </c:pt>
                <c:pt idx="3">
                  <c:v>1466.6666666666667</c:v>
                </c:pt>
                <c:pt idx="4">
                  <c:v>2933.3333333333335</c:v>
                </c:pt>
                <c:pt idx="5">
                  <c:v>5866.666666666667</c:v>
                </c:pt>
                <c:pt idx="6">
                  <c:v>11733.333333333334</c:v>
                </c:pt>
                <c:pt idx="7">
                  <c:v>23466.666666666668</c:v>
                </c:pt>
                <c:pt idx="8">
                  <c:v>46933.333333333336</c:v>
                </c:pt>
                <c:pt idx="9">
                  <c:v>93866.666666666672</c:v>
                </c:pt>
                <c:pt idx="10">
                  <c:v>187733.33333333334</c:v>
                </c:pt>
                <c:pt idx="11">
                  <c:v>375466.66666666669</c:v>
                </c:pt>
                <c:pt idx="12">
                  <c:v>750933.33333333337</c:v>
                </c:pt>
                <c:pt idx="13">
                  <c:v>1501866.6666666667</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43897.590662731483</c:v>
                </c:pt>
                <c:pt idx="1">
                  <c:v>43900.590662731483</c:v>
                </c:pt>
                <c:pt idx="2">
                  <c:v>43903.590662731483</c:v>
                </c:pt>
                <c:pt idx="3">
                  <c:v>43906.590662731483</c:v>
                </c:pt>
                <c:pt idx="4">
                  <c:v>43909.590662731483</c:v>
                </c:pt>
                <c:pt idx="5">
                  <c:v>43912.590662731483</c:v>
                </c:pt>
                <c:pt idx="6">
                  <c:v>43915.590662731483</c:v>
                </c:pt>
                <c:pt idx="7">
                  <c:v>43918.590662731483</c:v>
                </c:pt>
                <c:pt idx="8">
                  <c:v>43921.590662731483</c:v>
                </c:pt>
                <c:pt idx="9">
                  <c:v>43924.590662731483</c:v>
                </c:pt>
                <c:pt idx="10">
                  <c:v>43927.590662731483</c:v>
                </c:pt>
                <c:pt idx="11">
                  <c:v>43930.590662731483</c:v>
                </c:pt>
                <c:pt idx="12">
                  <c:v>43933.590662731483</c:v>
                </c:pt>
                <c:pt idx="13">
                  <c:v>43936.590662731483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c:v>
                </c:pt>
                <c:pt idx="4">
                  <c:v>50</c:v>
                </c:pt>
                <c:pt idx="5">
                  <c:v>100</c:v>
                </c:pt>
                <c:pt idx="6">
                  <c:v>200</c:v>
                </c:pt>
                <c:pt idx="7">
                  <c:v>400</c:v>
                </c:pt>
                <c:pt idx="8">
                  <c:v>800</c:v>
                </c:pt>
                <c:pt idx="9">
                  <c:v>1600</c:v>
                </c:pt>
                <c:pt idx="10">
                  <c:v>3200</c:v>
                </c:pt>
                <c:pt idx="11">
                  <c:v>6400</c:v>
                </c:pt>
                <c:pt idx="12">
                  <c:v>12800</c:v>
                </c:pt>
                <c:pt idx="13">
                  <c:v>25600</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Projections!$A$76</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Projections!$L$75:$AN$75</c15:sqref>
                  </c15:fullRef>
                </c:ext>
              </c:extLst>
              <c:f>Projections!$L$75:$AD$75</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numCache>
            </c:numRef>
          </c:cat>
          <c:val>
            <c:numRef>
              <c:extLst>
                <c:ext xmlns:c15="http://schemas.microsoft.com/office/drawing/2012/chart" uri="{02D57815-91ED-43cb-92C2-25804820EDAC}">
                  <c15:fullRef>
                    <c15:sqref>Projections!$L$76:$AN$76</c15:sqref>
                  </c15:fullRef>
                </c:ext>
              </c:extLst>
              <c:f>Projections!$L$76:$AD$76</c:f>
              <c:numCache>
                <c:formatCode>#,##0_ ;[Red]\-#,##0\ </c:formatCode>
                <c:ptCount val="1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768000</c:v>
                </c:pt>
                <c:pt idx="16">
                  <c:v>896000</c:v>
                </c:pt>
                <c:pt idx="17">
                  <c:v>962560</c:v>
                </c:pt>
                <c:pt idx="18">
                  <c:v>1024000</c:v>
                </c:pt>
              </c:numCache>
            </c:numRef>
          </c:val>
          <c:smooth val="0"/>
          <c:extLst>
            <c:ext xmlns:c16="http://schemas.microsoft.com/office/drawing/2014/chart" uri="{C3380CC4-5D6E-409C-BE32-E72D297353CC}">
              <c16:uniqueId val="{00000004-8BCC-427B-903C-670C749E04E9}"/>
            </c:ext>
          </c:extLst>
        </c:ser>
        <c:ser>
          <c:idx val="1"/>
          <c:order val="1"/>
          <c:tx>
            <c:strRef>
              <c:f>Projections!$A$100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Projections!$L$75:$AN$75</c15:sqref>
                  </c15:fullRef>
                </c:ext>
              </c:extLst>
              <c:f>Projections!$L$75:$AD$75</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numCache>
            </c:numRef>
          </c:cat>
          <c:val>
            <c:numRef>
              <c:extLst>
                <c:ext xmlns:c15="http://schemas.microsoft.com/office/drawing/2012/chart" uri="{02D57815-91ED-43cb-92C2-25804820EDAC}">
                  <c15:fullRef>
                    <c15:sqref>Projections!$L$100:$AN$100</c15:sqref>
                  </c15:fullRef>
                </c:ext>
              </c:extLst>
              <c:f>Projections!$L$100:$AD$100</c:f>
              <c:numCache>
                <c:formatCode>General</c:formatCode>
                <c:ptCount val="19"/>
                <c:pt idx="0">
                  <c:v>35</c:v>
                </c:pt>
                <c:pt idx="1">
                  <c:v>68</c:v>
                </c:pt>
                <c:pt idx="2" formatCode="#,##0">
                  <c:v>124</c:v>
                </c:pt>
                <c:pt idx="3" formatCode="#,##0">
                  <c:v>221</c:v>
                </c:pt>
                <c:pt idx="4" formatCode="#,##0">
                  <c:v>541</c:v>
                </c:pt>
                <c:pt idx="5" formatCode="#,##0">
                  <c:v>1301</c:v>
                </c:pt>
                <c:pt idx="6" formatCode="#,##0">
                  <c:v>2770</c:v>
                </c:pt>
                <c:pt idx="7" formatCode="#,##0">
                  <c:v>4596</c:v>
                </c:pt>
                <c:pt idx="8" formatCode="#,##0">
                  <c:v>9296</c:v>
                </c:pt>
                <c:pt idx="9" formatCode="#,##0">
                  <c:v>19497</c:v>
                </c:pt>
                <c:pt idx="10" formatCode="#,##0">
                  <c:v>33745</c:v>
                </c:pt>
                <c:pt idx="11" formatCode="#,##0">
                  <c:v>68673</c:v>
                </c:pt>
                <c:pt idx="12" formatCode="#,##0">
                  <c:v>124256</c:v>
                </c:pt>
                <c:pt idx="13" formatCode="#,##0">
                  <c:v>246729</c:v>
                </c:pt>
                <c:pt idx="14" formatCode="#,##0">
                  <c:v>532879</c:v>
                </c:pt>
                <c:pt idx="15" formatCode="#,##0">
                  <c:v>768000</c:v>
                </c:pt>
                <c:pt idx="16" formatCode="#,##0">
                  <c:v>896000</c:v>
                </c:pt>
                <c:pt idx="17" formatCode="#,##0">
                  <c:v>962560</c:v>
                </c:pt>
                <c:pt idx="18" formatCode="#,##0">
                  <c:v>1065758</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Projections!$A$90</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Projections!$L$75:$AN$75</c15:sqref>
                  </c15:fullRef>
                </c:ext>
              </c:extLst>
              <c:f>Projections!$L$75:$AD$75</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numCache>
            </c:numRef>
          </c:cat>
          <c:val>
            <c:numRef>
              <c:extLst>
                <c:ext xmlns:c15="http://schemas.microsoft.com/office/drawing/2012/chart" uri="{02D57815-91ED-43cb-92C2-25804820EDAC}">
                  <c15:fullRef>
                    <c15:sqref>Projections!$L$90:$AN$90</c15:sqref>
                  </c15:fullRef>
                </c:ext>
              </c:extLst>
              <c:f>Projections!$L$90:$AD$90</c:f>
              <c:numCache>
                <c:formatCode>#,##0_ ;[Red]\-#,##0\ </c:formatCode>
                <c:ptCount val="19"/>
                <c:pt idx="0">
                  <c:v>1.25</c:v>
                </c:pt>
                <c:pt idx="1">
                  <c:v>2.5</c:v>
                </c:pt>
                <c:pt idx="2">
                  <c:v>5</c:v>
                </c:pt>
                <c:pt idx="3">
                  <c:v>10</c:v>
                </c:pt>
                <c:pt idx="4">
                  <c:v>20</c:v>
                </c:pt>
                <c:pt idx="5">
                  <c:v>40</c:v>
                </c:pt>
                <c:pt idx="6">
                  <c:v>80</c:v>
                </c:pt>
                <c:pt idx="7">
                  <c:v>160</c:v>
                </c:pt>
                <c:pt idx="8">
                  <c:v>320</c:v>
                </c:pt>
                <c:pt idx="9">
                  <c:v>640</c:v>
                </c:pt>
                <c:pt idx="10">
                  <c:v>1280</c:v>
                </c:pt>
                <c:pt idx="11">
                  <c:v>2560</c:v>
                </c:pt>
                <c:pt idx="12">
                  <c:v>5120</c:v>
                </c:pt>
                <c:pt idx="13">
                  <c:v>10240</c:v>
                </c:pt>
                <c:pt idx="14">
                  <c:v>20480</c:v>
                </c:pt>
                <c:pt idx="15">
                  <c:v>30720</c:v>
                </c:pt>
                <c:pt idx="16">
                  <c:v>35840</c:v>
                </c:pt>
                <c:pt idx="17">
                  <c:v>38502.400000000001</c:v>
                </c:pt>
                <c:pt idx="18">
                  <c:v>40960</c:v>
                </c:pt>
              </c:numCache>
            </c:numRef>
          </c:val>
          <c:smooth val="0"/>
          <c:extLst>
            <c:ext xmlns:c16="http://schemas.microsoft.com/office/drawing/2014/chart" uri="{C3380CC4-5D6E-409C-BE32-E72D297353CC}">
              <c16:uniqueId val="{00000000-50BE-40C1-B679-81AF0BCE3FCD}"/>
            </c:ext>
          </c:extLst>
        </c:ser>
        <c:ser>
          <c:idx val="1"/>
          <c:order val="1"/>
          <c:tx>
            <c:strRef>
              <c:f>Projections!$A$104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Projections!$L$75:$AN$75</c15:sqref>
                  </c15:fullRef>
                </c:ext>
              </c:extLst>
              <c:f>Projections!$L$75:$AD$75</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numCache>
            </c:numRef>
          </c:cat>
          <c:val>
            <c:numRef>
              <c:extLst>
                <c:ext xmlns:c15="http://schemas.microsoft.com/office/drawing/2012/chart" uri="{02D57815-91ED-43cb-92C2-25804820EDAC}">
                  <c15:fullRef>
                    <c15:sqref>Projections!$L$104:$AN$104</c15:sqref>
                  </c15:fullRef>
                </c:ext>
              </c:extLst>
              <c:f>Projections!$L$104:$AD$104</c:f>
              <c:numCache>
                <c:formatCode>General</c:formatCode>
                <c:ptCount val="19"/>
                <c:pt idx="0">
                  <c:v>0</c:v>
                </c:pt>
                <c:pt idx="1">
                  <c:v>1</c:v>
                </c:pt>
                <c:pt idx="2" formatCode="#,##0">
                  <c:v>9</c:v>
                </c:pt>
                <c:pt idx="3" formatCode="#,##0">
                  <c:v>12</c:v>
                </c:pt>
                <c:pt idx="4" formatCode="#,##0">
                  <c:v>22</c:v>
                </c:pt>
                <c:pt idx="5" formatCode="#,##0">
                  <c:v>38</c:v>
                </c:pt>
                <c:pt idx="6" formatCode="#,##0">
                  <c:v>57</c:v>
                </c:pt>
                <c:pt idx="7" formatCode="#,##0">
                  <c:v>87</c:v>
                </c:pt>
                <c:pt idx="8" formatCode="#,##0">
                  <c:v>150</c:v>
                </c:pt>
                <c:pt idx="9" formatCode="#,##0">
                  <c:v>255</c:v>
                </c:pt>
                <c:pt idx="10" formatCode="#,##0">
                  <c:v>414</c:v>
                </c:pt>
                <c:pt idx="11" formatCode="#,##0">
                  <c:v>1028</c:v>
                </c:pt>
                <c:pt idx="12" formatCode="#,##0">
                  <c:v>2222</c:v>
                </c:pt>
                <c:pt idx="13" formatCode="#,##0">
                  <c:v>6088</c:v>
                </c:pt>
                <c:pt idx="14" formatCode="#,##0">
                  <c:v>20577</c:v>
                </c:pt>
                <c:pt idx="15" formatCode="#,##0">
                  <c:v>28529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Projections!$A$86</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Projections!$L$86:$AN$86</c15:sqref>
                  </c15:fullRef>
                </c:ext>
              </c:extLst>
              <c:f>Projections!$L$86:$AE$86</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64486.753877005009</c:v>
                </c:pt>
                <c:pt idx="15">
                  <c:v>90399.116071428653</c:v>
                </c:pt>
                <c:pt idx="16">
                  <c:v>130285.71428571413</c:v>
                </c:pt>
                <c:pt idx="17">
                  <c:v>151999.99999999991</c:v>
                </c:pt>
                <c:pt idx="18">
                  <c:v>163291.42857142884</c:v>
                </c:pt>
                <c:pt idx="19">
                  <c:v>2912827.1515627955</c:v>
                </c:pt>
              </c:numCache>
            </c:numRef>
          </c:val>
          <c:smooth val="0"/>
          <c:extLst>
            <c:ext xmlns:c16="http://schemas.microsoft.com/office/drawing/2014/chart" uri="{C3380CC4-5D6E-409C-BE32-E72D297353CC}">
              <c16:uniqueId val="{00000000-A3C2-4B4C-996C-CDB1A252886F}"/>
            </c:ext>
          </c:extLst>
        </c:ser>
        <c:ser>
          <c:idx val="2"/>
          <c:order val="1"/>
          <c:tx>
            <c:strRef>
              <c:f>Projections!$A$87</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Projections!$L$87:$AN$87</c15:sqref>
                  </c15:fullRef>
                </c:ext>
              </c:extLst>
              <c:f>Projections!$L$87:$AE$87</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58944.211012749765</c:v>
                </c:pt>
                <c:pt idx="15">
                  <c:v>73515.898416943528</c:v>
                </c:pt>
                <c:pt idx="16">
                  <c:v>107241.12994546359</c:v>
                </c:pt>
                <c:pt idx="17">
                  <c:v>120206.88972412996</c:v>
                </c:pt>
                <c:pt idx="18">
                  <c:v>124729.6269601144</c:v>
                </c:pt>
                <c:pt idx="19">
                  <c:v>2540299.3414317681</c:v>
                </c:pt>
              </c:numCache>
            </c:numRef>
          </c:val>
          <c:smooth val="0"/>
          <c:extLst>
            <c:ext xmlns:c16="http://schemas.microsoft.com/office/drawing/2014/chart" uri="{C3380CC4-5D6E-409C-BE32-E72D297353CC}">
              <c16:uniqueId val="{00000001-A3C2-4B4C-996C-CDB1A252886F}"/>
            </c:ext>
          </c:extLst>
        </c:ser>
        <c:ser>
          <c:idx val="0"/>
          <c:order val="2"/>
          <c:tx>
            <c:strRef>
              <c:f>Projections!$A$88</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Projections!$L$88:$AN$88</c15:sqref>
                  </c15:fullRef>
                </c:ext>
              </c:extLst>
              <c:f>Projections!$L$88:$AE$88</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123.66071428571428</c:v>
                </c:pt>
                <c:pt idx="13">
                  <c:v>514.38422097436683</c:v>
                </c:pt>
                <c:pt idx="14">
                  <c:v>5547.1428571428523</c:v>
                </c:pt>
                <c:pt idx="15">
                  <c:v>16970.198388685531</c:v>
                </c:pt>
                <c:pt idx="16">
                  <c:v>23789.241071428591</c:v>
                </c:pt>
                <c:pt idx="17">
                  <c:v>34285.714285714246</c:v>
                </c:pt>
                <c:pt idx="18">
                  <c:v>39999.999999999978</c:v>
                </c:pt>
                <c:pt idx="19">
                  <c:v>303499.238702456</c:v>
                </c:pt>
              </c:numCache>
            </c:numRef>
          </c:val>
          <c:smooth val="0"/>
          <c:extLst>
            <c:ext xmlns:c16="http://schemas.microsoft.com/office/drawing/2014/chart" uri="{C3380CC4-5D6E-409C-BE32-E72D297353CC}">
              <c16:uniqueId val="{00000002-A3C2-4B4C-996C-CDB1A252886F}"/>
            </c:ext>
          </c:extLst>
        </c:ser>
        <c:ser>
          <c:idx val="4"/>
          <c:order val="3"/>
          <c:tx>
            <c:strRef>
              <c:f>Projections!$A$89</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Projections!$L$89:$AN$89</c15:sqref>
                  </c15:fullRef>
                </c:ext>
              </c:extLst>
              <c:f>Projections!$L$89:$AE$89</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121.90833273345505</c:v>
                </c:pt>
                <c:pt idx="13">
                  <c:v>511.27485454338046</c:v>
                </c:pt>
                <c:pt idx="14">
                  <c:v>5534.0428642552415</c:v>
                </c:pt>
                <c:pt idx="15">
                  <c:v>16846.537674399817</c:v>
                </c:pt>
                <c:pt idx="16">
                  <c:v>22698.334340250534</c:v>
                </c:pt>
                <c:pt idx="17">
                  <c:v>28738.571428571395</c:v>
                </c:pt>
                <c:pt idx="18">
                  <c:v>23029.801611314448</c:v>
                </c:pt>
                <c:pt idx="19">
                  <c:v>260527.81013102736</c:v>
                </c:pt>
              </c:numCache>
            </c:numRef>
          </c:val>
          <c:smooth val="0"/>
          <c:extLst>
            <c:ext xmlns:c16="http://schemas.microsoft.com/office/drawing/2014/chart" uri="{C3380CC4-5D6E-409C-BE32-E72D297353CC}">
              <c16:uniqueId val="{00000003-A3C2-4B4C-996C-CDB1A252886F}"/>
            </c:ext>
          </c:extLst>
        </c:ser>
        <c:ser>
          <c:idx val="1"/>
          <c:order val="4"/>
          <c:tx>
            <c:strRef>
              <c:f>Projections!$A$90</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Projections!$L$90:$AN$90</c15:sqref>
                  </c15:fullRef>
                </c:ext>
              </c:extLst>
              <c:f>Projections!$L$90:$AE$90</c:f>
              <c:numCache>
                <c:formatCode>#,##0_ ;[Red]\-#,##0\ </c:formatCode>
                <c:ptCount val="20"/>
                <c:pt idx="0">
                  <c:v>1.25</c:v>
                </c:pt>
                <c:pt idx="1">
                  <c:v>2.5</c:v>
                </c:pt>
                <c:pt idx="2">
                  <c:v>5</c:v>
                </c:pt>
                <c:pt idx="3">
                  <c:v>10</c:v>
                </c:pt>
                <c:pt idx="4">
                  <c:v>20</c:v>
                </c:pt>
                <c:pt idx="5">
                  <c:v>40</c:v>
                </c:pt>
                <c:pt idx="6">
                  <c:v>80</c:v>
                </c:pt>
                <c:pt idx="7">
                  <c:v>160</c:v>
                </c:pt>
                <c:pt idx="8">
                  <c:v>320</c:v>
                </c:pt>
                <c:pt idx="9">
                  <c:v>640</c:v>
                </c:pt>
                <c:pt idx="10">
                  <c:v>1280</c:v>
                </c:pt>
                <c:pt idx="11">
                  <c:v>2560</c:v>
                </c:pt>
                <c:pt idx="12">
                  <c:v>5120</c:v>
                </c:pt>
                <c:pt idx="13">
                  <c:v>10240</c:v>
                </c:pt>
                <c:pt idx="14">
                  <c:v>20480</c:v>
                </c:pt>
                <c:pt idx="15">
                  <c:v>30720</c:v>
                </c:pt>
                <c:pt idx="16">
                  <c:v>35840</c:v>
                </c:pt>
                <c:pt idx="17">
                  <c:v>38502.400000000001</c:v>
                </c:pt>
                <c:pt idx="18">
                  <c:v>40960</c:v>
                </c:pt>
                <c:pt idx="19">
                  <c:v>81920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Projections!$L$108:$AN$108</c15:sqref>
                  </c15:fullRef>
                </c:ext>
              </c:extLst>
              <c:f>Projections!$L$108:$AE$108</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22155.169324493818</c:v>
                </c:pt>
                <c:pt idx="16">
                  <c:v>25847.697545242787</c:v>
                </c:pt>
                <c:pt idx="17">
                  <c:v>27767.81222003225</c:v>
                </c:pt>
                <c:pt idx="18">
                  <c:v>29540.225765991756</c:v>
                </c:pt>
                <c:pt idx="19">
                  <c:v>59080.451531983512</c:v>
                </c:pt>
              </c:numCache>
            </c:numRef>
          </c:val>
          <c:smooth val="0"/>
          <c:extLst>
            <c:ext xmlns:c16="http://schemas.microsoft.com/office/drawing/2014/chart" uri="{C3380CC4-5D6E-409C-BE32-E72D297353CC}">
              <c16:uniqueId val="{00000000-7972-43AB-83E8-C2C99B4277B0}"/>
            </c:ext>
          </c:extLst>
        </c:ser>
        <c:ser>
          <c:idx val="2"/>
          <c:order val="1"/>
          <c:tx>
            <c:strRef>
              <c:f>Projections!$A$110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Projections!$L$110:$AN$110</c15:sqref>
                  </c15:fullRef>
                </c:ext>
              </c:extLst>
              <c:f>Projections!$L$110:$AE$110</c:f>
              <c:numCache>
                <c:formatCode>#,##0</c:formatCode>
                <c:ptCount val="20"/>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81877.799677477145</c:v>
                </c:pt>
                <c:pt idx="16">
                  <c:v>95524.099623723334</c:v>
                </c:pt>
                <c:pt idx="17">
                  <c:v>102620.17559577136</c:v>
                </c:pt>
                <c:pt idx="18">
                  <c:v>109170.39956996954</c:v>
                </c:pt>
                <c:pt idx="19">
                  <c:v>218340.79913993907</c:v>
                </c:pt>
              </c:numCache>
            </c:numRef>
          </c:val>
          <c:smooth val="0"/>
          <c:extLst>
            <c:ext xmlns:c16="http://schemas.microsoft.com/office/drawing/2014/chart" uri="{C3380CC4-5D6E-409C-BE32-E72D297353CC}">
              <c16:uniqueId val="{00000001-7972-43AB-83E8-C2C99B4277B0}"/>
            </c:ext>
          </c:extLst>
        </c:ser>
        <c:ser>
          <c:idx val="4"/>
          <c:order val="2"/>
          <c:tx>
            <c:strRef>
              <c:f>Projections!$A$112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Projections!$L$112:$AN$112</c15:sqref>
                  </c15:fullRef>
                </c:ext>
              </c:extLst>
              <c:f>Projections!$L$112:$AE$112</c:f>
              <c:numCache>
                <c:formatCode>#,##0</c:formatCode>
                <c:ptCount val="20"/>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128527.50403153556</c:v>
                </c:pt>
                <c:pt idx="16">
                  <c:v>149948.75470345814</c:v>
                </c:pt>
                <c:pt idx="17">
                  <c:v>161087.8050528579</c:v>
                </c:pt>
                <c:pt idx="18">
                  <c:v>171370.00537538074</c:v>
                </c:pt>
                <c:pt idx="19">
                  <c:v>342740.01075076149</c:v>
                </c:pt>
              </c:numCache>
            </c:numRef>
          </c:val>
          <c:smooth val="0"/>
          <c:extLst>
            <c:ext xmlns:c16="http://schemas.microsoft.com/office/drawing/2014/chart" uri="{C3380CC4-5D6E-409C-BE32-E72D297353CC}">
              <c16:uniqueId val="{00000002-7972-43AB-83E8-C2C99B4277B0}"/>
            </c:ext>
          </c:extLst>
        </c:ser>
        <c:ser>
          <c:idx val="6"/>
          <c:order val="3"/>
          <c:tx>
            <c:strRef>
              <c:f>Projections!$A$114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Projections!$L$114:$AN$114</c15:sqref>
                  </c15:fullRef>
                </c:ext>
              </c:extLst>
              <c:f>Projections!$L$114:$AE$114</c:f>
              <c:numCache>
                <c:formatCode>#,##0</c:formatCode>
                <c:ptCount val="20"/>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119307.65095860958</c:v>
                </c:pt>
                <c:pt idx="16">
                  <c:v>139192.25945171117</c:v>
                </c:pt>
                <c:pt idx="17">
                  <c:v>149532.25586812399</c:v>
                </c:pt>
                <c:pt idx="18">
                  <c:v>159076.86794481275</c:v>
                </c:pt>
                <c:pt idx="19">
                  <c:v>318153.7358896255</c:v>
                </c:pt>
              </c:numCache>
            </c:numRef>
          </c:val>
          <c:smooth val="0"/>
          <c:extLst>
            <c:ext xmlns:c16="http://schemas.microsoft.com/office/drawing/2014/chart" uri="{C3380CC4-5D6E-409C-BE32-E72D297353CC}">
              <c16:uniqueId val="{00000003-7972-43AB-83E8-C2C99B4277B0}"/>
            </c:ext>
          </c:extLst>
        </c:ser>
        <c:ser>
          <c:idx val="8"/>
          <c:order val="4"/>
          <c:tx>
            <c:strRef>
              <c:f>Projections!$A$116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Projections!$L$116:$AN$116</c15:sqref>
                  </c15:fullRef>
                </c:ext>
              </c:extLst>
              <c:f>Projections!$L$116:$AE$116</c:f>
              <c:numCache>
                <c:formatCode>#,##0</c:formatCode>
                <c:ptCount val="20"/>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99629.457086543625</c:v>
                </c:pt>
                <c:pt idx="16">
                  <c:v>116234.36660096757</c:v>
                </c:pt>
                <c:pt idx="17">
                  <c:v>124868.91954846801</c:v>
                </c:pt>
                <c:pt idx="18">
                  <c:v>132839.27611539149</c:v>
                </c:pt>
                <c:pt idx="19">
                  <c:v>265678.55223078298</c:v>
                </c:pt>
              </c:numCache>
            </c:numRef>
          </c:val>
          <c:smooth val="0"/>
          <c:extLst>
            <c:ext xmlns:c16="http://schemas.microsoft.com/office/drawing/2014/chart" uri="{C3380CC4-5D6E-409C-BE32-E72D297353CC}">
              <c16:uniqueId val="{00000004-7972-43AB-83E8-C2C99B4277B0}"/>
            </c:ext>
          </c:extLst>
        </c:ser>
        <c:ser>
          <c:idx val="10"/>
          <c:order val="5"/>
          <c:tx>
            <c:strRef>
              <c:f>Projections!$A$118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Projections!$L$118:$AN$118</c15:sqref>
                  </c15:fullRef>
                </c:ext>
              </c:extLst>
              <c:f>Projections!$L$118:$AE$118</c:f>
              <c:numCache>
                <c:formatCode>#,##0</c:formatCode>
                <c:ptCount val="20"/>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120821.35817953771</c:v>
                </c:pt>
                <c:pt idx="16">
                  <c:v>140958.25120946066</c:v>
                </c:pt>
                <c:pt idx="17">
                  <c:v>151429.4355850206</c:v>
                </c:pt>
                <c:pt idx="18">
                  <c:v>161095.1442393836</c:v>
                </c:pt>
                <c:pt idx="19">
                  <c:v>322190.28847876721</c:v>
                </c:pt>
              </c:numCache>
            </c:numRef>
          </c:val>
          <c:smooth val="0"/>
          <c:extLst>
            <c:ext xmlns:c16="http://schemas.microsoft.com/office/drawing/2014/chart" uri="{C3380CC4-5D6E-409C-BE32-E72D297353CC}">
              <c16:uniqueId val="{00000005-7972-43AB-83E8-C2C99B4277B0}"/>
            </c:ext>
          </c:extLst>
        </c:ser>
        <c:ser>
          <c:idx val="12"/>
          <c:order val="6"/>
          <c:tx>
            <c:strRef>
              <c:f>Projections!$A$120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Projections!$L$120:$AN$120</c15:sqref>
                  </c15:fullRef>
                </c:ext>
              </c:extLst>
              <c:f>Projections!$L$120:$AE$120</c:f>
              <c:numCache>
                <c:formatCode>#,##0</c:formatCode>
                <c:ptCount val="20"/>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165957.35531266799</c:v>
                </c:pt>
                <c:pt idx="16">
                  <c:v>193616.91453144597</c:v>
                </c:pt>
                <c:pt idx="17">
                  <c:v>207999.88532521055</c:v>
                </c:pt>
                <c:pt idx="18">
                  <c:v>221276.47375022396</c:v>
                </c:pt>
                <c:pt idx="19">
                  <c:v>442552.94750044792</c:v>
                </c:pt>
              </c:numCache>
            </c:numRef>
          </c:val>
          <c:smooth val="0"/>
          <c:extLst>
            <c:ext xmlns:c16="http://schemas.microsoft.com/office/drawing/2014/chart" uri="{C3380CC4-5D6E-409C-BE32-E72D297353CC}">
              <c16:uniqueId val="{00000006-7972-43AB-83E8-C2C99B4277B0}"/>
            </c:ext>
          </c:extLst>
        </c:ser>
        <c:ser>
          <c:idx val="14"/>
          <c:order val="7"/>
          <c:tx>
            <c:strRef>
              <c:f>Projections!$A$122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Projections!$L$122:$AN$122</c15:sqref>
                  </c15:fullRef>
                </c:ext>
              </c:extLst>
              <c:f>Projections!$L$122:$AE$122</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22155.169324493818</c:v>
                </c:pt>
                <c:pt idx="16">
                  <c:v>25847.697545242787</c:v>
                </c:pt>
                <c:pt idx="17">
                  <c:v>27767.81222003225</c:v>
                </c:pt>
                <c:pt idx="18">
                  <c:v>29540.225765991756</c:v>
                </c:pt>
                <c:pt idx="19">
                  <c:v>59080.451531983512</c:v>
                </c:pt>
              </c:numCache>
            </c:numRef>
          </c:val>
          <c:smooth val="0"/>
          <c:extLst>
            <c:ext xmlns:c16="http://schemas.microsoft.com/office/drawing/2014/chart" uri="{C3380CC4-5D6E-409C-BE32-E72D297353CC}">
              <c16:uniqueId val="{00000007-7972-43AB-83E8-C2C99B4277B0}"/>
            </c:ext>
          </c:extLst>
        </c:ser>
        <c:ser>
          <c:idx val="16"/>
          <c:order val="8"/>
          <c:tx>
            <c:strRef>
              <c:f>Projections!$A$124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Projections!$L$124:$AN$124</c15:sqref>
                  </c15:fullRef>
                </c:ext>
              </c:extLst>
              <c:f>Projections!$L$124:$AE$124</c:f>
              <c:numCache>
                <c:formatCode>#,##0</c:formatCode>
                <c:ptCount val="20"/>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7568.5361046407452</c:v>
                </c:pt>
                <c:pt idx="16">
                  <c:v>8829.9587887475354</c:v>
                </c:pt>
                <c:pt idx="17">
                  <c:v>9485.8985844830677</c:v>
                </c:pt>
                <c:pt idx="18">
                  <c:v>10091.381472854326</c:v>
                </c:pt>
                <c:pt idx="19">
                  <c:v>20182.762945708651</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Projections!$L$109:$AN$109</c15:sqref>
                  </c15:fullRef>
                </c:ext>
              </c:extLst>
              <c:f>Projections!$L$109:$AE$109</c:f>
              <c:numCache>
                <c:formatCode>#,##0</c:formatCode>
                <c:ptCount val="20"/>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3278.9650600250848</c:v>
                </c:pt>
                <c:pt idx="16">
                  <c:v>3825.4592366959323</c:v>
                </c:pt>
                <c:pt idx="17">
                  <c:v>4109.6362085647725</c:v>
                </c:pt>
                <c:pt idx="18">
                  <c:v>4371.9534133667794</c:v>
                </c:pt>
                <c:pt idx="19">
                  <c:v>8743.9068267335588</c:v>
                </c:pt>
              </c:numCache>
            </c:numRef>
          </c:val>
          <c:smooth val="0"/>
          <c:extLst>
            <c:ext xmlns:c16="http://schemas.microsoft.com/office/drawing/2014/chart" uri="{C3380CC4-5D6E-409C-BE32-E72D297353CC}">
              <c16:uniqueId val="{00000000-FE50-482D-905D-7C3B099138E4}"/>
            </c:ext>
          </c:extLst>
        </c:ser>
        <c:ser>
          <c:idx val="3"/>
          <c:order val="1"/>
          <c:tx>
            <c:strRef>
              <c:f>Projections!$A$110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Projections!$L$111:$AN$111</c15:sqref>
                  </c15:fullRef>
                </c:ext>
              </c:extLst>
              <c:f>Projections!$L$111:$AE$111</c:f>
              <c:numCache>
                <c:formatCode>#,##0</c:formatCode>
                <c:ptCount val="20"/>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6550.2239741981721</c:v>
                </c:pt>
                <c:pt idx="16">
                  <c:v>7641.9279698978671</c:v>
                </c:pt>
                <c:pt idx="17">
                  <c:v>8209.6140476617093</c:v>
                </c:pt>
                <c:pt idx="18">
                  <c:v>8733.631965597564</c:v>
                </c:pt>
                <c:pt idx="19">
                  <c:v>17467.263931195128</c:v>
                </c:pt>
              </c:numCache>
            </c:numRef>
          </c:val>
          <c:smooth val="0"/>
          <c:extLst>
            <c:ext xmlns:c16="http://schemas.microsoft.com/office/drawing/2014/chart" uri="{C3380CC4-5D6E-409C-BE32-E72D297353CC}">
              <c16:uniqueId val="{00000001-FE50-482D-905D-7C3B099138E4}"/>
            </c:ext>
          </c:extLst>
        </c:ser>
        <c:ser>
          <c:idx val="5"/>
          <c:order val="2"/>
          <c:tx>
            <c:strRef>
              <c:f>Projections!$A$112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Projections!$L$113:$AN$113</c15:sqref>
                  </c15:fullRef>
                </c:ext>
              </c:extLst>
              <c:f>Projections!$L$113:$AE$113</c:f>
              <c:numCache>
                <c:formatCode>#,##0</c:formatCode>
                <c:ptCount val="20"/>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4626.9901451352798</c:v>
                </c:pt>
                <c:pt idx="16">
                  <c:v>5398.1551693244928</c:v>
                </c:pt>
                <c:pt idx="17">
                  <c:v>5799.1609819028845</c:v>
                </c:pt>
                <c:pt idx="18">
                  <c:v>6169.3201935137067</c:v>
                </c:pt>
                <c:pt idx="19">
                  <c:v>12338.640387027413</c:v>
                </c:pt>
              </c:numCache>
            </c:numRef>
          </c:val>
          <c:smooth val="0"/>
          <c:extLst>
            <c:ext xmlns:c16="http://schemas.microsoft.com/office/drawing/2014/chart" uri="{C3380CC4-5D6E-409C-BE32-E72D297353CC}">
              <c16:uniqueId val="{00000002-FE50-482D-905D-7C3B099138E4}"/>
            </c:ext>
          </c:extLst>
        </c:ser>
        <c:ser>
          <c:idx val="7"/>
          <c:order val="3"/>
          <c:tx>
            <c:strRef>
              <c:f>Projections!$A$114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Projections!$L$115:$AN$115</c15:sqref>
                  </c15:fullRef>
                </c:ext>
              </c:extLst>
              <c:f>Projections!$L$115:$AE$115</c:f>
              <c:numCache>
                <c:formatCode>#,##0</c:formatCode>
                <c:ptCount val="20"/>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1550.9994624619244</c:v>
                </c:pt>
                <c:pt idx="16">
                  <c:v>1809.4993728722452</c:v>
                </c:pt>
                <c:pt idx="17">
                  <c:v>1943.9193262856118</c:v>
                </c:pt>
                <c:pt idx="18">
                  <c:v>2067.9992832825656</c:v>
                </c:pt>
                <c:pt idx="19">
                  <c:v>4135.9985665651311</c:v>
                </c:pt>
              </c:numCache>
            </c:numRef>
          </c:val>
          <c:smooth val="0"/>
          <c:extLst>
            <c:ext xmlns:c16="http://schemas.microsoft.com/office/drawing/2014/chart" uri="{C3380CC4-5D6E-409C-BE32-E72D297353CC}">
              <c16:uniqueId val="{00000003-FE50-482D-905D-7C3B099138E4}"/>
            </c:ext>
          </c:extLst>
        </c:ser>
        <c:ser>
          <c:idx val="9"/>
          <c:order val="4"/>
          <c:tx>
            <c:strRef>
              <c:f>Projections!$A$116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Projections!$L$117:$AN$117</c15:sqref>
                  </c15:fullRef>
                </c:ext>
              </c:extLst>
              <c:f>Projections!$L$117:$AE$117</c:f>
              <c:numCache>
                <c:formatCode>#,##0</c:formatCode>
                <c:ptCount val="20"/>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398.5178283461745</c:v>
                </c:pt>
                <c:pt idx="16">
                  <c:v>464.93746640387025</c:v>
                </c:pt>
                <c:pt idx="17">
                  <c:v>499.47567819387206</c:v>
                </c:pt>
                <c:pt idx="18">
                  <c:v>531.357104461566</c:v>
                </c:pt>
                <c:pt idx="19">
                  <c:v>1062.714208923132</c:v>
                </c:pt>
              </c:numCache>
            </c:numRef>
          </c:val>
          <c:smooth val="0"/>
          <c:extLst>
            <c:ext xmlns:c16="http://schemas.microsoft.com/office/drawing/2014/chart" uri="{C3380CC4-5D6E-409C-BE32-E72D297353CC}">
              <c16:uniqueId val="{00000004-FE50-482D-905D-7C3B099138E4}"/>
            </c:ext>
          </c:extLst>
        </c:ser>
        <c:ser>
          <c:idx val="11"/>
          <c:order val="5"/>
          <c:tx>
            <c:strRef>
              <c:f>Projections!$A$118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Projections!$L$119:$AN$119</c15:sqref>
                  </c15:fullRef>
                </c:ext>
              </c:extLst>
              <c:f>Projections!$L$119:$AE$119</c:f>
              <c:numCache>
                <c:formatCode>#,##0</c:formatCode>
                <c:ptCount val="20"/>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241.64271635907542</c:v>
                </c:pt>
                <c:pt idx="16">
                  <c:v>281.91650241892131</c:v>
                </c:pt>
                <c:pt idx="17">
                  <c:v>302.8588711700412</c:v>
                </c:pt>
                <c:pt idx="18">
                  <c:v>322.19028847876723</c:v>
                </c:pt>
                <c:pt idx="19">
                  <c:v>644.38057695753446</c:v>
                </c:pt>
              </c:numCache>
            </c:numRef>
          </c:val>
          <c:smooth val="0"/>
          <c:extLst>
            <c:ext xmlns:c16="http://schemas.microsoft.com/office/drawing/2014/chart" uri="{C3380CC4-5D6E-409C-BE32-E72D297353CC}">
              <c16:uniqueId val="{00000005-FE50-482D-905D-7C3B099138E4}"/>
            </c:ext>
          </c:extLst>
        </c:ser>
        <c:ser>
          <c:idx val="13"/>
          <c:order val="6"/>
          <c:tx>
            <c:strRef>
              <c:f>Projections!$A$120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Projections!$L$121:$AN$121</c15:sqref>
                  </c15:fullRef>
                </c:ext>
              </c:extLst>
              <c:f>Projections!$L$121:$AE$121</c:f>
              <c:numCache>
                <c:formatCode>#,##0</c:formatCode>
                <c:ptCount val="20"/>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331.914710625336</c:v>
                </c:pt>
                <c:pt idx="16">
                  <c:v>387.23382906289197</c:v>
                </c:pt>
                <c:pt idx="17">
                  <c:v>415.99977065042111</c:v>
                </c:pt>
                <c:pt idx="18">
                  <c:v>442.55294750044794</c:v>
                </c:pt>
                <c:pt idx="19">
                  <c:v>885.10589500089588</c:v>
                </c:pt>
              </c:numCache>
            </c:numRef>
          </c:val>
          <c:smooth val="0"/>
          <c:extLst>
            <c:ext xmlns:c16="http://schemas.microsoft.com/office/drawing/2014/chart" uri="{C3380CC4-5D6E-409C-BE32-E72D297353CC}">
              <c16:uniqueId val="{00000006-FE50-482D-905D-7C3B099138E4}"/>
            </c:ext>
          </c:extLst>
        </c:ser>
        <c:ser>
          <c:idx val="15"/>
          <c:order val="7"/>
          <c:tx>
            <c:strRef>
              <c:f>Projections!$A$122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Projections!$L$123:$AN$123</c15:sqref>
                  </c15:fullRef>
                </c:ext>
              </c:extLst>
              <c:f>Projections!$L$123:$AE$123</c:f>
              <c:numCache>
                <c:formatCode>#,##0</c:formatCode>
                <c:ptCount val="20"/>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44.310338648987639</c:v>
                </c:pt>
                <c:pt idx="16">
                  <c:v>51.695395090485576</c:v>
                </c:pt>
                <c:pt idx="17">
                  <c:v>55.535624440064502</c:v>
                </c:pt>
                <c:pt idx="18">
                  <c:v>59.080451531983513</c:v>
                </c:pt>
                <c:pt idx="19">
                  <c:v>118.16090306396703</c:v>
                </c:pt>
              </c:numCache>
            </c:numRef>
          </c:val>
          <c:smooth val="0"/>
          <c:extLst>
            <c:ext xmlns:c16="http://schemas.microsoft.com/office/drawing/2014/chart" uri="{C3380CC4-5D6E-409C-BE32-E72D297353CC}">
              <c16:uniqueId val="{00000007-FE50-482D-905D-7C3B099138E4}"/>
            </c:ext>
          </c:extLst>
        </c:ser>
        <c:ser>
          <c:idx val="17"/>
          <c:order val="8"/>
          <c:tx>
            <c:strRef>
              <c:f>Projections!$A$124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Projections!$L$125:$AN$125</c15:sqref>
                  </c15:fullRef>
                </c:ext>
              </c:extLst>
              <c:f>Projections!$L$125:$AE$125</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Projections!$A$137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Projections!$L$137:$AN$137</c15:sqref>
                  </c15:fullRef>
                </c:ext>
              </c:extLst>
              <c:f>Projections!$L$137:$AE$137</c:f>
              <c:numCache>
                <c:formatCode>#,##0</c:formatCode>
                <c:ptCount val="20"/>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353280</c:v>
                </c:pt>
                <c:pt idx="16">
                  <c:v>412160</c:v>
                </c:pt>
                <c:pt idx="17">
                  <c:v>442777.60000000003</c:v>
                </c:pt>
                <c:pt idx="18">
                  <c:v>471040</c:v>
                </c:pt>
                <c:pt idx="19">
                  <c:v>942080</c:v>
                </c:pt>
              </c:numCache>
            </c:numRef>
          </c:val>
          <c:smooth val="0"/>
          <c:extLst>
            <c:ext xmlns:c16="http://schemas.microsoft.com/office/drawing/2014/chart" uri="{C3380CC4-5D6E-409C-BE32-E72D297353CC}">
              <c16:uniqueId val="{00000000-C5BA-4495-93D4-AC4CA8674604}"/>
            </c:ext>
          </c:extLst>
        </c:ser>
        <c:ser>
          <c:idx val="4"/>
          <c:order val="1"/>
          <c:tx>
            <c:strRef>
              <c:f>Projections!$A$135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Projections!$L$135:$AN$135</c15:sqref>
                  </c15:fullRef>
                </c:ext>
              </c:extLst>
              <c:f>Projections!$L$135:$AE$135</c:f>
              <c:numCache>
                <c:formatCode>#,##0</c:formatCode>
                <c:ptCount val="20"/>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102912</c:v>
                </c:pt>
                <c:pt idx="16">
                  <c:v>120064</c:v>
                </c:pt>
                <c:pt idx="17">
                  <c:v>128983.04000000001</c:v>
                </c:pt>
                <c:pt idx="18">
                  <c:v>137216</c:v>
                </c:pt>
                <c:pt idx="19">
                  <c:v>274432</c:v>
                </c:pt>
              </c:numCache>
            </c:numRef>
          </c:val>
          <c:smooth val="0"/>
          <c:extLst>
            <c:ext xmlns:c16="http://schemas.microsoft.com/office/drawing/2014/chart" uri="{C3380CC4-5D6E-409C-BE32-E72D297353CC}">
              <c16:uniqueId val="{00000001-C5BA-4495-93D4-AC4CA8674604}"/>
            </c:ext>
          </c:extLst>
        </c:ser>
        <c:ser>
          <c:idx val="10"/>
          <c:order val="2"/>
          <c:tx>
            <c:strRef>
              <c:f>Projections!$A$141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Projections!$L$141:$AN$141</c15:sqref>
                  </c15:fullRef>
                </c:ext>
              </c:extLst>
              <c:f>Projections!$L$141:$AE$141</c:f>
              <c:numCache>
                <c:formatCode>#,##0</c:formatCode>
                <c:ptCount val="20"/>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119040</c:v>
                </c:pt>
                <c:pt idx="16">
                  <c:v>138880</c:v>
                </c:pt>
                <c:pt idx="17">
                  <c:v>149196.79999999999</c:v>
                </c:pt>
                <c:pt idx="18">
                  <c:v>158720</c:v>
                </c:pt>
                <c:pt idx="19">
                  <c:v>317440</c:v>
                </c:pt>
              </c:numCache>
            </c:numRef>
          </c:val>
          <c:smooth val="0"/>
          <c:extLst>
            <c:ext xmlns:c16="http://schemas.microsoft.com/office/drawing/2014/chart" uri="{C3380CC4-5D6E-409C-BE32-E72D297353CC}">
              <c16:uniqueId val="{00000002-C5BA-4495-93D4-AC4CA8674604}"/>
            </c:ext>
          </c:extLst>
        </c:ser>
        <c:ser>
          <c:idx val="0"/>
          <c:order val="3"/>
          <c:tx>
            <c:strRef>
              <c:f>Projections!$A$131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Projections!$L$131:$AN$131</c15:sqref>
                  </c15:fullRef>
                </c:ext>
              </c:extLst>
              <c:f>Projections!$L$131:$AE$131</c:f>
              <c:numCache>
                <c:formatCode>#,##0</c:formatCode>
                <c:ptCount val="20"/>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282624</c:v>
                </c:pt>
                <c:pt idx="16">
                  <c:v>329728</c:v>
                </c:pt>
                <c:pt idx="17">
                  <c:v>354222.08000000002</c:v>
                </c:pt>
                <c:pt idx="18">
                  <c:v>376832</c:v>
                </c:pt>
                <c:pt idx="19">
                  <c:v>753664</c:v>
                </c:pt>
              </c:numCache>
            </c:numRef>
          </c:val>
          <c:smooth val="0"/>
          <c:extLst>
            <c:ext xmlns:c16="http://schemas.microsoft.com/office/drawing/2014/chart" uri="{C3380CC4-5D6E-409C-BE32-E72D297353CC}">
              <c16:uniqueId val="{00000003-C5BA-4495-93D4-AC4CA8674604}"/>
            </c:ext>
          </c:extLst>
        </c:ser>
        <c:ser>
          <c:idx val="2"/>
          <c:order val="4"/>
          <c:tx>
            <c:strRef>
              <c:f>Projections!$A$133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Projections!$L$133:$AN$133</c15:sqref>
                  </c15:fullRef>
                </c:ext>
              </c:extLst>
              <c:f>Projections!$L$133:$AE$133</c:f>
              <c:numCache>
                <c:formatCode>#,##0</c:formatCode>
                <c:ptCount val="20"/>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75264</c:v>
                </c:pt>
                <c:pt idx="16">
                  <c:v>87808</c:v>
                </c:pt>
                <c:pt idx="17">
                  <c:v>94330.880000000005</c:v>
                </c:pt>
                <c:pt idx="18">
                  <c:v>100352</c:v>
                </c:pt>
                <c:pt idx="19">
                  <c:v>200704</c:v>
                </c:pt>
              </c:numCache>
            </c:numRef>
          </c:val>
          <c:smooth val="0"/>
          <c:extLst>
            <c:ext xmlns:c16="http://schemas.microsoft.com/office/drawing/2014/chart" uri="{C3380CC4-5D6E-409C-BE32-E72D297353CC}">
              <c16:uniqueId val="{00000004-C5BA-4495-93D4-AC4CA8674604}"/>
            </c:ext>
          </c:extLst>
        </c:ser>
        <c:ser>
          <c:idx val="8"/>
          <c:order val="5"/>
          <c:tx>
            <c:strRef>
              <c:f>Projections!$A$139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Projections!$L$139:$AN$139</c15:sqref>
                  </c15:fullRef>
                </c:ext>
              </c:extLst>
              <c:f>Projections!$L$139:$AE$139</c:f>
              <c:numCache>
                <c:formatCode>#,##0</c:formatCode>
                <c:ptCount val="20"/>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3371.52</c:v>
                </c:pt>
                <c:pt idx="16">
                  <c:v>3933.4399999999996</c:v>
                </c:pt>
                <c:pt idx="17">
                  <c:v>4225.6383999999998</c:v>
                </c:pt>
                <c:pt idx="18">
                  <c:v>4495.3599999999997</c:v>
                </c:pt>
                <c:pt idx="19">
                  <c:v>8990.7199999999993</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Projections!$A$137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Projections!$L$138:$AN$138</c15:sqref>
                  </c15:fullRef>
                </c:ext>
              </c:extLst>
              <c:f>Projections!$L$138:$AE$138</c:f>
              <c:numCache>
                <c:formatCode>#,##0</c:formatCode>
                <c:ptCount val="20"/>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21196.799999999999</c:v>
                </c:pt>
                <c:pt idx="16">
                  <c:v>24729.599999999999</c:v>
                </c:pt>
                <c:pt idx="17">
                  <c:v>26566.656000000003</c:v>
                </c:pt>
                <c:pt idx="18">
                  <c:v>28262.399999999998</c:v>
                </c:pt>
                <c:pt idx="19">
                  <c:v>56524.799999999996</c:v>
                </c:pt>
              </c:numCache>
            </c:numRef>
          </c:val>
          <c:smooth val="0"/>
          <c:extLst>
            <c:ext xmlns:c16="http://schemas.microsoft.com/office/drawing/2014/chart" uri="{C3380CC4-5D6E-409C-BE32-E72D297353CC}">
              <c16:uniqueId val="{00000000-5E66-4AF0-A3CA-7CF12153AA8E}"/>
            </c:ext>
          </c:extLst>
        </c:ser>
        <c:ser>
          <c:idx val="5"/>
          <c:order val="1"/>
          <c:tx>
            <c:strRef>
              <c:f>Projections!$A$135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Projections!$L$136:$AN$136</c15:sqref>
                  </c15:fullRef>
                </c:ext>
              </c:extLst>
              <c:f>Projections!$L$136:$AE$136</c:f>
              <c:numCache>
                <c:formatCode>#,##0</c:formatCode>
                <c:ptCount val="20"/>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6483.4560000000001</c:v>
                </c:pt>
                <c:pt idx="16">
                  <c:v>7564.0320000000002</c:v>
                </c:pt>
                <c:pt idx="17">
                  <c:v>8125.931520000001</c:v>
                </c:pt>
                <c:pt idx="18">
                  <c:v>8644.6080000000002</c:v>
                </c:pt>
                <c:pt idx="19">
                  <c:v>17289.216</c:v>
                </c:pt>
              </c:numCache>
            </c:numRef>
          </c:val>
          <c:smooth val="0"/>
          <c:extLst>
            <c:ext xmlns:c16="http://schemas.microsoft.com/office/drawing/2014/chart" uri="{C3380CC4-5D6E-409C-BE32-E72D297353CC}">
              <c16:uniqueId val="{00000001-5E66-4AF0-A3CA-7CF12153AA8E}"/>
            </c:ext>
          </c:extLst>
        </c:ser>
        <c:ser>
          <c:idx val="1"/>
          <c:order val="2"/>
          <c:tx>
            <c:strRef>
              <c:f>Projections!$A$131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Projections!$L$132:$AN$132</c15:sqref>
                  </c15:fullRef>
                </c:ext>
              </c:extLst>
              <c:f>Projections!$L$132:$AE$132</c:f>
              <c:numCache>
                <c:formatCode>#,##0</c:formatCode>
                <c:ptCount val="20"/>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29675.52</c:v>
                </c:pt>
                <c:pt idx="16">
                  <c:v>34621.440000000002</c:v>
                </c:pt>
                <c:pt idx="17">
                  <c:v>37193.318400000004</c:v>
                </c:pt>
                <c:pt idx="18">
                  <c:v>39567.360000000001</c:v>
                </c:pt>
                <c:pt idx="19">
                  <c:v>79134.720000000001</c:v>
                </c:pt>
              </c:numCache>
            </c:numRef>
          </c:val>
          <c:smooth val="0"/>
          <c:extLst>
            <c:ext xmlns:c16="http://schemas.microsoft.com/office/drawing/2014/chart" uri="{C3380CC4-5D6E-409C-BE32-E72D297353CC}">
              <c16:uniqueId val="{00000002-5E66-4AF0-A3CA-7CF12153AA8E}"/>
            </c:ext>
          </c:extLst>
        </c:ser>
        <c:ser>
          <c:idx val="3"/>
          <c:order val="3"/>
          <c:tx>
            <c:strRef>
              <c:f>Projections!$A$133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Projections!$L$134:$AN$134</c15:sqref>
                  </c15:fullRef>
                </c:ext>
              </c:extLst>
              <c:f>Projections!$L$134:$AE$134</c:f>
              <c:numCache>
                <c:formatCode>#,##0</c:formatCode>
                <c:ptCount val="20"/>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5494.2719999999999</c:v>
                </c:pt>
                <c:pt idx="16">
                  <c:v>6409.9839999999995</c:v>
                </c:pt>
                <c:pt idx="17">
                  <c:v>6886.1542399999998</c:v>
                </c:pt>
                <c:pt idx="18">
                  <c:v>7325.6959999999999</c:v>
                </c:pt>
                <c:pt idx="19">
                  <c:v>14651.392</c:v>
                </c:pt>
              </c:numCache>
            </c:numRef>
          </c:val>
          <c:smooth val="0"/>
          <c:extLst>
            <c:ext xmlns:c16="http://schemas.microsoft.com/office/drawing/2014/chart" uri="{C3380CC4-5D6E-409C-BE32-E72D297353CC}">
              <c16:uniqueId val="{00000003-5E66-4AF0-A3CA-7CF12153AA8E}"/>
            </c:ext>
          </c:extLst>
        </c:ser>
        <c:ser>
          <c:idx val="9"/>
          <c:order val="4"/>
          <c:tx>
            <c:strRef>
              <c:f>Projections!$A$139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Projections!$L$140:$AN$140</c15:sqref>
                  </c15:fullRef>
                </c:ext>
              </c:extLst>
              <c:f>Projections!$L$140:$AE$140</c:f>
              <c:numCache>
                <c:formatCode>#,##0</c:formatCode>
                <c:ptCount val="20"/>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188.80512000000002</c:v>
                </c:pt>
                <c:pt idx="16">
                  <c:v>220.27264</c:v>
                </c:pt>
                <c:pt idx="17">
                  <c:v>236.63575040000001</c:v>
                </c:pt>
                <c:pt idx="18">
                  <c:v>251.74015999999997</c:v>
                </c:pt>
                <c:pt idx="19">
                  <c:v>503.48031999999995</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Projections!$A$76</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Projections!$L$75:$AN$75</c15:sqref>
                  </c15:fullRef>
                </c:ext>
              </c:extLst>
              <c:f>Projections!$L$75:$AD$75</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numCache>
            </c:numRef>
          </c:cat>
          <c:val>
            <c:numRef>
              <c:extLst>
                <c:ext xmlns:c15="http://schemas.microsoft.com/office/drawing/2012/chart" uri="{02D57815-91ED-43cb-92C2-25804820EDAC}">
                  <c15:fullRef>
                    <c15:sqref>Projections!$L$76:$AN$76</c15:sqref>
                  </c15:fullRef>
                </c:ext>
              </c:extLst>
              <c:f>Projections!$L$76:$AD$76</c:f>
              <c:numCache>
                <c:formatCode>#,##0_ ;[Red]\-#,##0\ </c:formatCode>
                <c:ptCount val="1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768000</c:v>
                </c:pt>
                <c:pt idx="16">
                  <c:v>896000</c:v>
                </c:pt>
                <c:pt idx="17">
                  <c:v>962560</c:v>
                </c:pt>
                <c:pt idx="18">
                  <c:v>1024000</c:v>
                </c:pt>
              </c:numCache>
            </c:numRef>
          </c:val>
          <c:smooth val="0"/>
          <c:extLst>
            <c:ext xmlns:c16="http://schemas.microsoft.com/office/drawing/2014/chart" uri="{C3380CC4-5D6E-409C-BE32-E72D297353CC}">
              <c16:uniqueId val="{00000000-9DE3-43B6-B60B-9B4AA4851702}"/>
            </c:ext>
          </c:extLst>
        </c:ser>
        <c:ser>
          <c:idx val="1"/>
          <c:order val="1"/>
          <c:tx>
            <c:strRef>
              <c:f>Projections!$A$100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Projections!$L$75:$AN$75</c15:sqref>
                  </c15:fullRef>
                </c:ext>
              </c:extLst>
              <c:f>Projections!$L$75:$AD$75</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numCache>
            </c:numRef>
          </c:cat>
          <c:val>
            <c:numRef>
              <c:extLst>
                <c:ext xmlns:c15="http://schemas.microsoft.com/office/drawing/2012/chart" uri="{02D57815-91ED-43cb-92C2-25804820EDAC}">
                  <c15:fullRef>
                    <c15:sqref>Projections!$L$100:$AN$100</c15:sqref>
                  </c15:fullRef>
                </c:ext>
              </c:extLst>
              <c:f>Projections!$L$100:$AD$100</c:f>
              <c:numCache>
                <c:formatCode>General</c:formatCode>
                <c:ptCount val="19"/>
                <c:pt idx="0">
                  <c:v>35</c:v>
                </c:pt>
                <c:pt idx="1">
                  <c:v>68</c:v>
                </c:pt>
                <c:pt idx="2" formatCode="#,##0">
                  <c:v>124</c:v>
                </c:pt>
                <c:pt idx="3" formatCode="#,##0">
                  <c:v>221</c:v>
                </c:pt>
                <c:pt idx="4" formatCode="#,##0">
                  <c:v>541</c:v>
                </c:pt>
                <c:pt idx="5" formatCode="#,##0">
                  <c:v>1301</c:v>
                </c:pt>
                <c:pt idx="6" formatCode="#,##0">
                  <c:v>2770</c:v>
                </c:pt>
                <c:pt idx="7" formatCode="#,##0">
                  <c:v>4596</c:v>
                </c:pt>
                <c:pt idx="8" formatCode="#,##0">
                  <c:v>9296</c:v>
                </c:pt>
                <c:pt idx="9" formatCode="#,##0">
                  <c:v>19497</c:v>
                </c:pt>
                <c:pt idx="10" formatCode="#,##0">
                  <c:v>33745</c:v>
                </c:pt>
                <c:pt idx="11" formatCode="#,##0">
                  <c:v>68673</c:v>
                </c:pt>
                <c:pt idx="12" formatCode="#,##0">
                  <c:v>124256</c:v>
                </c:pt>
                <c:pt idx="13" formatCode="#,##0">
                  <c:v>246729</c:v>
                </c:pt>
                <c:pt idx="14" formatCode="#,##0">
                  <c:v>532879</c:v>
                </c:pt>
                <c:pt idx="15" formatCode="#,##0">
                  <c:v>768000</c:v>
                </c:pt>
                <c:pt idx="16" formatCode="#,##0">
                  <c:v>896000</c:v>
                </c:pt>
                <c:pt idx="17" formatCode="#,##0">
                  <c:v>962560</c:v>
                </c:pt>
                <c:pt idx="18" formatCode="#,##0">
                  <c:v>1065758</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Projections!$A$90</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Projections!$L$75:$AN$75</c15:sqref>
                  </c15:fullRef>
                </c:ext>
              </c:extLst>
              <c:f>Projections!$L$75:$AD$75</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numCache>
            </c:numRef>
          </c:cat>
          <c:val>
            <c:numRef>
              <c:extLst>
                <c:ext xmlns:c15="http://schemas.microsoft.com/office/drawing/2012/chart" uri="{02D57815-91ED-43cb-92C2-25804820EDAC}">
                  <c15:fullRef>
                    <c15:sqref>Projections!$L$90:$AN$90</c15:sqref>
                  </c15:fullRef>
                </c:ext>
              </c:extLst>
              <c:f>Projections!$L$90:$AD$90</c:f>
              <c:numCache>
                <c:formatCode>#,##0_ ;[Red]\-#,##0\ </c:formatCode>
                <c:ptCount val="19"/>
                <c:pt idx="0">
                  <c:v>1.25</c:v>
                </c:pt>
                <c:pt idx="1">
                  <c:v>2.5</c:v>
                </c:pt>
                <c:pt idx="2">
                  <c:v>5</c:v>
                </c:pt>
                <c:pt idx="3">
                  <c:v>10</c:v>
                </c:pt>
                <c:pt idx="4">
                  <c:v>20</c:v>
                </c:pt>
                <c:pt idx="5">
                  <c:v>40</c:v>
                </c:pt>
                <c:pt idx="6">
                  <c:v>80</c:v>
                </c:pt>
                <c:pt idx="7">
                  <c:v>160</c:v>
                </c:pt>
                <c:pt idx="8">
                  <c:v>320</c:v>
                </c:pt>
                <c:pt idx="9">
                  <c:v>640</c:v>
                </c:pt>
                <c:pt idx="10">
                  <c:v>1280</c:v>
                </c:pt>
                <c:pt idx="11">
                  <c:v>2560</c:v>
                </c:pt>
                <c:pt idx="12">
                  <c:v>5120</c:v>
                </c:pt>
                <c:pt idx="13">
                  <c:v>10240</c:v>
                </c:pt>
                <c:pt idx="14">
                  <c:v>20480</c:v>
                </c:pt>
                <c:pt idx="15">
                  <c:v>30720</c:v>
                </c:pt>
                <c:pt idx="16">
                  <c:v>35840</c:v>
                </c:pt>
                <c:pt idx="17">
                  <c:v>38502.400000000001</c:v>
                </c:pt>
                <c:pt idx="18">
                  <c:v>40960</c:v>
                </c:pt>
              </c:numCache>
            </c:numRef>
          </c:val>
          <c:smooth val="0"/>
          <c:extLst>
            <c:ext xmlns:c16="http://schemas.microsoft.com/office/drawing/2014/chart" uri="{C3380CC4-5D6E-409C-BE32-E72D297353CC}">
              <c16:uniqueId val="{00000000-FE1B-4946-A476-7952C5C71231}"/>
            </c:ext>
          </c:extLst>
        </c:ser>
        <c:ser>
          <c:idx val="1"/>
          <c:order val="1"/>
          <c:tx>
            <c:strRef>
              <c:f>Projections!$A$104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Projections!$L$75:$AN$75</c15:sqref>
                  </c15:fullRef>
                </c:ext>
              </c:extLst>
              <c:f>Projections!$L$75:$AD$75</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numCache>
            </c:numRef>
          </c:cat>
          <c:val>
            <c:numRef>
              <c:extLst>
                <c:ext xmlns:c15="http://schemas.microsoft.com/office/drawing/2012/chart" uri="{02D57815-91ED-43cb-92C2-25804820EDAC}">
                  <c15:fullRef>
                    <c15:sqref>Projections!$L$104:$AN$104</c15:sqref>
                  </c15:fullRef>
                </c:ext>
              </c:extLst>
              <c:f>Projections!$L$104:$AD$104</c:f>
              <c:numCache>
                <c:formatCode>General</c:formatCode>
                <c:ptCount val="19"/>
                <c:pt idx="0">
                  <c:v>0</c:v>
                </c:pt>
                <c:pt idx="1">
                  <c:v>1</c:v>
                </c:pt>
                <c:pt idx="2" formatCode="#,##0">
                  <c:v>9</c:v>
                </c:pt>
                <c:pt idx="3" formatCode="#,##0">
                  <c:v>12</c:v>
                </c:pt>
                <c:pt idx="4" formatCode="#,##0">
                  <c:v>22</c:v>
                </c:pt>
                <c:pt idx="5" formatCode="#,##0">
                  <c:v>38</c:v>
                </c:pt>
                <c:pt idx="6" formatCode="#,##0">
                  <c:v>57</c:v>
                </c:pt>
                <c:pt idx="7" formatCode="#,##0">
                  <c:v>87</c:v>
                </c:pt>
                <c:pt idx="8" formatCode="#,##0">
                  <c:v>150</c:v>
                </c:pt>
                <c:pt idx="9" formatCode="#,##0">
                  <c:v>255</c:v>
                </c:pt>
                <c:pt idx="10" formatCode="#,##0">
                  <c:v>414</c:v>
                </c:pt>
                <c:pt idx="11" formatCode="#,##0">
                  <c:v>1028</c:v>
                </c:pt>
                <c:pt idx="12" formatCode="#,##0">
                  <c:v>2222</c:v>
                </c:pt>
                <c:pt idx="13" formatCode="#,##0">
                  <c:v>6088</c:v>
                </c:pt>
                <c:pt idx="14" formatCode="#,##0">
                  <c:v>20577</c:v>
                </c:pt>
                <c:pt idx="15" formatCode="#,##0">
                  <c:v>28529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43897.590662731483</c:v>
                </c:pt>
                <c:pt idx="1">
                  <c:v>43900.590662731483</c:v>
                </c:pt>
                <c:pt idx="2">
                  <c:v>43903.590662731483</c:v>
                </c:pt>
                <c:pt idx="3">
                  <c:v>43906.590662731483</c:v>
                </c:pt>
                <c:pt idx="4">
                  <c:v>43909.590662731483</c:v>
                </c:pt>
                <c:pt idx="5">
                  <c:v>43912.590662731483</c:v>
                </c:pt>
                <c:pt idx="6">
                  <c:v>43915.590662731483</c:v>
                </c:pt>
                <c:pt idx="7">
                  <c:v>43918.590662731483</c:v>
                </c:pt>
                <c:pt idx="8">
                  <c:v>43921.590662731483</c:v>
                </c:pt>
                <c:pt idx="9">
                  <c:v>43924.590662731483</c:v>
                </c:pt>
                <c:pt idx="10">
                  <c:v>43927.590662731483</c:v>
                </c:pt>
                <c:pt idx="11">
                  <c:v>43930.590662731483</c:v>
                </c:pt>
                <c:pt idx="12">
                  <c:v>43933.590662731483</c:v>
                </c:pt>
                <c:pt idx="13">
                  <c:v>43936.590662731483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c:v>
                </c:pt>
                <c:pt idx="4">
                  <c:v>50</c:v>
                </c:pt>
                <c:pt idx="5">
                  <c:v>100</c:v>
                </c:pt>
                <c:pt idx="6">
                  <c:v>200</c:v>
                </c:pt>
                <c:pt idx="7">
                  <c:v>400</c:v>
                </c:pt>
                <c:pt idx="8">
                  <c:v>800</c:v>
                </c:pt>
                <c:pt idx="9">
                  <c:v>1600</c:v>
                </c:pt>
                <c:pt idx="10">
                  <c:v>3200</c:v>
                </c:pt>
                <c:pt idx="11">
                  <c:v>6400</c:v>
                </c:pt>
                <c:pt idx="12">
                  <c:v>12800</c:v>
                </c:pt>
                <c:pt idx="13">
                  <c:v>25600</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43897.590662731483</c:v>
                </c:pt>
                <c:pt idx="1">
                  <c:v>43900.590662731483</c:v>
                </c:pt>
                <c:pt idx="2">
                  <c:v>43903.590662731483</c:v>
                </c:pt>
                <c:pt idx="3">
                  <c:v>43906.590662731483</c:v>
                </c:pt>
                <c:pt idx="4">
                  <c:v>43909.590662731483</c:v>
                </c:pt>
                <c:pt idx="5">
                  <c:v>43912.590662731483</c:v>
                </c:pt>
                <c:pt idx="6">
                  <c:v>43915.590662731483</c:v>
                </c:pt>
                <c:pt idx="7">
                  <c:v>43918.590662731483</c:v>
                </c:pt>
                <c:pt idx="8">
                  <c:v>43921.590662731483</c:v>
                </c:pt>
                <c:pt idx="9">
                  <c:v>43924.590662731483</c:v>
                </c:pt>
                <c:pt idx="10">
                  <c:v>43927.590662731483</c:v>
                </c:pt>
                <c:pt idx="11">
                  <c:v>43930.590662731483</c:v>
                </c:pt>
                <c:pt idx="12">
                  <c:v>43933.590662731483</c:v>
                </c:pt>
                <c:pt idx="13">
                  <c:v>43936.590662731483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25</c:v>
                </c:pt>
                <c:pt idx="3">
                  <c:v>50</c:v>
                </c:pt>
                <c:pt idx="4">
                  <c:v>81</c:v>
                </c:pt>
                <c:pt idx="5">
                  <c:v>162</c:v>
                </c:pt>
                <c:pt idx="6">
                  <c:v>324</c:v>
                </c:pt>
                <c:pt idx="7">
                  <c:v>627.75</c:v>
                </c:pt>
                <c:pt idx="8">
                  <c:v>1255.5</c:v>
                </c:pt>
                <c:pt idx="9">
                  <c:v>2511</c:v>
                </c:pt>
                <c:pt idx="10">
                  <c:v>5022</c:v>
                </c:pt>
                <c:pt idx="11">
                  <c:v>10044</c:v>
                </c:pt>
                <c:pt idx="12">
                  <c:v>20108.25</c:v>
                </c:pt>
                <c:pt idx="13">
                  <c:v>40216.5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43897.590662731483</c:v>
                </c:pt>
                <c:pt idx="1">
                  <c:v>43900.590662731483</c:v>
                </c:pt>
                <c:pt idx="2">
                  <c:v>43903.590662731483</c:v>
                </c:pt>
                <c:pt idx="3">
                  <c:v>43906.590662731483</c:v>
                </c:pt>
                <c:pt idx="4">
                  <c:v>43909.590662731483</c:v>
                </c:pt>
                <c:pt idx="5">
                  <c:v>43912.590662731483</c:v>
                </c:pt>
                <c:pt idx="6">
                  <c:v>43915.590662731483</c:v>
                </c:pt>
                <c:pt idx="7">
                  <c:v>43918.590662731483</c:v>
                </c:pt>
                <c:pt idx="8">
                  <c:v>43921.590662731483</c:v>
                </c:pt>
                <c:pt idx="9">
                  <c:v>43924.590662731483</c:v>
                </c:pt>
                <c:pt idx="10">
                  <c:v>43927.590662731483</c:v>
                </c:pt>
                <c:pt idx="11">
                  <c:v>43930.590662731483</c:v>
                </c:pt>
                <c:pt idx="12">
                  <c:v>43933.590662731483</c:v>
                </c:pt>
                <c:pt idx="13">
                  <c:v>43936.590662731483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19</c:v>
                </c:pt>
                <c:pt idx="5">
                  <c:v>38</c:v>
                </c:pt>
                <c:pt idx="6">
                  <c:v>56.000000000000007</c:v>
                </c:pt>
                <c:pt idx="7">
                  <c:v>112.00000000000001</c:v>
                </c:pt>
                <c:pt idx="8">
                  <c:v>224.00000000000003</c:v>
                </c:pt>
                <c:pt idx="9">
                  <c:v>448.00000000000006</c:v>
                </c:pt>
                <c:pt idx="10">
                  <c:v>896.00000000000011</c:v>
                </c:pt>
                <c:pt idx="11">
                  <c:v>1792.0000000000002</c:v>
                </c:pt>
                <c:pt idx="12">
                  <c:v>3584.0000000000005</c:v>
                </c:pt>
                <c:pt idx="13">
                  <c:v>7168.0000000000009</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43897.590662731483</c:v>
                </c:pt>
                <c:pt idx="1">
                  <c:v>43900.590662731483</c:v>
                </c:pt>
                <c:pt idx="2">
                  <c:v>43903.590662731483</c:v>
                </c:pt>
                <c:pt idx="3">
                  <c:v>43906.590662731483</c:v>
                </c:pt>
                <c:pt idx="4">
                  <c:v>43909.590662731483</c:v>
                </c:pt>
                <c:pt idx="5">
                  <c:v>43912.590662731483</c:v>
                </c:pt>
                <c:pt idx="6">
                  <c:v>43915.590662731483</c:v>
                </c:pt>
                <c:pt idx="7">
                  <c:v>43918.590662731483</c:v>
                </c:pt>
                <c:pt idx="8">
                  <c:v>43921.590662731483</c:v>
                </c:pt>
                <c:pt idx="9">
                  <c:v>43924.590662731483</c:v>
                </c:pt>
                <c:pt idx="10">
                  <c:v>43927.590662731483</c:v>
                </c:pt>
                <c:pt idx="11">
                  <c:v>43930.590662731483</c:v>
                </c:pt>
                <c:pt idx="12">
                  <c:v>43933.590662731483</c:v>
                </c:pt>
                <c:pt idx="13">
                  <c:v>43936.590662731483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20</c:v>
                </c:pt>
                <c:pt idx="7">
                  <c:v>40</c:v>
                </c:pt>
                <c:pt idx="8">
                  <c:v>80</c:v>
                </c:pt>
                <c:pt idx="9">
                  <c:v>160</c:v>
                </c:pt>
                <c:pt idx="10">
                  <c:v>320</c:v>
                </c:pt>
                <c:pt idx="11">
                  <c:v>640</c:v>
                </c:pt>
                <c:pt idx="12">
                  <c:v>1280</c:v>
                </c:pt>
                <c:pt idx="13">
                  <c:v>2560</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43897.590662731483</c:v>
                </c:pt>
                <c:pt idx="1">
                  <c:v>43900.590662731483</c:v>
                </c:pt>
                <c:pt idx="2">
                  <c:v>43903.590662731483</c:v>
                </c:pt>
                <c:pt idx="3">
                  <c:v>43906.590662731483</c:v>
                </c:pt>
                <c:pt idx="4">
                  <c:v>43909.590662731483</c:v>
                </c:pt>
                <c:pt idx="5">
                  <c:v>43912.590662731483</c:v>
                </c:pt>
                <c:pt idx="6">
                  <c:v>43915.590662731483</c:v>
                </c:pt>
                <c:pt idx="7">
                  <c:v>43918.590662731483</c:v>
                </c:pt>
                <c:pt idx="8">
                  <c:v>43921.590662731483</c:v>
                </c:pt>
                <c:pt idx="9">
                  <c:v>43924.590662731483</c:v>
                </c:pt>
                <c:pt idx="10">
                  <c:v>43927.590662731483</c:v>
                </c:pt>
                <c:pt idx="11">
                  <c:v>43930.590662731483</c:v>
                </c:pt>
                <c:pt idx="12">
                  <c:v>43933.590662731483</c:v>
                </c:pt>
                <c:pt idx="13">
                  <c:v>43936.590662731483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208.33333333333334</c:v>
                </c:pt>
                <c:pt idx="1">
                  <c:v>416.66666666666669</c:v>
                </c:pt>
                <c:pt idx="2">
                  <c:v>833.33333333333337</c:v>
                </c:pt>
                <c:pt idx="3">
                  <c:v>1666.6666666666667</c:v>
                </c:pt>
                <c:pt idx="4">
                  <c:v>3333.3333333333335</c:v>
                </c:pt>
                <c:pt idx="5">
                  <c:v>6666.666666666667</c:v>
                </c:pt>
                <c:pt idx="6">
                  <c:v>13333.333333333334</c:v>
                </c:pt>
                <c:pt idx="7">
                  <c:v>26666.666666666668</c:v>
                </c:pt>
                <c:pt idx="8">
                  <c:v>53333.333333333336</c:v>
                </c:pt>
                <c:pt idx="9">
                  <c:v>106666.66666666667</c:v>
                </c:pt>
                <c:pt idx="10">
                  <c:v>213333.33333333334</c:v>
                </c:pt>
                <c:pt idx="11">
                  <c:v>426666.66666666669</c:v>
                </c:pt>
                <c:pt idx="12">
                  <c:v>853333.33333333337</c:v>
                </c:pt>
                <c:pt idx="13">
                  <c:v>1706666.6666666667</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43897.590662731483</c:v>
                </c:pt>
                <c:pt idx="1">
                  <c:v>43900.590662731483</c:v>
                </c:pt>
                <c:pt idx="2">
                  <c:v>43903.590662731483</c:v>
                </c:pt>
                <c:pt idx="3">
                  <c:v>43906.590662731483</c:v>
                </c:pt>
                <c:pt idx="4">
                  <c:v>43909.590662731483</c:v>
                </c:pt>
                <c:pt idx="5">
                  <c:v>43912.590662731483</c:v>
                </c:pt>
                <c:pt idx="6">
                  <c:v>43915.590662731483</c:v>
                </c:pt>
                <c:pt idx="7">
                  <c:v>43918.590662731483</c:v>
                </c:pt>
                <c:pt idx="8">
                  <c:v>43921.590662731483</c:v>
                </c:pt>
                <c:pt idx="9">
                  <c:v>43924.590662731483</c:v>
                </c:pt>
                <c:pt idx="10">
                  <c:v>43927.590662731483</c:v>
                </c:pt>
                <c:pt idx="11">
                  <c:v>43930.590662731483</c:v>
                </c:pt>
                <c:pt idx="12">
                  <c:v>43933.590662731483</c:v>
                </c:pt>
                <c:pt idx="13">
                  <c:v>43936.590662731483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183.33333333333334</c:v>
                </c:pt>
                <c:pt idx="1">
                  <c:v>366.66666666666669</c:v>
                </c:pt>
                <c:pt idx="2">
                  <c:v>733.33333333333337</c:v>
                </c:pt>
                <c:pt idx="3">
                  <c:v>1466.6666666666667</c:v>
                </c:pt>
                <c:pt idx="4">
                  <c:v>2933.3333333333335</c:v>
                </c:pt>
                <c:pt idx="5">
                  <c:v>5866.666666666667</c:v>
                </c:pt>
                <c:pt idx="6">
                  <c:v>11733.333333333334</c:v>
                </c:pt>
                <c:pt idx="7">
                  <c:v>23466.666666666668</c:v>
                </c:pt>
                <c:pt idx="8">
                  <c:v>46933.333333333336</c:v>
                </c:pt>
                <c:pt idx="9">
                  <c:v>93866.666666666672</c:v>
                </c:pt>
                <c:pt idx="10">
                  <c:v>187733.33333333334</c:v>
                </c:pt>
                <c:pt idx="11">
                  <c:v>375466.66666666669</c:v>
                </c:pt>
                <c:pt idx="12">
                  <c:v>750933.33333333337</c:v>
                </c:pt>
                <c:pt idx="13">
                  <c:v>1501866.6666666667</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43897.590662731483</c:v>
                </c:pt>
                <c:pt idx="1">
                  <c:v>43900.590662731483</c:v>
                </c:pt>
                <c:pt idx="2">
                  <c:v>43903.590662731483</c:v>
                </c:pt>
                <c:pt idx="3">
                  <c:v>43906.590662731483</c:v>
                </c:pt>
                <c:pt idx="4">
                  <c:v>43909.590662731483</c:v>
                </c:pt>
                <c:pt idx="5">
                  <c:v>43912.590662731483</c:v>
                </c:pt>
                <c:pt idx="6">
                  <c:v>43915.590662731483</c:v>
                </c:pt>
                <c:pt idx="7">
                  <c:v>43918.590662731483</c:v>
                </c:pt>
                <c:pt idx="8">
                  <c:v>43921.590662731483</c:v>
                </c:pt>
                <c:pt idx="9">
                  <c:v>43924.590662731483</c:v>
                </c:pt>
                <c:pt idx="10">
                  <c:v>43927.590662731483</c:v>
                </c:pt>
                <c:pt idx="11">
                  <c:v>43930.590662731483</c:v>
                </c:pt>
                <c:pt idx="12">
                  <c:v>43933.590662731483</c:v>
                </c:pt>
                <c:pt idx="13">
                  <c:v>43936.590662731483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c:v>
                </c:pt>
                <c:pt idx="4">
                  <c:v>50</c:v>
                </c:pt>
                <c:pt idx="5">
                  <c:v>100</c:v>
                </c:pt>
                <c:pt idx="6">
                  <c:v>200</c:v>
                </c:pt>
                <c:pt idx="7">
                  <c:v>400</c:v>
                </c:pt>
                <c:pt idx="8">
                  <c:v>800</c:v>
                </c:pt>
                <c:pt idx="9">
                  <c:v>1600</c:v>
                </c:pt>
                <c:pt idx="10">
                  <c:v>3200</c:v>
                </c:pt>
                <c:pt idx="11">
                  <c:v>6400</c:v>
                </c:pt>
                <c:pt idx="12">
                  <c:v>12800</c:v>
                </c:pt>
                <c:pt idx="13">
                  <c:v>25600</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43897.590662731483</c:v>
                </c:pt>
                <c:pt idx="1">
                  <c:v>43900.590662731483</c:v>
                </c:pt>
                <c:pt idx="2">
                  <c:v>43903.590662731483</c:v>
                </c:pt>
                <c:pt idx="3">
                  <c:v>43906.590662731483</c:v>
                </c:pt>
                <c:pt idx="4">
                  <c:v>43909.590662731483</c:v>
                </c:pt>
                <c:pt idx="5">
                  <c:v>43912.590662731483</c:v>
                </c:pt>
                <c:pt idx="6">
                  <c:v>43915.590662731483</c:v>
                </c:pt>
                <c:pt idx="7">
                  <c:v>43918.590662731483</c:v>
                </c:pt>
                <c:pt idx="8">
                  <c:v>43921.590662731483</c:v>
                </c:pt>
                <c:pt idx="9">
                  <c:v>43924.590662731483</c:v>
                </c:pt>
                <c:pt idx="10">
                  <c:v>43927.590662731483</c:v>
                </c:pt>
                <c:pt idx="11">
                  <c:v>43930.590662731483</c:v>
                </c:pt>
                <c:pt idx="12">
                  <c:v>43933.590662731483</c:v>
                </c:pt>
                <c:pt idx="13">
                  <c:v>43936.590662731483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c:v>
                </c:pt>
                <c:pt idx="4">
                  <c:v>50</c:v>
                </c:pt>
                <c:pt idx="5">
                  <c:v>100</c:v>
                </c:pt>
                <c:pt idx="6">
                  <c:v>200</c:v>
                </c:pt>
                <c:pt idx="7">
                  <c:v>400</c:v>
                </c:pt>
                <c:pt idx="8">
                  <c:v>800</c:v>
                </c:pt>
                <c:pt idx="9">
                  <c:v>1600</c:v>
                </c:pt>
                <c:pt idx="10">
                  <c:v>3200</c:v>
                </c:pt>
                <c:pt idx="11">
                  <c:v>6400</c:v>
                </c:pt>
                <c:pt idx="12">
                  <c:v>12800</c:v>
                </c:pt>
                <c:pt idx="13">
                  <c:v>25600</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43897.590662731483</c:v>
                </c:pt>
                <c:pt idx="1">
                  <c:v>43900.590662731483</c:v>
                </c:pt>
                <c:pt idx="2">
                  <c:v>43903.590662731483</c:v>
                </c:pt>
                <c:pt idx="3">
                  <c:v>43906.590662731483</c:v>
                </c:pt>
                <c:pt idx="4">
                  <c:v>43909.590662731483</c:v>
                </c:pt>
                <c:pt idx="5">
                  <c:v>43912.590662731483</c:v>
                </c:pt>
                <c:pt idx="6">
                  <c:v>43915.590662731483</c:v>
                </c:pt>
                <c:pt idx="7">
                  <c:v>43918.590662731483</c:v>
                </c:pt>
                <c:pt idx="8">
                  <c:v>43921.590662731483</c:v>
                </c:pt>
                <c:pt idx="9">
                  <c:v>43924.590662731483</c:v>
                </c:pt>
                <c:pt idx="10">
                  <c:v>43927.590662731483</c:v>
                </c:pt>
                <c:pt idx="11">
                  <c:v>43930.590662731483</c:v>
                </c:pt>
                <c:pt idx="12">
                  <c:v>43933.590662731483</c:v>
                </c:pt>
                <c:pt idx="13">
                  <c:v>43936.590662731483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25</c:v>
                </c:pt>
                <c:pt idx="3">
                  <c:v>50</c:v>
                </c:pt>
                <c:pt idx="4">
                  <c:v>81</c:v>
                </c:pt>
                <c:pt idx="5">
                  <c:v>162</c:v>
                </c:pt>
                <c:pt idx="6">
                  <c:v>324</c:v>
                </c:pt>
                <c:pt idx="7">
                  <c:v>627.75</c:v>
                </c:pt>
                <c:pt idx="8">
                  <c:v>1255.5</c:v>
                </c:pt>
                <c:pt idx="9">
                  <c:v>2511</c:v>
                </c:pt>
                <c:pt idx="10">
                  <c:v>5022</c:v>
                </c:pt>
                <c:pt idx="11">
                  <c:v>10044</c:v>
                </c:pt>
                <c:pt idx="12">
                  <c:v>20108.25</c:v>
                </c:pt>
                <c:pt idx="13">
                  <c:v>40216.5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43897.590662731483</c:v>
                </c:pt>
                <c:pt idx="1">
                  <c:v>43900.590662731483</c:v>
                </c:pt>
                <c:pt idx="2">
                  <c:v>43903.590662731483</c:v>
                </c:pt>
                <c:pt idx="3">
                  <c:v>43906.590662731483</c:v>
                </c:pt>
                <c:pt idx="4">
                  <c:v>43909.590662731483</c:v>
                </c:pt>
                <c:pt idx="5">
                  <c:v>43912.590662731483</c:v>
                </c:pt>
                <c:pt idx="6">
                  <c:v>43915.590662731483</c:v>
                </c:pt>
                <c:pt idx="7">
                  <c:v>43918.590662731483</c:v>
                </c:pt>
                <c:pt idx="8">
                  <c:v>43921.590662731483</c:v>
                </c:pt>
                <c:pt idx="9">
                  <c:v>43924.590662731483</c:v>
                </c:pt>
                <c:pt idx="10">
                  <c:v>43927.590662731483</c:v>
                </c:pt>
                <c:pt idx="11">
                  <c:v>43930.590662731483</c:v>
                </c:pt>
                <c:pt idx="12">
                  <c:v>43933.590662731483</c:v>
                </c:pt>
                <c:pt idx="13">
                  <c:v>43936.590662731483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19</c:v>
                </c:pt>
                <c:pt idx="5">
                  <c:v>38</c:v>
                </c:pt>
                <c:pt idx="6">
                  <c:v>56.000000000000007</c:v>
                </c:pt>
                <c:pt idx="7">
                  <c:v>112.00000000000001</c:v>
                </c:pt>
                <c:pt idx="8">
                  <c:v>224.00000000000003</c:v>
                </c:pt>
                <c:pt idx="9">
                  <c:v>448.00000000000006</c:v>
                </c:pt>
                <c:pt idx="10">
                  <c:v>896.00000000000011</c:v>
                </c:pt>
                <c:pt idx="11">
                  <c:v>1792.0000000000002</c:v>
                </c:pt>
                <c:pt idx="12">
                  <c:v>3584.0000000000005</c:v>
                </c:pt>
                <c:pt idx="13">
                  <c:v>7168.0000000000009</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43897.590662731483</c:v>
                </c:pt>
                <c:pt idx="1">
                  <c:v>43900.590662731483</c:v>
                </c:pt>
                <c:pt idx="2">
                  <c:v>43903.590662731483</c:v>
                </c:pt>
                <c:pt idx="3">
                  <c:v>43906.590662731483</c:v>
                </c:pt>
                <c:pt idx="4">
                  <c:v>43909.590662731483</c:v>
                </c:pt>
                <c:pt idx="5">
                  <c:v>43912.590662731483</c:v>
                </c:pt>
                <c:pt idx="6">
                  <c:v>43915.590662731483</c:v>
                </c:pt>
                <c:pt idx="7">
                  <c:v>43918.590662731483</c:v>
                </c:pt>
                <c:pt idx="8">
                  <c:v>43921.590662731483</c:v>
                </c:pt>
                <c:pt idx="9">
                  <c:v>43924.590662731483</c:v>
                </c:pt>
                <c:pt idx="10">
                  <c:v>43927.590662731483</c:v>
                </c:pt>
                <c:pt idx="11">
                  <c:v>43930.590662731483</c:v>
                </c:pt>
                <c:pt idx="12">
                  <c:v>43933.590662731483</c:v>
                </c:pt>
                <c:pt idx="13">
                  <c:v>43936.590662731483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20</c:v>
                </c:pt>
                <c:pt idx="7">
                  <c:v>40</c:v>
                </c:pt>
                <c:pt idx="8">
                  <c:v>80</c:v>
                </c:pt>
                <c:pt idx="9">
                  <c:v>160</c:v>
                </c:pt>
                <c:pt idx="10">
                  <c:v>320</c:v>
                </c:pt>
                <c:pt idx="11">
                  <c:v>640</c:v>
                </c:pt>
                <c:pt idx="12">
                  <c:v>1280</c:v>
                </c:pt>
                <c:pt idx="13">
                  <c:v>2560</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Projections!$A$86</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Projections!$L$86:$AN$86</c15:sqref>
                  </c15:fullRef>
                </c:ext>
              </c:extLst>
              <c:f>Projections!$L$86:$AE$86</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64486.753877005009</c:v>
                </c:pt>
                <c:pt idx="15">
                  <c:v>90399.116071428653</c:v>
                </c:pt>
                <c:pt idx="16">
                  <c:v>130285.71428571413</c:v>
                </c:pt>
                <c:pt idx="17">
                  <c:v>151999.99999999991</c:v>
                </c:pt>
                <c:pt idx="18">
                  <c:v>163291.42857142884</c:v>
                </c:pt>
                <c:pt idx="19">
                  <c:v>2912827.1515627955</c:v>
                </c:pt>
              </c:numCache>
            </c:numRef>
          </c:val>
          <c:smooth val="0"/>
          <c:extLst>
            <c:ext xmlns:c16="http://schemas.microsoft.com/office/drawing/2014/chart" uri="{C3380CC4-5D6E-409C-BE32-E72D297353CC}">
              <c16:uniqueId val="{00000003-5231-4BE2-97ED-54F0C3DB105C}"/>
            </c:ext>
          </c:extLst>
        </c:ser>
        <c:ser>
          <c:idx val="2"/>
          <c:order val="1"/>
          <c:tx>
            <c:strRef>
              <c:f>Projections!$A$87</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Projections!$L$87:$AN$87</c15:sqref>
                  </c15:fullRef>
                </c:ext>
              </c:extLst>
              <c:f>Projections!$L$87:$AE$87</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58944.211012749765</c:v>
                </c:pt>
                <c:pt idx="15">
                  <c:v>73515.898416943528</c:v>
                </c:pt>
                <c:pt idx="16">
                  <c:v>107241.12994546359</c:v>
                </c:pt>
                <c:pt idx="17">
                  <c:v>120206.88972412996</c:v>
                </c:pt>
                <c:pt idx="18">
                  <c:v>124729.6269601144</c:v>
                </c:pt>
                <c:pt idx="19">
                  <c:v>2540299.3414317681</c:v>
                </c:pt>
              </c:numCache>
            </c:numRef>
          </c:val>
          <c:smooth val="0"/>
          <c:extLst>
            <c:ext xmlns:c16="http://schemas.microsoft.com/office/drawing/2014/chart" uri="{C3380CC4-5D6E-409C-BE32-E72D297353CC}">
              <c16:uniqueId val="{00000002-9381-4A4E-BB43-DCD8EC2F4E00}"/>
            </c:ext>
          </c:extLst>
        </c:ser>
        <c:ser>
          <c:idx val="0"/>
          <c:order val="2"/>
          <c:tx>
            <c:strRef>
              <c:f>Projections!$A$88</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Projections!$L$88:$AN$88</c15:sqref>
                  </c15:fullRef>
                </c:ext>
              </c:extLst>
              <c:f>Projections!$L$88:$AE$88</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123.66071428571428</c:v>
                </c:pt>
                <c:pt idx="13">
                  <c:v>514.38422097436683</c:v>
                </c:pt>
                <c:pt idx="14">
                  <c:v>5547.1428571428523</c:v>
                </c:pt>
                <c:pt idx="15">
                  <c:v>16970.198388685531</c:v>
                </c:pt>
                <c:pt idx="16">
                  <c:v>23789.241071428591</c:v>
                </c:pt>
                <c:pt idx="17">
                  <c:v>34285.714285714246</c:v>
                </c:pt>
                <c:pt idx="18">
                  <c:v>39999.999999999978</c:v>
                </c:pt>
                <c:pt idx="19">
                  <c:v>303499.238702456</c:v>
                </c:pt>
              </c:numCache>
            </c:numRef>
          </c:val>
          <c:smooth val="0"/>
          <c:extLst>
            <c:ext xmlns:c16="http://schemas.microsoft.com/office/drawing/2014/chart" uri="{C3380CC4-5D6E-409C-BE32-E72D297353CC}">
              <c16:uniqueId val="{00000000-9381-4A4E-BB43-DCD8EC2F4E00}"/>
            </c:ext>
          </c:extLst>
        </c:ser>
        <c:ser>
          <c:idx val="4"/>
          <c:order val="3"/>
          <c:tx>
            <c:strRef>
              <c:f>Projections!$A$89</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Projections!$L$89:$AN$89</c15:sqref>
                  </c15:fullRef>
                </c:ext>
              </c:extLst>
              <c:f>Projections!$L$89:$AE$89</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121.90833273345505</c:v>
                </c:pt>
                <c:pt idx="13">
                  <c:v>511.27485454338046</c:v>
                </c:pt>
                <c:pt idx="14">
                  <c:v>5534.0428642552415</c:v>
                </c:pt>
                <c:pt idx="15">
                  <c:v>16846.537674399817</c:v>
                </c:pt>
                <c:pt idx="16">
                  <c:v>22698.334340250534</c:v>
                </c:pt>
                <c:pt idx="17">
                  <c:v>28738.571428571395</c:v>
                </c:pt>
                <c:pt idx="18">
                  <c:v>23029.801611314448</c:v>
                </c:pt>
                <c:pt idx="19">
                  <c:v>260527.81013102736</c:v>
                </c:pt>
              </c:numCache>
            </c:numRef>
          </c:val>
          <c:smooth val="0"/>
          <c:extLst>
            <c:ext xmlns:c16="http://schemas.microsoft.com/office/drawing/2014/chart" uri="{C3380CC4-5D6E-409C-BE32-E72D297353CC}">
              <c16:uniqueId val="{00000003-9381-4A4E-BB43-DCD8EC2F4E00}"/>
            </c:ext>
          </c:extLst>
        </c:ser>
        <c:ser>
          <c:idx val="1"/>
          <c:order val="4"/>
          <c:tx>
            <c:strRef>
              <c:f>Projections!$A$90</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Projections!$L$90:$AN$90</c15:sqref>
                  </c15:fullRef>
                </c:ext>
              </c:extLst>
              <c:f>Projections!$L$90:$AE$90</c:f>
              <c:numCache>
                <c:formatCode>#,##0_ ;[Red]\-#,##0\ </c:formatCode>
                <c:ptCount val="20"/>
                <c:pt idx="0">
                  <c:v>1.25</c:v>
                </c:pt>
                <c:pt idx="1">
                  <c:v>2.5</c:v>
                </c:pt>
                <c:pt idx="2">
                  <c:v>5</c:v>
                </c:pt>
                <c:pt idx="3">
                  <c:v>10</c:v>
                </c:pt>
                <c:pt idx="4">
                  <c:v>20</c:v>
                </c:pt>
                <c:pt idx="5">
                  <c:v>40</c:v>
                </c:pt>
                <c:pt idx="6">
                  <c:v>80</c:v>
                </c:pt>
                <c:pt idx="7">
                  <c:v>160</c:v>
                </c:pt>
                <c:pt idx="8">
                  <c:v>320</c:v>
                </c:pt>
                <c:pt idx="9">
                  <c:v>640</c:v>
                </c:pt>
                <c:pt idx="10">
                  <c:v>1280</c:v>
                </c:pt>
                <c:pt idx="11">
                  <c:v>2560</c:v>
                </c:pt>
                <c:pt idx="12">
                  <c:v>5120</c:v>
                </c:pt>
                <c:pt idx="13">
                  <c:v>10240</c:v>
                </c:pt>
                <c:pt idx="14">
                  <c:v>20480</c:v>
                </c:pt>
                <c:pt idx="15">
                  <c:v>30720</c:v>
                </c:pt>
                <c:pt idx="16">
                  <c:v>35840</c:v>
                </c:pt>
                <c:pt idx="17">
                  <c:v>38502.400000000001</c:v>
                </c:pt>
                <c:pt idx="18">
                  <c:v>40960</c:v>
                </c:pt>
                <c:pt idx="19">
                  <c:v>81920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Projections!$L$108:$AN$108</c15:sqref>
                  </c15:fullRef>
                </c:ext>
              </c:extLst>
              <c:f>Projections!$L$108:$AE$108</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22155.169324493818</c:v>
                </c:pt>
                <c:pt idx="16">
                  <c:v>25847.697545242787</c:v>
                </c:pt>
                <c:pt idx="17">
                  <c:v>27767.81222003225</c:v>
                </c:pt>
                <c:pt idx="18">
                  <c:v>29540.225765991756</c:v>
                </c:pt>
                <c:pt idx="19">
                  <c:v>59080.451531983512</c:v>
                </c:pt>
              </c:numCache>
            </c:numRef>
          </c:val>
          <c:smooth val="0"/>
          <c:extLst>
            <c:ext xmlns:c16="http://schemas.microsoft.com/office/drawing/2014/chart" uri="{C3380CC4-5D6E-409C-BE32-E72D297353CC}">
              <c16:uniqueId val="{00000000-04B6-450D-AD81-6BF382C059D1}"/>
            </c:ext>
          </c:extLst>
        </c:ser>
        <c:ser>
          <c:idx val="2"/>
          <c:order val="1"/>
          <c:tx>
            <c:strRef>
              <c:f>Projections!$A$110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Projections!$L$110:$AN$110</c15:sqref>
                  </c15:fullRef>
                </c:ext>
              </c:extLst>
              <c:f>Projections!$L$110:$AE$110</c:f>
              <c:numCache>
                <c:formatCode>#,##0</c:formatCode>
                <c:ptCount val="20"/>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81877.799677477145</c:v>
                </c:pt>
                <c:pt idx="16">
                  <c:v>95524.099623723334</c:v>
                </c:pt>
                <c:pt idx="17">
                  <c:v>102620.17559577136</c:v>
                </c:pt>
                <c:pt idx="18">
                  <c:v>109170.39956996954</c:v>
                </c:pt>
                <c:pt idx="19">
                  <c:v>218340.79913993907</c:v>
                </c:pt>
              </c:numCache>
            </c:numRef>
          </c:val>
          <c:smooth val="0"/>
          <c:extLst>
            <c:ext xmlns:c16="http://schemas.microsoft.com/office/drawing/2014/chart" uri="{C3380CC4-5D6E-409C-BE32-E72D297353CC}">
              <c16:uniqueId val="{00000002-04B6-450D-AD81-6BF382C059D1}"/>
            </c:ext>
          </c:extLst>
        </c:ser>
        <c:ser>
          <c:idx val="4"/>
          <c:order val="2"/>
          <c:tx>
            <c:strRef>
              <c:f>Projections!$A$112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Projections!$L$112:$AN$112</c15:sqref>
                  </c15:fullRef>
                </c:ext>
              </c:extLst>
              <c:f>Projections!$L$112:$AE$112</c:f>
              <c:numCache>
                <c:formatCode>#,##0</c:formatCode>
                <c:ptCount val="20"/>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128527.50403153556</c:v>
                </c:pt>
                <c:pt idx="16">
                  <c:v>149948.75470345814</c:v>
                </c:pt>
                <c:pt idx="17">
                  <c:v>161087.8050528579</c:v>
                </c:pt>
                <c:pt idx="18">
                  <c:v>171370.00537538074</c:v>
                </c:pt>
                <c:pt idx="19">
                  <c:v>342740.01075076149</c:v>
                </c:pt>
              </c:numCache>
            </c:numRef>
          </c:val>
          <c:smooth val="0"/>
          <c:extLst>
            <c:ext xmlns:c16="http://schemas.microsoft.com/office/drawing/2014/chart" uri="{C3380CC4-5D6E-409C-BE32-E72D297353CC}">
              <c16:uniqueId val="{00000004-04B6-450D-AD81-6BF382C059D1}"/>
            </c:ext>
          </c:extLst>
        </c:ser>
        <c:ser>
          <c:idx val="6"/>
          <c:order val="3"/>
          <c:tx>
            <c:strRef>
              <c:f>Projections!$A$114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Projections!$L$114:$AN$114</c15:sqref>
                  </c15:fullRef>
                </c:ext>
              </c:extLst>
              <c:f>Projections!$L$114:$AE$114</c:f>
              <c:numCache>
                <c:formatCode>#,##0</c:formatCode>
                <c:ptCount val="20"/>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119307.65095860958</c:v>
                </c:pt>
                <c:pt idx="16">
                  <c:v>139192.25945171117</c:v>
                </c:pt>
                <c:pt idx="17">
                  <c:v>149532.25586812399</c:v>
                </c:pt>
                <c:pt idx="18">
                  <c:v>159076.86794481275</c:v>
                </c:pt>
                <c:pt idx="19">
                  <c:v>318153.7358896255</c:v>
                </c:pt>
              </c:numCache>
            </c:numRef>
          </c:val>
          <c:smooth val="0"/>
          <c:extLst>
            <c:ext xmlns:c16="http://schemas.microsoft.com/office/drawing/2014/chart" uri="{C3380CC4-5D6E-409C-BE32-E72D297353CC}">
              <c16:uniqueId val="{00000006-04B6-450D-AD81-6BF382C059D1}"/>
            </c:ext>
          </c:extLst>
        </c:ser>
        <c:ser>
          <c:idx val="8"/>
          <c:order val="4"/>
          <c:tx>
            <c:strRef>
              <c:f>Projections!$A$116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Projections!$L$116:$AN$116</c15:sqref>
                  </c15:fullRef>
                </c:ext>
              </c:extLst>
              <c:f>Projections!$L$116:$AE$116</c:f>
              <c:numCache>
                <c:formatCode>#,##0</c:formatCode>
                <c:ptCount val="20"/>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99629.457086543625</c:v>
                </c:pt>
                <c:pt idx="16">
                  <c:v>116234.36660096757</c:v>
                </c:pt>
                <c:pt idx="17">
                  <c:v>124868.91954846801</c:v>
                </c:pt>
                <c:pt idx="18">
                  <c:v>132839.27611539149</c:v>
                </c:pt>
                <c:pt idx="19">
                  <c:v>265678.55223078298</c:v>
                </c:pt>
              </c:numCache>
            </c:numRef>
          </c:val>
          <c:smooth val="0"/>
          <c:extLst>
            <c:ext xmlns:c16="http://schemas.microsoft.com/office/drawing/2014/chart" uri="{C3380CC4-5D6E-409C-BE32-E72D297353CC}">
              <c16:uniqueId val="{00000008-04B6-450D-AD81-6BF382C059D1}"/>
            </c:ext>
          </c:extLst>
        </c:ser>
        <c:ser>
          <c:idx val="10"/>
          <c:order val="5"/>
          <c:tx>
            <c:strRef>
              <c:f>Projections!$A$118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Projections!$L$118:$AN$118</c15:sqref>
                  </c15:fullRef>
                </c:ext>
              </c:extLst>
              <c:f>Projections!$L$118:$AE$118</c:f>
              <c:numCache>
                <c:formatCode>#,##0</c:formatCode>
                <c:ptCount val="20"/>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120821.35817953771</c:v>
                </c:pt>
                <c:pt idx="16">
                  <c:v>140958.25120946066</c:v>
                </c:pt>
                <c:pt idx="17">
                  <c:v>151429.4355850206</c:v>
                </c:pt>
                <c:pt idx="18">
                  <c:v>161095.1442393836</c:v>
                </c:pt>
                <c:pt idx="19">
                  <c:v>322190.28847876721</c:v>
                </c:pt>
              </c:numCache>
            </c:numRef>
          </c:val>
          <c:smooth val="0"/>
          <c:extLst>
            <c:ext xmlns:c16="http://schemas.microsoft.com/office/drawing/2014/chart" uri="{C3380CC4-5D6E-409C-BE32-E72D297353CC}">
              <c16:uniqueId val="{0000000A-04B6-450D-AD81-6BF382C059D1}"/>
            </c:ext>
          </c:extLst>
        </c:ser>
        <c:ser>
          <c:idx val="12"/>
          <c:order val="6"/>
          <c:tx>
            <c:strRef>
              <c:f>Projections!$A$120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Projections!$L$120:$AN$120</c15:sqref>
                  </c15:fullRef>
                </c:ext>
              </c:extLst>
              <c:f>Projections!$L$120:$AE$120</c:f>
              <c:numCache>
                <c:formatCode>#,##0</c:formatCode>
                <c:ptCount val="20"/>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165957.35531266799</c:v>
                </c:pt>
                <c:pt idx="16">
                  <c:v>193616.91453144597</c:v>
                </c:pt>
                <c:pt idx="17">
                  <c:v>207999.88532521055</c:v>
                </c:pt>
                <c:pt idx="18">
                  <c:v>221276.47375022396</c:v>
                </c:pt>
                <c:pt idx="19">
                  <c:v>442552.94750044792</c:v>
                </c:pt>
              </c:numCache>
            </c:numRef>
          </c:val>
          <c:smooth val="0"/>
          <c:extLst>
            <c:ext xmlns:c16="http://schemas.microsoft.com/office/drawing/2014/chart" uri="{C3380CC4-5D6E-409C-BE32-E72D297353CC}">
              <c16:uniqueId val="{0000000C-04B6-450D-AD81-6BF382C059D1}"/>
            </c:ext>
          </c:extLst>
        </c:ser>
        <c:ser>
          <c:idx val="14"/>
          <c:order val="7"/>
          <c:tx>
            <c:strRef>
              <c:f>Projections!$A$122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Projections!$L$122:$AN$122</c15:sqref>
                  </c15:fullRef>
                </c:ext>
              </c:extLst>
              <c:f>Projections!$L$122:$AE$122</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22155.169324493818</c:v>
                </c:pt>
                <c:pt idx="16">
                  <c:v>25847.697545242787</c:v>
                </c:pt>
                <c:pt idx="17">
                  <c:v>27767.81222003225</c:v>
                </c:pt>
                <c:pt idx="18">
                  <c:v>29540.225765991756</c:v>
                </c:pt>
                <c:pt idx="19">
                  <c:v>59080.451531983512</c:v>
                </c:pt>
              </c:numCache>
            </c:numRef>
          </c:val>
          <c:smooth val="0"/>
          <c:extLst>
            <c:ext xmlns:c16="http://schemas.microsoft.com/office/drawing/2014/chart" uri="{C3380CC4-5D6E-409C-BE32-E72D297353CC}">
              <c16:uniqueId val="{0000000E-04B6-450D-AD81-6BF382C059D1}"/>
            </c:ext>
          </c:extLst>
        </c:ser>
        <c:ser>
          <c:idx val="16"/>
          <c:order val="8"/>
          <c:tx>
            <c:strRef>
              <c:f>Projections!$A$124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Projections!$L$124:$AN$124</c15:sqref>
                  </c15:fullRef>
                </c:ext>
              </c:extLst>
              <c:f>Projections!$L$124:$AE$124</c:f>
              <c:numCache>
                <c:formatCode>#,##0</c:formatCode>
                <c:ptCount val="20"/>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7568.5361046407452</c:v>
                </c:pt>
                <c:pt idx="16">
                  <c:v>8829.9587887475354</c:v>
                </c:pt>
                <c:pt idx="17">
                  <c:v>9485.8985844830677</c:v>
                </c:pt>
                <c:pt idx="18">
                  <c:v>10091.381472854326</c:v>
                </c:pt>
                <c:pt idx="19">
                  <c:v>20182.762945708651</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Projections!$L$109:$AN$109</c15:sqref>
                  </c15:fullRef>
                </c:ext>
              </c:extLst>
              <c:f>Projections!$L$109:$AE$109</c:f>
              <c:numCache>
                <c:formatCode>#,##0</c:formatCode>
                <c:ptCount val="20"/>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3278.9650600250848</c:v>
                </c:pt>
                <c:pt idx="16">
                  <c:v>3825.4592366959323</c:v>
                </c:pt>
                <c:pt idx="17">
                  <c:v>4109.6362085647725</c:v>
                </c:pt>
                <c:pt idx="18">
                  <c:v>4371.9534133667794</c:v>
                </c:pt>
                <c:pt idx="19">
                  <c:v>8743.9068267335588</c:v>
                </c:pt>
              </c:numCache>
            </c:numRef>
          </c:val>
          <c:smooth val="0"/>
          <c:extLst>
            <c:ext xmlns:c16="http://schemas.microsoft.com/office/drawing/2014/chart" uri="{C3380CC4-5D6E-409C-BE32-E72D297353CC}">
              <c16:uniqueId val="{00000001-EBAD-48A5-9277-83F388186C0C}"/>
            </c:ext>
          </c:extLst>
        </c:ser>
        <c:ser>
          <c:idx val="3"/>
          <c:order val="1"/>
          <c:tx>
            <c:strRef>
              <c:f>Projections!$A$110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Projections!$L$111:$AN$111</c15:sqref>
                  </c15:fullRef>
                </c:ext>
              </c:extLst>
              <c:f>Projections!$L$111:$AE$111</c:f>
              <c:numCache>
                <c:formatCode>#,##0</c:formatCode>
                <c:ptCount val="20"/>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6550.2239741981721</c:v>
                </c:pt>
                <c:pt idx="16">
                  <c:v>7641.9279698978671</c:v>
                </c:pt>
                <c:pt idx="17">
                  <c:v>8209.6140476617093</c:v>
                </c:pt>
                <c:pt idx="18">
                  <c:v>8733.631965597564</c:v>
                </c:pt>
                <c:pt idx="19">
                  <c:v>17467.263931195128</c:v>
                </c:pt>
              </c:numCache>
            </c:numRef>
          </c:val>
          <c:smooth val="0"/>
          <c:extLst>
            <c:ext xmlns:c16="http://schemas.microsoft.com/office/drawing/2014/chart" uri="{C3380CC4-5D6E-409C-BE32-E72D297353CC}">
              <c16:uniqueId val="{00000003-EBAD-48A5-9277-83F388186C0C}"/>
            </c:ext>
          </c:extLst>
        </c:ser>
        <c:ser>
          <c:idx val="5"/>
          <c:order val="2"/>
          <c:tx>
            <c:strRef>
              <c:f>Projections!$A$112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Projections!$L$113:$AN$113</c15:sqref>
                  </c15:fullRef>
                </c:ext>
              </c:extLst>
              <c:f>Projections!$L$113:$AE$113</c:f>
              <c:numCache>
                <c:formatCode>#,##0</c:formatCode>
                <c:ptCount val="20"/>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4626.9901451352798</c:v>
                </c:pt>
                <c:pt idx="16">
                  <c:v>5398.1551693244928</c:v>
                </c:pt>
                <c:pt idx="17">
                  <c:v>5799.1609819028845</c:v>
                </c:pt>
                <c:pt idx="18">
                  <c:v>6169.3201935137067</c:v>
                </c:pt>
                <c:pt idx="19">
                  <c:v>12338.640387027413</c:v>
                </c:pt>
              </c:numCache>
            </c:numRef>
          </c:val>
          <c:smooth val="0"/>
          <c:extLst>
            <c:ext xmlns:c16="http://schemas.microsoft.com/office/drawing/2014/chart" uri="{C3380CC4-5D6E-409C-BE32-E72D297353CC}">
              <c16:uniqueId val="{00000005-EBAD-48A5-9277-83F388186C0C}"/>
            </c:ext>
          </c:extLst>
        </c:ser>
        <c:ser>
          <c:idx val="7"/>
          <c:order val="3"/>
          <c:tx>
            <c:strRef>
              <c:f>Projections!$A$114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Projections!$L$115:$AN$115</c15:sqref>
                  </c15:fullRef>
                </c:ext>
              </c:extLst>
              <c:f>Projections!$L$115:$AE$115</c:f>
              <c:numCache>
                <c:formatCode>#,##0</c:formatCode>
                <c:ptCount val="20"/>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1550.9994624619244</c:v>
                </c:pt>
                <c:pt idx="16">
                  <c:v>1809.4993728722452</c:v>
                </c:pt>
                <c:pt idx="17">
                  <c:v>1943.9193262856118</c:v>
                </c:pt>
                <c:pt idx="18">
                  <c:v>2067.9992832825656</c:v>
                </c:pt>
                <c:pt idx="19">
                  <c:v>4135.9985665651311</c:v>
                </c:pt>
              </c:numCache>
            </c:numRef>
          </c:val>
          <c:smooth val="0"/>
          <c:extLst>
            <c:ext xmlns:c16="http://schemas.microsoft.com/office/drawing/2014/chart" uri="{C3380CC4-5D6E-409C-BE32-E72D297353CC}">
              <c16:uniqueId val="{00000007-EBAD-48A5-9277-83F388186C0C}"/>
            </c:ext>
          </c:extLst>
        </c:ser>
        <c:ser>
          <c:idx val="9"/>
          <c:order val="4"/>
          <c:tx>
            <c:strRef>
              <c:f>Projections!$A$116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Projections!$L$117:$AN$117</c15:sqref>
                  </c15:fullRef>
                </c:ext>
              </c:extLst>
              <c:f>Projections!$L$117:$AE$117</c:f>
              <c:numCache>
                <c:formatCode>#,##0</c:formatCode>
                <c:ptCount val="20"/>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398.5178283461745</c:v>
                </c:pt>
                <c:pt idx="16">
                  <c:v>464.93746640387025</c:v>
                </c:pt>
                <c:pt idx="17">
                  <c:v>499.47567819387206</c:v>
                </c:pt>
                <c:pt idx="18">
                  <c:v>531.357104461566</c:v>
                </c:pt>
                <c:pt idx="19">
                  <c:v>1062.714208923132</c:v>
                </c:pt>
              </c:numCache>
            </c:numRef>
          </c:val>
          <c:smooth val="0"/>
          <c:extLst>
            <c:ext xmlns:c16="http://schemas.microsoft.com/office/drawing/2014/chart" uri="{C3380CC4-5D6E-409C-BE32-E72D297353CC}">
              <c16:uniqueId val="{00000009-EBAD-48A5-9277-83F388186C0C}"/>
            </c:ext>
          </c:extLst>
        </c:ser>
        <c:ser>
          <c:idx val="11"/>
          <c:order val="5"/>
          <c:tx>
            <c:strRef>
              <c:f>Projections!$A$118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Projections!$L$119:$AN$119</c15:sqref>
                  </c15:fullRef>
                </c:ext>
              </c:extLst>
              <c:f>Projections!$L$119:$AE$119</c:f>
              <c:numCache>
                <c:formatCode>#,##0</c:formatCode>
                <c:ptCount val="20"/>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241.64271635907542</c:v>
                </c:pt>
                <c:pt idx="16">
                  <c:v>281.91650241892131</c:v>
                </c:pt>
                <c:pt idx="17">
                  <c:v>302.8588711700412</c:v>
                </c:pt>
                <c:pt idx="18">
                  <c:v>322.19028847876723</c:v>
                </c:pt>
                <c:pt idx="19">
                  <c:v>644.38057695753446</c:v>
                </c:pt>
              </c:numCache>
            </c:numRef>
          </c:val>
          <c:smooth val="0"/>
          <c:extLst>
            <c:ext xmlns:c16="http://schemas.microsoft.com/office/drawing/2014/chart" uri="{C3380CC4-5D6E-409C-BE32-E72D297353CC}">
              <c16:uniqueId val="{0000000B-EBAD-48A5-9277-83F388186C0C}"/>
            </c:ext>
          </c:extLst>
        </c:ser>
        <c:ser>
          <c:idx val="13"/>
          <c:order val="6"/>
          <c:tx>
            <c:strRef>
              <c:f>Projections!$A$120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Projections!$L$121:$AN$121</c15:sqref>
                  </c15:fullRef>
                </c:ext>
              </c:extLst>
              <c:f>Projections!$L$121:$AE$121</c:f>
              <c:numCache>
                <c:formatCode>#,##0</c:formatCode>
                <c:ptCount val="20"/>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331.914710625336</c:v>
                </c:pt>
                <c:pt idx="16">
                  <c:v>387.23382906289197</c:v>
                </c:pt>
                <c:pt idx="17">
                  <c:v>415.99977065042111</c:v>
                </c:pt>
                <c:pt idx="18">
                  <c:v>442.55294750044794</c:v>
                </c:pt>
                <c:pt idx="19">
                  <c:v>885.10589500089588</c:v>
                </c:pt>
              </c:numCache>
            </c:numRef>
          </c:val>
          <c:smooth val="0"/>
          <c:extLst>
            <c:ext xmlns:c16="http://schemas.microsoft.com/office/drawing/2014/chart" uri="{C3380CC4-5D6E-409C-BE32-E72D297353CC}">
              <c16:uniqueId val="{0000000D-EBAD-48A5-9277-83F388186C0C}"/>
            </c:ext>
          </c:extLst>
        </c:ser>
        <c:ser>
          <c:idx val="15"/>
          <c:order val="7"/>
          <c:tx>
            <c:strRef>
              <c:f>Projections!$A$122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Projections!$L$123:$AN$123</c15:sqref>
                  </c15:fullRef>
                </c:ext>
              </c:extLst>
              <c:f>Projections!$L$123:$AE$123</c:f>
              <c:numCache>
                <c:formatCode>#,##0</c:formatCode>
                <c:ptCount val="20"/>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44.310338648987639</c:v>
                </c:pt>
                <c:pt idx="16">
                  <c:v>51.695395090485576</c:v>
                </c:pt>
                <c:pt idx="17">
                  <c:v>55.535624440064502</c:v>
                </c:pt>
                <c:pt idx="18">
                  <c:v>59.080451531983513</c:v>
                </c:pt>
                <c:pt idx="19">
                  <c:v>118.16090306396703</c:v>
                </c:pt>
              </c:numCache>
            </c:numRef>
          </c:val>
          <c:smooth val="0"/>
          <c:extLst>
            <c:ext xmlns:c16="http://schemas.microsoft.com/office/drawing/2014/chart" uri="{C3380CC4-5D6E-409C-BE32-E72D297353CC}">
              <c16:uniqueId val="{0000000F-EBAD-48A5-9277-83F388186C0C}"/>
            </c:ext>
          </c:extLst>
        </c:ser>
        <c:ser>
          <c:idx val="17"/>
          <c:order val="8"/>
          <c:tx>
            <c:strRef>
              <c:f>Projections!$A$124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Projections!$L$125:$AN$125</c15:sqref>
                  </c15:fullRef>
                </c:ext>
              </c:extLst>
              <c:f>Projections!$L$125:$AE$125</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Projections!$A$137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Projections!$L$137:$AN$137</c15:sqref>
                  </c15:fullRef>
                </c:ext>
              </c:extLst>
              <c:f>Projections!$L$137:$AE$137</c:f>
              <c:numCache>
                <c:formatCode>#,##0</c:formatCode>
                <c:ptCount val="20"/>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353280</c:v>
                </c:pt>
                <c:pt idx="16">
                  <c:v>412160</c:v>
                </c:pt>
                <c:pt idx="17">
                  <c:v>442777.60000000003</c:v>
                </c:pt>
                <c:pt idx="18">
                  <c:v>471040</c:v>
                </c:pt>
                <c:pt idx="19">
                  <c:v>942080</c:v>
                </c:pt>
              </c:numCache>
            </c:numRef>
          </c:val>
          <c:smooth val="0"/>
          <c:extLst>
            <c:ext xmlns:c16="http://schemas.microsoft.com/office/drawing/2014/chart" uri="{C3380CC4-5D6E-409C-BE32-E72D297353CC}">
              <c16:uniqueId val="{0000001E-05DD-4DD4-A5B5-12D162507280}"/>
            </c:ext>
          </c:extLst>
        </c:ser>
        <c:ser>
          <c:idx val="4"/>
          <c:order val="1"/>
          <c:tx>
            <c:strRef>
              <c:f>Projections!$A$135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Projections!$L$135:$AN$135</c15:sqref>
                  </c15:fullRef>
                </c:ext>
              </c:extLst>
              <c:f>Projections!$L$135:$AE$135</c:f>
              <c:numCache>
                <c:formatCode>#,##0</c:formatCode>
                <c:ptCount val="20"/>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102912</c:v>
                </c:pt>
                <c:pt idx="16">
                  <c:v>120064</c:v>
                </c:pt>
                <c:pt idx="17">
                  <c:v>128983.04000000001</c:v>
                </c:pt>
                <c:pt idx="18">
                  <c:v>137216</c:v>
                </c:pt>
                <c:pt idx="19">
                  <c:v>274432</c:v>
                </c:pt>
              </c:numCache>
            </c:numRef>
          </c:val>
          <c:smooth val="0"/>
          <c:extLst>
            <c:ext xmlns:c16="http://schemas.microsoft.com/office/drawing/2014/chart" uri="{C3380CC4-5D6E-409C-BE32-E72D297353CC}">
              <c16:uniqueId val="{0000001C-05DD-4DD4-A5B5-12D162507280}"/>
            </c:ext>
          </c:extLst>
        </c:ser>
        <c:ser>
          <c:idx val="10"/>
          <c:order val="2"/>
          <c:tx>
            <c:strRef>
              <c:f>Projections!$A$141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Projections!$L$141:$AN$141</c15:sqref>
                  </c15:fullRef>
                </c:ext>
              </c:extLst>
              <c:f>Projections!$L$141:$AE$141</c:f>
              <c:numCache>
                <c:formatCode>#,##0</c:formatCode>
                <c:ptCount val="20"/>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119040</c:v>
                </c:pt>
                <c:pt idx="16">
                  <c:v>138880</c:v>
                </c:pt>
                <c:pt idx="17">
                  <c:v>149196.79999999999</c:v>
                </c:pt>
                <c:pt idx="18">
                  <c:v>158720</c:v>
                </c:pt>
                <c:pt idx="19">
                  <c:v>317440</c:v>
                </c:pt>
              </c:numCache>
            </c:numRef>
          </c:val>
          <c:smooth val="0"/>
          <c:extLst>
            <c:ext xmlns:c16="http://schemas.microsoft.com/office/drawing/2014/chart" uri="{C3380CC4-5D6E-409C-BE32-E72D297353CC}">
              <c16:uniqueId val="{00000022-05DD-4DD4-A5B5-12D162507280}"/>
            </c:ext>
          </c:extLst>
        </c:ser>
        <c:ser>
          <c:idx val="0"/>
          <c:order val="3"/>
          <c:tx>
            <c:strRef>
              <c:f>Projections!$A$131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Projections!$L$131:$AN$131</c15:sqref>
                  </c15:fullRef>
                </c:ext>
              </c:extLst>
              <c:f>Projections!$L$131:$AE$131</c:f>
              <c:numCache>
                <c:formatCode>#,##0</c:formatCode>
                <c:ptCount val="20"/>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282624</c:v>
                </c:pt>
                <c:pt idx="16">
                  <c:v>329728</c:v>
                </c:pt>
                <c:pt idx="17">
                  <c:v>354222.08000000002</c:v>
                </c:pt>
                <c:pt idx="18">
                  <c:v>376832</c:v>
                </c:pt>
                <c:pt idx="19">
                  <c:v>753664</c:v>
                </c:pt>
              </c:numCache>
            </c:numRef>
          </c:val>
          <c:smooth val="0"/>
          <c:extLst>
            <c:ext xmlns:c16="http://schemas.microsoft.com/office/drawing/2014/chart" uri="{C3380CC4-5D6E-409C-BE32-E72D297353CC}">
              <c16:uniqueId val="{00000018-05DD-4DD4-A5B5-12D162507280}"/>
            </c:ext>
          </c:extLst>
        </c:ser>
        <c:ser>
          <c:idx val="2"/>
          <c:order val="4"/>
          <c:tx>
            <c:strRef>
              <c:f>Projections!$A$133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Projections!$L$133:$AN$133</c15:sqref>
                  </c15:fullRef>
                </c:ext>
              </c:extLst>
              <c:f>Projections!$L$133:$AE$133</c:f>
              <c:numCache>
                <c:formatCode>#,##0</c:formatCode>
                <c:ptCount val="20"/>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75264</c:v>
                </c:pt>
                <c:pt idx="16">
                  <c:v>87808</c:v>
                </c:pt>
                <c:pt idx="17">
                  <c:v>94330.880000000005</c:v>
                </c:pt>
                <c:pt idx="18">
                  <c:v>100352</c:v>
                </c:pt>
                <c:pt idx="19">
                  <c:v>200704</c:v>
                </c:pt>
              </c:numCache>
            </c:numRef>
          </c:val>
          <c:smooth val="0"/>
          <c:extLst>
            <c:ext xmlns:c16="http://schemas.microsoft.com/office/drawing/2014/chart" uri="{C3380CC4-5D6E-409C-BE32-E72D297353CC}">
              <c16:uniqueId val="{0000001A-05DD-4DD4-A5B5-12D162507280}"/>
            </c:ext>
          </c:extLst>
        </c:ser>
        <c:ser>
          <c:idx val="8"/>
          <c:order val="5"/>
          <c:tx>
            <c:strRef>
              <c:f>Projections!$A$139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Projections!$L$139:$AN$139</c15:sqref>
                  </c15:fullRef>
                </c:ext>
              </c:extLst>
              <c:f>Projections!$L$139:$AE$139</c:f>
              <c:numCache>
                <c:formatCode>#,##0</c:formatCode>
                <c:ptCount val="20"/>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3371.52</c:v>
                </c:pt>
                <c:pt idx="16">
                  <c:v>3933.4399999999996</c:v>
                </c:pt>
                <c:pt idx="17">
                  <c:v>4225.6383999999998</c:v>
                </c:pt>
                <c:pt idx="18">
                  <c:v>4495.3599999999997</c:v>
                </c:pt>
                <c:pt idx="19">
                  <c:v>8990.7199999999993</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Projections!$A$137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Projections!$L$138:$AN$138</c15:sqref>
                  </c15:fullRef>
                </c:ext>
              </c:extLst>
              <c:f>Projections!$L$138:$AE$138</c:f>
              <c:numCache>
                <c:formatCode>#,##0</c:formatCode>
                <c:ptCount val="20"/>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21196.799999999999</c:v>
                </c:pt>
                <c:pt idx="16">
                  <c:v>24729.599999999999</c:v>
                </c:pt>
                <c:pt idx="17">
                  <c:v>26566.656000000003</c:v>
                </c:pt>
                <c:pt idx="18">
                  <c:v>28262.399999999998</c:v>
                </c:pt>
                <c:pt idx="19">
                  <c:v>56524.799999999996</c:v>
                </c:pt>
              </c:numCache>
            </c:numRef>
          </c:val>
          <c:smooth val="0"/>
          <c:extLst>
            <c:ext xmlns:c16="http://schemas.microsoft.com/office/drawing/2014/chart" uri="{C3380CC4-5D6E-409C-BE32-E72D297353CC}">
              <c16:uniqueId val="{00000007-65B4-47F9-9B97-64FB989C8893}"/>
            </c:ext>
          </c:extLst>
        </c:ser>
        <c:ser>
          <c:idx val="5"/>
          <c:order val="1"/>
          <c:tx>
            <c:strRef>
              <c:f>Projections!$A$135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Projections!$L$136:$AN$136</c15:sqref>
                  </c15:fullRef>
                </c:ext>
              </c:extLst>
              <c:f>Projections!$L$136:$AE$136</c:f>
              <c:numCache>
                <c:formatCode>#,##0</c:formatCode>
                <c:ptCount val="20"/>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6483.4560000000001</c:v>
                </c:pt>
                <c:pt idx="16">
                  <c:v>7564.0320000000002</c:v>
                </c:pt>
                <c:pt idx="17">
                  <c:v>8125.931520000001</c:v>
                </c:pt>
                <c:pt idx="18">
                  <c:v>8644.6080000000002</c:v>
                </c:pt>
                <c:pt idx="19">
                  <c:v>17289.216</c:v>
                </c:pt>
              </c:numCache>
            </c:numRef>
          </c:val>
          <c:smooth val="0"/>
          <c:extLst>
            <c:ext xmlns:c16="http://schemas.microsoft.com/office/drawing/2014/chart" uri="{C3380CC4-5D6E-409C-BE32-E72D297353CC}">
              <c16:uniqueId val="{00000005-65B4-47F9-9B97-64FB989C8893}"/>
            </c:ext>
          </c:extLst>
        </c:ser>
        <c:ser>
          <c:idx val="1"/>
          <c:order val="2"/>
          <c:tx>
            <c:strRef>
              <c:f>Projections!$A$131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Projections!$L$132:$AN$132</c15:sqref>
                  </c15:fullRef>
                </c:ext>
              </c:extLst>
              <c:f>Projections!$L$132:$AE$132</c:f>
              <c:numCache>
                <c:formatCode>#,##0</c:formatCode>
                <c:ptCount val="20"/>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29675.52</c:v>
                </c:pt>
                <c:pt idx="16">
                  <c:v>34621.440000000002</c:v>
                </c:pt>
                <c:pt idx="17">
                  <c:v>37193.318400000004</c:v>
                </c:pt>
                <c:pt idx="18">
                  <c:v>39567.360000000001</c:v>
                </c:pt>
                <c:pt idx="19">
                  <c:v>79134.720000000001</c:v>
                </c:pt>
              </c:numCache>
            </c:numRef>
          </c:val>
          <c:smooth val="0"/>
          <c:extLst>
            <c:ext xmlns:c16="http://schemas.microsoft.com/office/drawing/2014/chart" uri="{C3380CC4-5D6E-409C-BE32-E72D297353CC}">
              <c16:uniqueId val="{00000001-65B4-47F9-9B97-64FB989C8893}"/>
            </c:ext>
          </c:extLst>
        </c:ser>
        <c:ser>
          <c:idx val="3"/>
          <c:order val="3"/>
          <c:tx>
            <c:strRef>
              <c:f>Projections!$A$133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Projections!$L$134:$AN$134</c15:sqref>
                  </c15:fullRef>
                </c:ext>
              </c:extLst>
              <c:f>Projections!$L$134:$AE$134</c:f>
              <c:numCache>
                <c:formatCode>#,##0</c:formatCode>
                <c:ptCount val="20"/>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5494.2719999999999</c:v>
                </c:pt>
                <c:pt idx="16">
                  <c:v>6409.9839999999995</c:v>
                </c:pt>
                <c:pt idx="17">
                  <c:v>6886.1542399999998</c:v>
                </c:pt>
                <c:pt idx="18">
                  <c:v>7325.6959999999999</c:v>
                </c:pt>
                <c:pt idx="19">
                  <c:v>14651.392</c:v>
                </c:pt>
              </c:numCache>
            </c:numRef>
          </c:val>
          <c:smooth val="0"/>
          <c:extLst>
            <c:ext xmlns:c16="http://schemas.microsoft.com/office/drawing/2014/chart" uri="{C3380CC4-5D6E-409C-BE32-E72D297353CC}">
              <c16:uniqueId val="{00000003-65B4-47F9-9B97-64FB989C8893}"/>
            </c:ext>
          </c:extLst>
        </c:ser>
        <c:ser>
          <c:idx val="9"/>
          <c:order val="4"/>
          <c:tx>
            <c:strRef>
              <c:f>Projections!$A$139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Projections!$L$75:$AN$75</c15:sqref>
                  </c15:fullRef>
                </c:ext>
              </c:extLst>
              <c:f>Projections!$L$75:$AE$75</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43939</c:v>
                </c:pt>
                <c:pt idx="16">
                  <c:v>43946</c:v>
                </c:pt>
                <c:pt idx="17">
                  <c:v>43953</c:v>
                </c:pt>
                <c:pt idx="18">
                  <c:v>43960</c:v>
                </c:pt>
                <c:pt idx="19">
                  <c:v>43988</c:v>
                </c:pt>
              </c:numCache>
            </c:numRef>
          </c:cat>
          <c:val>
            <c:numRef>
              <c:extLst>
                <c:ext xmlns:c15="http://schemas.microsoft.com/office/drawing/2012/chart" uri="{02D57815-91ED-43cb-92C2-25804820EDAC}">
                  <c15:fullRef>
                    <c15:sqref>Projections!$L$140:$AN$140</c15:sqref>
                  </c15:fullRef>
                </c:ext>
              </c:extLst>
              <c:f>Projections!$L$140:$AE$140</c:f>
              <c:numCache>
                <c:formatCode>#,##0</c:formatCode>
                <c:ptCount val="20"/>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188.80512000000002</c:v>
                </c:pt>
                <c:pt idx="16">
                  <c:v>220.27264</c:v>
                </c:pt>
                <c:pt idx="17">
                  <c:v>236.63575040000001</c:v>
                </c:pt>
                <c:pt idx="18">
                  <c:v>251.74015999999997</c:v>
                </c:pt>
                <c:pt idx="19">
                  <c:v>503.48031999999995</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42</xdr:col>
      <xdr:colOff>9526</xdr:colOff>
      <xdr:row>61</xdr:row>
      <xdr:rowOff>180975</xdr:rowOff>
    </xdr:from>
    <xdr:to>
      <xdr:col>53</xdr:col>
      <xdr:colOff>600075</xdr:colOff>
      <xdr:row>89</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736455</xdr:colOff>
      <xdr:row>134</xdr:row>
      <xdr:rowOff>5814</xdr:rowOff>
    </xdr:from>
    <xdr:to>
      <xdr:col>54</xdr:col>
      <xdr:colOff>19050</xdr:colOff>
      <xdr:row>157</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3031</xdr:colOff>
      <xdr:row>158</xdr:row>
      <xdr:rowOff>10576</xdr:rowOff>
    </xdr:from>
    <xdr:to>
      <xdr:col>54</xdr:col>
      <xdr:colOff>28575</xdr:colOff>
      <xdr:row>174</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741217</xdr:colOff>
      <xdr:row>175</xdr:row>
      <xdr:rowOff>182025</xdr:rowOff>
    </xdr:from>
    <xdr:to>
      <xdr:col>54</xdr:col>
      <xdr:colOff>38099</xdr:colOff>
      <xdr:row>191</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741219</xdr:colOff>
      <xdr:row>193</xdr:row>
      <xdr:rowOff>10575</xdr:rowOff>
    </xdr:from>
    <xdr:to>
      <xdr:col>54</xdr:col>
      <xdr:colOff>19050</xdr:colOff>
      <xdr:row>212</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738187</xdr:colOff>
      <xdr:row>96</xdr:row>
      <xdr:rowOff>4762</xdr:rowOff>
    </xdr:from>
    <xdr:to>
      <xdr:col>54</xdr:col>
      <xdr:colOff>19050</xdr:colOff>
      <xdr:row>116</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740228</xdr:colOff>
      <xdr:row>117</xdr:row>
      <xdr:rowOff>2721</xdr:rowOff>
    </xdr:from>
    <xdr:to>
      <xdr:col>53</xdr:col>
      <xdr:colOff>590550</xdr:colOff>
      <xdr:row>132</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55</xdr:col>
      <xdr:colOff>1</xdr:colOff>
      <xdr:row>61</xdr:row>
      <xdr:rowOff>180975</xdr:rowOff>
    </xdr:from>
    <xdr:to>
      <xdr:col>67</xdr:col>
      <xdr:colOff>161925</xdr:colOff>
      <xdr:row>89</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54</xdr:col>
      <xdr:colOff>607867</xdr:colOff>
      <xdr:row>133</xdr:row>
      <xdr:rowOff>177264</xdr:rowOff>
    </xdr:from>
    <xdr:to>
      <xdr:col>67</xdr:col>
      <xdr:colOff>209550</xdr:colOff>
      <xdr:row>156</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54</xdr:col>
      <xdr:colOff>598343</xdr:colOff>
      <xdr:row>158</xdr:row>
      <xdr:rowOff>1051</xdr:rowOff>
    </xdr:from>
    <xdr:to>
      <xdr:col>67</xdr:col>
      <xdr:colOff>200025</xdr:colOff>
      <xdr:row>174</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55</xdr:col>
      <xdr:colOff>3029</xdr:colOff>
      <xdr:row>175</xdr:row>
      <xdr:rowOff>182025</xdr:rowOff>
    </xdr:from>
    <xdr:to>
      <xdr:col>67</xdr:col>
      <xdr:colOff>219074</xdr:colOff>
      <xdr:row>191</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55</xdr:col>
      <xdr:colOff>22081</xdr:colOff>
      <xdr:row>193</xdr:row>
      <xdr:rowOff>10575</xdr:rowOff>
    </xdr:from>
    <xdr:to>
      <xdr:col>67</xdr:col>
      <xdr:colOff>228600</xdr:colOff>
      <xdr:row>212</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54</xdr:col>
      <xdr:colOff>600074</xdr:colOff>
      <xdr:row>96</xdr:row>
      <xdr:rowOff>14287</xdr:rowOff>
    </xdr:from>
    <xdr:to>
      <xdr:col>67</xdr:col>
      <xdr:colOff>200025</xdr:colOff>
      <xdr:row>116</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606878</xdr:colOff>
      <xdr:row>117</xdr:row>
      <xdr:rowOff>2721</xdr:rowOff>
    </xdr:from>
    <xdr:to>
      <xdr:col>67</xdr:col>
      <xdr:colOff>161925</xdr:colOff>
      <xdr:row>132</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6" sqref="E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64</v>
      </c>
    </row>
    <row r="3" spans="2:2" x14ac:dyDescent="0.25">
      <c r="B3" t="s">
        <v>52</v>
      </c>
    </row>
    <row r="4" spans="2:2" x14ac:dyDescent="0.25">
      <c r="B4" t="s">
        <v>62</v>
      </c>
    </row>
    <row r="5" spans="2:2" x14ac:dyDescent="0.25">
      <c r="B5" t="s">
        <v>65</v>
      </c>
    </row>
    <row r="6" spans="2:2" x14ac:dyDescent="0.25">
      <c r="B6" t="s">
        <v>66</v>
      </c>
    </row>
    <row r="7" spans="2:2" x14ac:dyDescent="0.25">
      <c r="B7" t="s">
        <v>53</v>
      </c>
    </row>
    <row r="11" spans="2:2" x14ac:dyDescent="0.25">
      <c r="B11" t="s">
        <v>73</v>
      </c>
    </row>
    <row r="12" spans="2:2" x14ac:dyDescent="0.25">
      <c r="B12" t="s">
        <v>86</v>
      </c>
    </row>
    <row r="13" spans="2:2" x14ac:dyDescent="0.25">
      <c r="B13" t="s">
        <v>88</v>
      </c>
    </row>
    <row r="14" spans="2:2" x14ac:dyDescent="0.25">
      <c r="B14" t="s">
        <v>87</v>
      </c>
    </row>
    <row r="15" spans="2:2" x14ac:dyDescent="0.25">
      <c r="B15" t="s">
        <v>94</v>
      </c>
    </row>
    <row r="17" spans="1:43" x14ac:dyDescent="0.25">
      <c r="A17" t="s">
        <v>92</v>
      </c>
      <c r="B17" s="102">
        <f>(AP25/E31) /Projections!B64</f>
        <v>208.33333333333334</v>
      </c>
      <c r="C17" s="103"/>
      <c r="D17" s="104"/>
      <c r="E17" s="98">
        <f>B17*2</f>
        <v>416.66666666666669</v>
      </c>
      <c r="F17" s="103"/>
      <c r="G17" s="98"/>
      <c r="H17" s="98">
        <f>E17*2</f>
        <v>833.33333333333337</v>
      </c>
      <c r="I17" s="103"/>
      <c r="J17" s="104"/>
      <c r="K17" s="95">
        <f>H17*2</f>
        <v>1666.6666666666667</v>
      </c>
      <c r="L17" s="93"/>
      <c r="M17" s="94"/>
      <c r="N17" s="95">
        <f>K17*2</f>
        <v>3333.3333333333335</v>
      </c>
      <c r="O17" s="93"/>
      <c r="P17" s="94"/>
      <c r="Q17" s="95">
        <f>N17*2</f>
        <v>6666.666666666667</v>
      </c>
      <c r="R17" s="93"/>
      <c r="S17" s="94"/>
      <c r="T17" s="95">
        <f>Q17*2</f>
        <v>13333.333333333334</v>
      </c>
      <c r="U17" s="93"/>
      <c r="V17" s="94"/>
      <c r="W17" s="95">
        <f>T17*2</f>
        <v>26666.666666666668</v>
      </c>
      <c r="X17" s="93"/>
      <c r="Y17" s="94"/>
      <c r="Z17" s="95">
        <f>W17*2</f>
        <v>53333.333333333336</v>
      </c>
      <c r="AA17" s="93"/>
      <c r="AB17" s="94"/>
      <c r="AC17" s="95">
        <f>Z17*2</f>
        <v>106666.66666666667</v>
      </c>
      <c r="AD17" s="93"/>
      <c r="AE17" s="94"/>
      <c r="AF17" s="95">
        <f>AC17*2</f>
        <v>213333.33333333334</v>
      </c>
      <c r="AG17" s="93"/>
      <c r="AH17" s="94"/>
      <c r="AI17" s="95">
        <f>AF17*2</f>
        <v>426666.66666666669</v>
      </c>
      <c r="AJ17" s="93"/>
      <c r="AK17" s="94"/>
      <c r="AL17" s="95">
        <f>AI17*2</f>
        <v>853333.33333333337</v>
      </c>
      <c r="AM17" s="93"/>
      <c r="AN17" s="94"/>
      <c r="AO17" s="95">
        <f>AL17*2</f>
        <v>1706666.6666666667</v>
      </c>
      <c r="AP17" s="98"/>
      <c r="AQ17" t="s">
        <v>92</v>
      </c>
    </row>
    <row r="18" spans="1:43" s="69" customFormat="1" x14ac:dyDescent="0.25">
      <c r="A18" s="69" t="s">
        <v>167</v>
      </c>
      <c r="B18" s="88">
        <f>B17*$E$34</f>
        <v>183.33333333333334</v>
      </c>
      <c r="C18" s="105"/>
      <c r="D18" s="105"/>
      <c r="E18" s="105">
        <f>E17*$E$34</f>
        <v>366.66666666666669</v>
      </c>
      <c r="F18" s="105"/>
      <c r="G18" s="33"/>
      <c r="H18" s="105">
        <f>H17*$E$34</f>
        <v>733.33333333333337</v>
      </c>
      <c r="I18" s="105"/>
      <c r="J18" s="105"/>
      <c r="K18" s="105">
        <f>K17*$E$34</f>
        <v>1466.6666666666667</v>
      </c>
      <c r="L18" s="105"/>
      <c r="M18" s="105"/>
      <c r="N18" s="105">
        <f>N17*$E$34</f>
        <v>2933.3333333333335</v>
      </c>
      <c r="O18" s="105"/>
      <c r="P18" s="105"/>
      <c r="Q18" s="105">
        <f>Q17*$E$34</f>
        <v>5866.666666666667</v>
      </c>
      <c r="R18" s="105"/>
      <c r="S18" s="105"/>
      <c r="T18" s="105">
        <f>T17*$E$34</f>
        <v>11733.333333333334</v>
      </c>
      <c r="U18" s="105"/>
      <c r="V18" s="105"/>
      <c r="W18" s="105">
        <f>W17*$E$34</f>
        <v>23466.666666666668</v>
      </c>
      <c r="X18" s="105"/>
      <c r="Y18" s="105"/>
      <c r="Z18" s="105">
        <f>Z17*$E$34</f>
        <v>46933.333333333336</v>
      </c>
      <c r="AA18" s="105"/>
      <c r="AB18" s="105"/>
      <c r="AC18" s="105">
        <f>AC17*$E$34</f>
        <v>93866.666666666672</v>
      </c>
      <c r="AD18" s="105"/>
      <c r="AE18" s="105"/>
      <c r="AF18" s="105">
        <f>AF17*$E$34</f>
        <v>187733.33333333334</v>
      </c>
      <c r="AG18" s="105"/>
      <c r="AH18" s="105"/>
      <c r="AI18" s="105">
        <f>AI17*$E$34</f>
        <v>375466.66666666669</v>
      </c>
      <c r="AJ18" s="105"/>
      <c r="AK18" s="105"/>
      <c r="AL18" s="105">
        <f>AL17*$E$34</f>
        <v>750933.33333333337</v>
      </c>
      <c r="AM18" s="105"/>
      <c r="AN18" s="105"/>
      <c r="AO18" s="105">
        <f>AO17*$E$34</f>
        <v>1501866.6666666667</v>
      </c>
      <c r="AP18" s="33"/>
      <c r="AQ18" s="69" t="s">
        <v>167</v>
      </c>
    </row>
    <row r="19" spans="1:43" s="69" customFormat="1" x14ac:dyDescent="0.25">
      <c r="A19" s="47" t="s">
        <v>169</v>
      </c>
      <c r="B19" s="86">
        <f>B18</f>
        <v>183.33333333333334</v>
      </c>
      <c r="C19" s="87"/>
      <c r="D19" s="87"/>
      <c r="E19" s="87">
        <f>E18</f>
        <v>366.66666666666669</v>
      </c>
      <c r="F19" s="87"/>
      <c r="G19" s="34"/>
      <c r="H19" s="87">
        <f>H18</f>
        <v>733.33333333333337</v>
      </c>
      <c r="I19" s="87"/>
      <c r="J19" s="87"/>
      <c r="K19" s="87">
        <f>K18</f>
        <v>1466.6666666666667</v>
      </c>
      <c r="L19" s="87"/>
      <c r="M19" s="87"/>
      <c r="N19" s="87">
        <f>N18</f>
        <v>2933.3333333333335</v>
      </c>
      <c r="O19" s="87"/>
      <c r="P19" s="87"/>
      <c r="Q19" s="87">
        <f>Q18</f>
        <v>5866.666666666667</v>
      </c>
      <c r="R19" s="87"/>
      <c r="S19" s="87"/>
      <c r="T19" s="87">
        <f>T18</f>
        <v>11733.333333333334</v>
      </c>
      <c r="U19" s="87"/>
      <c r="V19" s="87"/>
      <c r="W19" s="121">
        <f>W18-B18</f>
        <v>23283.333333333336</v>
      </c>
      <c r="X19" s="121"/>
      <c r="Y19" s="121"/>
      <c r="Z19" s="121">
        <f>Z18-E18</f>
        <v>46566.666666666672</v>
      </c>
      <c r="AA19" s="121"/>
      <c r="AB19" s="121"/>
      <c r="AC19" s="121">
        <f>AC18-H18</f>
        <v>93133.333333333343</v>
      </c>
      <c r="AD19" s="121"/>
      <c r="AE19" s="121"/>
      <c r="AF19" s="121">
        <f>AF18-K18</f>
        <v>186266.66666666669</v>
      </c>
      <c r="AG19" s="121"/>
      <c r="AH19" s="121"/>
      <c r="AI19" s="121">
        <f>AI18-N18</f>
        <v>372533.33333333337</v>
      </c>
      <c r="AJ19" s="121"/>
      <c r="AK19" s="121"/>
      <c r="AL19" s="121">
        <f>AL18-Q18</f>
        <v>745066.66666666674</v>
      </c>
      <c r="AM19" s="121"/>
      <c r="AN19" s="121"/>
      <c r="AO19" s="121">
        <f>AO18-T18</f>
        <v>1490133.3333333335</v>
      </c>
      <c r="AP19" s="122"/>
      <c r="AQ19" s="47" t="s">
        <v>169</v>
      </c>
    </row>
    <row r="20" spans="1:43" s="69" customFormat="1" x14ac:dyDescent="0.25">
      <c r="A20" t="s">
        <v>93</v>
      </c>
      <c r="B20" s="88"/>
      <c r="C20" s="105"/>
      <c r="D20" s="105"/>
      <c r="E20" s="105"/>
      <c r="F20" s="105"/>
      <c r="G20" s="33"/>
      <c r="H20" s="106"/>
      <c r="I20" s="107"/>
      <c r="J20" s="108"/>
      <c r="K20" s="131">
        <f>B17*(1-$E$34)</f>
        <v>25</v>
      </c>
      <c r="L20" s="128"/>
      <c r="M20" s="129"/>
      <c r="N20" s="130">
        <f>E17*(1-$E$34)</f>
        <v>50</v>
      </c>
      <c r="O20" s="128"/>
      <c r="P20" s="129"/>
      <c r="Q20" s="130">
        <f>H17*(1-$E$34)</f>
        <v>100</v>
      </c>
      <c r="R20" s="128"/>
      <c r="S20" s="129"/>
      <c r="T20" s="130">
        <f>K17*(1-$E$34)</f>
        <v>200</v>
      </c>
      <c r="U20" s="128"/>
      <c r="V20" s="129"/>
      <c r="W20" s="130">
        <f>N17*(1-$E$34)</f>
        <v>400</v>
      </c>
      <c r="X20" s="128"/>
      <c r="Y20" s="129"/>
      <c r="Z20" s="130">
        <f>Q17*(1-$E$34)</f>
        <v>800</v>
      </c>
      <c r="AA20" s="128"/>
      <c r="AB20" s="129"/>
      <c r="AC20" s="130">
        <f>T17*(1-$E$34)</f>
        <v>1600</v>
      </c>
      <c r="AD20" s="128"/>
      <c r="AE20" s="129"/>
      <c r="AF20" s="130">
        <f>W17*(1-$E$34)</f>
        <v>3200</v>
      </c>
      <c r="AG20" s="128"/>
      <c r="AH20" s="129"/>
      <c r="AI20" s="130">
        <f>Z17*(1-$E$34)</f>
        <v>6400</v>
      </c>
      <c r="AJ20" s="128"/>
      <c r="AK20" s="129"/>
      <c r="AL20" s="130">
        <f>AC17*(1-$E$34)</f>
        <v>12800</v>
      </c>
      <c r="AM20" s="128"/>
      <c r="AN20" s="129"/>
      <c r="AO20" s="130">
        <f>AF17*(1-$E$34)</f>
        <v>25600</v>
      </c>
      <c r="AP20" s="79"/>
      <c r="AQ20" t="s">
        <v>93</v>
      </c>
    </row>
    <row r="21" spans="1:43" s="69" customFormat="1" x14ac:dyDescent="0.25">
      <c r="A21" s="69" t="s">
        <v>74</v>
      </c>
      <c r="B21" s="80"/>
      <c r="C21" s="81"/>
      <c r="D21" s="81"/>
      <c r="E21" s="81"/>
      <c r="F21" s="81"/>
      <c r="G21" s="82"/>
      <c r="H21" s="123">
        <f>B17-B18</f>
        <v>25</v>
      </c>
      <c r="I21" s="123"/>
      <c r="J21" s="123"/>
      <c r="K21" s="123">
        <f>E17-E18</f>
        <v>50</v>
      </c>
      <c r="L21" s="123"/>
      <c r="M21" s="123"/>
      <c r="N21" s="123">
        <f>(H17-H18)*$E$35</f>
        <v>81</v>
      </c>
      <c r="O21" s="123"/>
      <c r="P21" s="123"/>
      <c r="Q21" s="123">
        <f>(K17-K18)*$E$35</f>
        <v>162</v>
      </c>
      <c r="R21" s="123"/>
      <c r="S21" s="123"/>
      <c r="T21" s="123">
        <f>(N17-N18)*$E$35</f>
        <v>324</v>
      </c>
      <c r="U21" s="123"/>
      <c r="V21" s="123"/>
      <c r="W21" s="123">
        <f>((Q17-Q18)*$E$35)-(H21*$E$35)</f>
        <v>627.75</v>
      </c>
      <c r="X21" s="123"/>
      <c r="Y21" s="123"/>
      <c r="Z21" s="123">
        <f>((T17-T18)*$E$35)-(K21*$E$35)</f>
        <v>1255.5</v>
      </c>
      <c r="AA21" s="123"/>
      <c r="AB21" s="123"/>
      <c r="AC21" s="123">
        <f>((W17-W18)*$E$35)-N21</f>
        <v>2511</v>
      </c>
      <c r="AD21" s="123"/>
      <c r="AE21" s="123"/>
      <c r="AF21" s="123">
        <f>((Z17-Z18)*$E$35)-Q21</f>
        <v>5022</v>
      </c>
      <c r="AG21" s="123"/>
      <c r="AH21" s="123"/>
      <c r="AI21" s="123">
        <f>((AC17-AC18)*$E$35)-T21</f>
        <v>10044</v>
      </c>
      <c r="AJ21" s="123"/>
      <c r="AK21" s="123"/>
      <c r="AL21" s="123">
        <f>((AF17-AF18)*$E$35)-W21</f>
        <v>20108.25</v>
      </c>
      <c r="AM21" s="123"/>
      <c r="AN21" s="123"/>
      <c r="AO21" s="123">
        <f>((AI17-AI18)*$E$35)-Z21</f>
        <v>40216.5</v>
      </c>
      <c r="AP21" s="124"/>
      <c r="AQ21" s="69" t="s">
        <v>74</v>
      </c>
    </row>
    <row r="22" spans="1:43" s="69" customFormat="1" x14ac:dyDescent="0.25">
      <c r="A22" s="69" t="s">
        <v>75</v>
      </c>
      <c r="B22" s="80"/>
      <c r="C22" s="81"/>
      <c r="D22" s="81"/>
      <c r="E22" s="81"/>
      <c r="F22" s="81"/>
      <c r="G22" s="82"/>
      <c r="H22" s="107"/>
      <c r="I22" s="107"/>
      <c r="J22" s="107"/>
      <c r="K22" s="107"/>
      <c r="L22" s="107"/>
      <c r="M22" s="108"/>
      <c r="N22" s="125">
        <f>(H17-H18)*($E$36+$E$37)</f>
        <v>19</v>
      </c>
      <c r="O22" s="125"/>
      <c r="P22" s="125"/>
      <c r="Q22" s="125">
        <f>(K17-K18)*($E$36+$E$37)</f>
        <v>38</v>
      </c>
      <c r="R22" s="125"/>
      <c r="S22" s="125"/>
      <c r="T22" s="125">
        <f>(N17-N18)*$E$36</f>
        <v>56.000000000000007</v>
      </c>
      <c r="U22" s="125"/>
      <c r="V22" s="125"/>
      <c r="W22" s="125">
        <f>(Q17-Q18)*$E$36</f>
        <v>112.00000000000001</v>
      </c>
      <c r="X22" s="125"/>
      <c r="Y22" s="125"/>
      <c r="Z22" s="125">
        <f>(T17-T18)*$E$36</f>
        <v>224.00000000000003</v>
      </c>
      <c r="AA22" s="125"/>
      <c r="AB22" s="125"/>
      <c r="AC22" s="125">
        <f>(W17-W18)*$E$36</f>
        <v>448.00000000000006</v>
      </c>
      <c r="AD22" s="125"/>
      <c r="AE22" s="125"/>
      <c r="AF22" s="125">
        <f>(Z17-Z18)*$E$36</f>
        <v>896.00000000000011</v>
      </c>
      <c r="AG22" s="125"/>
      <c r="AH22" s="125"/>
      <c r="AI22" s="125">
        <f>(AC17-AC18)*$E$36</f>
        <v>1792.0000000000002</v>
      </c>
      <c r="AJ22" s="125"/>
      <c r="AK22" s="125"/>
      <c r="AL22" s="125">
        <f>(AF17-AF18)*$E$36</f>
        <v>3584.0000000000005</v>
      </c>
      <c r="AM22" s="125"/>
      <c r="AN22" s="125"/>
      <c r="AO22" s="125">
        <f>(AI17-AI18)*$E$36</f>
        <v>7168.0000000000009</v>
      </c>
      <c r="AP22" s="126"/>
      <c r="AQ22" s="69" t="s">
        <v>75</v>
      </c>
    </row>
    <row r="23" spans="1:43" s="69" customFormat="1" x14ac:dyDescent="0.25">
      <c r="A23" s="47" t="s">
        <v>76</v>
      </c>
      <c r="B23" s="80"/>
      <c r="C23" s="81"/>
      <c r="D23" s="81"/>
      <c r="E23" s="81"/>
      <c r="F23" s="81"/>
      <c r="G23" s="82"/>
      <c r="H23" s="87"/>
      <c r="I23" s="87"/>
      <c r="J23" s="87"/>
      <c r="K23" s="87"/>
      <c r="L23" s="87"/>
      <c r="M23" s="87"/>
      <c r="N23" s="107"/>
      <c r="O23" s="107"/>
      <c r="P23" s="107"/>
      <c r="Q23" s="107"/>
      <c r="R23" s="107"/>
      <c r="S23" s="108"/>
      <c r="T23" s="40">
        <f>(N17-N18)*$E$37</f>
        <v>20</v>
      </c>
      <c r="U23" s="40"/>
      <c r="V23" s="40"/>
      <c r="W23" s="40">
        <f>(Q17-Q18)*$E$37</f>
        <v>40</v>
      </c>
      <c r="X23" s="40"/>
      <c r="Y23" s="40"/>
      <c r="Z23" s="40">
        <f>(T17-T18)*$E$37</f>
        <v>80</v>
      </c>
      <c r="AA23" s="40"/>
      <c r="AB23" s="40"/>
      <c r="AC23" s="40">
        <f>(W17-W18)*$E$37</f>
        <v>160</v>
      </c>
      <c r="AD23" s="40"/>
      <c r="AE23" s="40"/>
      <c r="AF23" s="40">
        <f>(Z17-Z18)*$E$37</f>
        <v>320</v>
      </c>
      <c r="AG23" s="40"/>
      <c r="AH23" s="40"/>
      <c r="AI23" s="40">
        <f>(AC17-AC18)*$E$37</f>
        <v>640</v>
      </c>
      <c r="AJ23" s="40"/>
      <c r="AK23" s="40"/>
      <c r="AL23" s="40">
        <f>(AF17-AF18)*$E$37</f>
        <v>1280</v>
      </c>
      <c r="AM23" s="40"/>
      <c r="AN23" s="40"/>
      <c r="AO23" s="40">
        <f>(AI17-AI18)*$E$37</f>
        <v>2560</v>
      </c>
      <c r="AP23" s="127"/>
      <c r="AQ23" s="47" t="s">
        <v>76</v>
      </c>
    </row>
    <row r="24" spans="1:43" s="69" customFormat="1" x14ac:dyDescent="0.25">
      <c r="A24" s="47" t="s">
        <v>81</v>
      </c>
      <c r="B24" s="86"/>
      <c r="C24" s="87"/>
      <c r="D24" s="87"/>
      <c r="E24" s="87"/>
      <c r="F24" s="87"/>
      <c r="G24" s="34"/>
      <c r="H24" s="87"/>
      <c r="I24" s="87"/>
      <c r="J24" s="87"/>
      <c r="K24" s="87"/>
      <c r="L24" s="87"/>
      <c r="M24" s="87"/>
      <c r="N24" s="87"/>
      <c r="O24" s="87"/>
      <c r="P24" s="87"/>
      <c r="Q24" s="87"/>
      <c r="R24" s="87"/>
      <c r="S24" s="87"/>
      <c r="T24" s="107"/>
      <c r="U24" s="108"/>
      <c r="V24" s="109">
        <f>H21*$E$35</f>
        <v>20.25</v>
      </c>
      <c r="W24" s="109"/>
      <c r="X24" s="109"/>
      <c r="Y24" s="109">
        <f>K21*$E$35</f>
        <v>40.5</v>
      </c>
      <c r="Z24" s="109"/>
      <c r="AA24" s="109"/>
      <c r="AB24" s="109">
        <f>N21</f>
        <v>81</v>
      </c>
      <c r="AC24" s="109"/>
      <c r="AD24" s="109"/>
      <c r="AE24" s="109">
        <f>Q21</f>
        <v>162</v>
      </c>
      <c r="AF24" s="109"/>
      <c r="AG24" s="109"/>
      <c r="AH24" s="109">
        <f>T21</f>
        <v>324</v>
      </c>
      <c r="AI24" s="109"/>
      <c r="AJ24" s="109"/>
      <c r="AK24" s="109">
        <f>W21</f>
        <v>627.75</v>
      </c>
      <c r="AL24" s="109"/>
      <c r="AM24" s="109"/>
      <c r="AN24" s="109">
        <f>Z21</f>
        <v>1255.5</v>
      </c>
      <c r="AO24" s="109"/>
      <c r="AP24" s="110"/>
      <c r="AQ24" s="47" t="s">
        <v>81</v>
      </c>
    </row>
    <row r="25" spans="1:43" x14ac:dyDescent="0.25">
      <c r="A25" s="47" t="s">
        <v>70</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70</v>
      </c>
    </row>
    <row r="26" spans="1:43" x14ac:dyDescent="0.25">
      <c r="A26" s="133" t="s">
        <v>97</v>
      </c>
      <c r="B26" s="89">
        <f t="shared" ref="B26:G26" ca="1" si="0">C26-1</f>
        <v>43897.590662731483</v>
      </c>
      <c r="C26" s="90">
        <f t="shared" ca="1" si="0"/>
        <v>43898.590662731483</v>
      </c>
      <c r="D26" s="90">
        <f t="shared" ca="1" si="0"/>
        <v>43899.590662731483</v>
      </c>
      <c r="E26" s="90">
        <f t="shared" ca="1" si="0"/>
        <v>43900.590662731483</v>
      </c>
      <c r="F26" s="90">
        <f t="shared" ca="1" si="0"/>
        <v>43901.590662731483</v>
      </c>
      <c r="G26" s="91">
        <f t="shared" ca="1" si="0"/>
        <v>43902.590662731483</v>
      </c>
      <c r="H26" s="90">
        <f t="shared" ref="H26:U26" ca="1" si="1">I26-1</f>
        <v>43903.590662731483</v>
      </c>
      <c r="I26" s="90">
        <f t="shared" ca="1" si="1"/>
        <v>43904.590662731483</v>
      </c>
      <c r="J26" s="90">
        <f t="shared" ca="1" si="1"/>
        <v>43905.590662731483</v>
      </c>
      <c r="K26" s="90">
        <f t="shared" ca="1" si="1"/>
        <v>43906.590662731483</v>
      </c>
      <c r="L26" s="90">
        <f t="shared" ca="1" si="1"/>
        <v>43907.590662731483</v>
      </c>
      <c r="M26" s="90">
        <f t="shared" ca="1" si="1"/>
        <v>43908.590662731483</v>
      </c>
      <c r="N26" s="91">
        <f t="shared" ca="1" si="1"/>
        <v>43909.590662731483</v>
      </c>
      <c r="O26" s="89">
        <f t="shared" ca="1" si="1"/>
        <v>43910.590662731483</v>
      </c>
      <c r="P26" s="90">
        <f t="shared" ca="1" si="1"/>
        <v>43911.590662731483</v>
      </c>
      <c r="Q26" s="90">
        <f t="shared" ca="1" si="1"/>
        <v>43912.590662731483</v>
      </c>
      <c r="R26" s="90">
        <f t="shared" ca="1" si="1"/>
        <v>43913.590662731483</v>
      </c>
      <c r="S26" s="90">
        <f t="shared" ca="1" si="1"/>
        <v>43914.590662731483</v>
      </c>
      <c r="T26" s="90">
        <f t="shared" ca="1" si="1"/>
        <v>43915.590662731483</v>
      </c>
      <c r="U26" s="91">
        <f t="shared" ca="1" si="1"/>
        <v>43916.590662731483</v>
      </c>
      <c r="V26" s="89">
        <f t="shared" ref="V26:AN26" ca="1" si="2">W26-1</f>
        <v>43917.590662731483</v>
      </c>
      <c r="W26" s="90">
        <f t="shared" ca="1" si="2"/>
        <v>43918.590662731483</v>
      </c>
      <c r="X26" s="90">
        <f t="shared" ca="1" si="2"/>
        <v>43919.590662731483</v>
      </c>
      <c r="Y26" s="90">
        <f t="shared" ca="1" si="2"/>
        <v>43920.590662731483</v>
      </c>
      <c r="Z26" s="90">
        <f t="shared" ca="1" si="2"/>
        <v>43921.590662731483</v>
      </c>
      <c r="AA26" s="90">
        <f t="shared" ca="1" si="2"/>
        <v>43922.590662731483</v>
      </c>
      <c r="AB26" s="91">
        <f t="shared" ca="1" si="2"/>
        <v>43923.590662731483</v>
      </c>
      <c r="AC26" s="89">
        <f t="shared" ca="1" si="2"/>
        <v>43924.590662731483</v>
      </c>
      <c r="AD26" s="90">
        <f t="shared" ca="1" si="2"/>
        <v>43925.590662731483</v>
      </c>
      <c r="AE26" s="90">
        <f t="shared" ca="1" si="2"/>
        <v>43926.590662731483</v>
      </c>
      <c r="AF26" s="90">
        <f t="shared" ca="1" si="2"/>
        <v>43927.590662731483</v>
      </c>
      <c r="AG26" s="90">
        <f t="shared" ca="1" si="2"/>
        <v>43928.590662731483</v>
      </c>
      <c r="AH26" s="90">
        <f t="shared" ca="1" si="2"/>
        <v>43929.590662731483</v>
      </c>
      <c r="AI26" s="91">
        <f t="shared" ca="1" si="2"/>
        <v>43930.590662731483</v>
      </c>
      <c r="AJ26" s="89">
        <f t="shared" ca="1" si="2"/>
        <v>43931.590662731483</v>
      </c>
      <c r="AK26" s="90">
        <f t="shared" ca="1" si="2"/>
        <v>43932.590662731483</v>
      </c>
      <c r="AL26" s="90">
        <f t="shared" ca="1" si="2"/>
        <v>43933.590662731483</v>
      </c>
      <c r="AM26" s="90">
        <f t="shared" ca="1" si="2"/>
        <v>43934.590662731483</v>
      </c>
      <c r="AN26" s="90">
        <f t="shared" ca="1" si="2"/>
        <v>43935.590662731483</v>
      </c>
      <c r="AO26" s="90">
        <f ca="1">AP26-1</f>
        <v>43936.590662731483</v>
      </c>
      <c r="AP26" s="111">
        <f ca="1">NOW()</f>
        <v>43937.590662731483</v>
      </c>
    </row>
    <row r="27" spans="1:43" x14ac:dyDescent="0.25">
      <c r="A27" s="134" t="s">
        <v>98</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99</v>
      </c>
      <c r="B28" s="285" t="s">
        <v>68</v>
      </c>
      <c r="C28" s="286"/>
      <c r="D28" s="286"/>
      <c r="E28" s="286"/>
      <c r="F28" s="286"/>
      <c r="G28" s="287"/>
      <c r="H28" s="291" t="s">
        <v>57</v>
      </c>
      <c r="I28" s="291"/>
      <c r="J28" s="291"/>
      <c r="K28" s="291"/>
      <c r="L28" s="291"/>
      <c r="M28" s="291"/>
      <c r="N28" s="292"/>
      <c r="O28" s="290" t="s">
        <v>58</v>
      </c>
      <c r="P28" s="291"/>
      <c r="Q28" s="291"/>
      <c r="R28" s="291"/>
      <c r="S28" s="291"/>
      <c r="T28" s="291"/>
      <c r="U28" s="292"/>
      <c r="V28" s="290" t="s">
        <v>59</v>
      </c>
      <c r="W28" s="291"/>
      <c r="X28" s="291"/>
      <c r="Y28" s="291"/>
      <c r="Z28" s="291"/>
      <c r="AA28" s="291"/>
      <c r="AB28" s="292"/>
      <c r="AC28" s="290" t="s">
        <v>60</v>
      </c>
      <c r="AD28" s="291"/>
      <c r="AE28" s="291"/>
      <c r="AF28" s="291"/>
      <c r="AG28" s="291"/>
      <c r="AH28" s="291"/>
      <c r="AI28" s="292"/>
      <c r="AJ28" s="290" t="s">
        <v>61</v>
      </c>
      <c r="AK28" s="291"/>
      <c r="AL28" s="291"/>
      <c r="AM28" s="291"/>
      <c r="AN28" s="291"/>
      <c r="AO28" s="291"/>
      <c r="AP28" s="292"/>
    </row>
    <row r="29" spans="1:43" x14ac:dyDescent="0.25">
      <c r="B29" s="51" t="s">
        <v>80</v>
      </c>
      <c r="C29" s="96"/>
      <c r="D29" s="96"/>
      <c r="E29" s="96"/>
      <c r="F29" s="96"/>
      <c r="G29" s="97"/>
      <c r="H29" s="288" t="s">
        <v>67</v>
      </c>
      <c r="I29" s="288"/>
      <c r="J29" s="288"/>
      <c r="K29" s="288"/>
      <c r="L29" s="288"/>
      <c r="M29" s="288"/>
      <c r="N29" s="288"/>
      <c r="O29" s="288"/>
      <c r="P29" s="288"/>
      <c r="Q29" s="288"/>
      <c r="R29" s="288"/>
      <c r="S29" s="288"/>
      <c r="T29" s="288"/>
      <c r="U29" s="288"/>
      <c r="V29" s="288"/>
      <c r="W29" s="288"/>
      <c r="X29" s="288"/>
      <c r="Y29" s="288"/>
      <c r="Z29" s="288"/>
      <c r="AA29" s="288"/>
      <c r="AB29" s="288"/>
      <c r="AC29" s="288"/>
      <c r="AD29" s="288"/>
      <c r="AE29" s="288"/>
      <c r="AF29" s="288"/>
      <c r="AG29" s="288"/>
      <c r="AH29" s="288"/>
      <c r="AI29" s="288"/>
      <c r="AJ29" s="288"/>
      <c r="AK29" s="288"/>
      <c r="AL29" s="288"/>
      <c r="AM29" s="288"/>
      <c r="AN29" s="288"/>
      <c r="AO29" s="288"/>
      <c r="AP29" s="289"/>
    </row>
    <row r="31" spans="1:43" x14ac:dyDescent="0.25">
      <c r="B31" s="57" t="s">
        <v>69</v>
      </c>
      <c r="C31" s="138" t="s">
        <v>197</v>
      </c>
      <c r="D31" s="9"/>
      <c r="E31" s="85">
        <f>VLOOKUP(C31,B43:C54,2,FALSE)</f>
        <v>0.04</v>
      </c>
      <c r="F31" s="9"/>
      <c r="G31" s="9"/>
      <c r="H31" s="9"/>
      <c r="I31" s="5"/>
    </row>
    <row r="32" spans="1:43" x14ac:dyDescent="0.25">
      <c r="B32" s="41" t="s">
        <v>96</v>
      </c>
      <c r="C32" s="16"/>
      <c r="D32" s="16"/>
      <c r="E32" s="139">
        <v>1</v>
      </c>
      <c r="F32" s="16"/>
      <c r="G32" s="16"/>
      <c r="H32" s="16"/>
      <c r="I32" s="17"/>
    </row>
    <row r="33" spans="2:9" x14ac:dyDescent="0.25">
      <c r="B33" s="41" t="s">
        <v>71</v>
      </c>
      <c r="C33" s="16"/>
      <c r="D33" s="16"/>
      <c r="E33" s="16">
        <v>3</v>
      </c>
      <c r="F33" s="16" t="s">
        <v>72</v>
      </c>
      <c r="G33" s="16"/>
      <c r="H33" s="16"/>
      <c r="I33" s="17"/>
    </row>
    <row r="34" spans="2:9" x14ac:dyDescent="0.25">
      <c r="B34" s="41" t="s">
        <v>192</v>
      </c>
      <c r="C34" s="16"/>
      <c r="D34" s="16"/>
      <c r="E34" s="140">
        <f>1-Projections!B64</f>
        <v>0.88</v>
      </c>
      <c r="F34" s="16" t="s">
        <v>194</v>
      </c>
      <c r="G34" s="16"/>
      <c r="H34" s="16"/>
      <c r="I34" s="17"/>
    </row>
    <row r="35" spans="2:9" x14ac:dyDescent="0.25">
      <c r="B35" s="41" t="s">
        <v>77</v>
      </c>
      <c r="C35" s="16"/>
      <c r="D35" s="16"/>
      <c r="E35" s="140">
        <v>0.81</v>
      </c>
      <c r="F35" s="16" t="s">
        <v>95</v>
      </c>
      <c r="G35" s="16"/>
      <c r="H35" s="16"/>
      <c r="I35" s="17"/>
    </row>
    <row r="36" spans="2:9" x14ac:dyDescent="0.25">
      <c r="B36" s="41" t="s">
        <v>78</v>
      </c>
      <c r="C36" s="16"/>
      <c r="D36" s="16"/>
      <c r="E36" s="140">
        <v>0.14000000000000001</v>
      </c>
      <c r="F36" s="16" t="s">
        <v>95</v>
      </c>
      <c r="G36" s="16"/>
      <c r="H36" s="16"/>
      <c r="I36" s="17"/>
    </row>
    <row r="37" spans="2:9" x14ac:dyDescent="0.25">
      <c r="B37" s="41" t="s">
        <v>79</v>
      </c>
      <c r="C37" s="16"/>
      <c r="D37" s="16"/>
      <c r="E37" s="140">
        <v>0.05</v>
      </c>
      <c r="F37" s="16" t="s">
        <v>95</v>
      </c>
      <c r="G37" s="16"/>
      <c r="H37" s="16"/>
      <c r="I37" s="17"/>
    </row>
    <row r="38" spans="2:9" x14ac:dyDescent="0.25">
      <c r="B38" s="41" t="s">
        <v>82</v>
      </c>
      <c r="C38" s="16"/>
      <c r="D38" s="16"/>
      <c r="E38" s="136">
        <v>2</v>
      </c>
      <c r="F38" s="16" t="s">
        <v>83</v>
      </c>
      <c r="G38" s="16"/>
      <c r="H38" s="16"/>
      <c r="I38" s="17"/>
    </row>
    <row r="39" spans="2:9" x14ac:dyDescent="0.25">
      <c r="B39" s="37" t="s">
        <v>84</v>
      </c>
      <c r="C39" s="137"/>
      <c r="D39" s="39"/>
      <c r="E39" s="116">
        <v>4</v>
      </c>
      <c r="F39" s="39" t="s">
        <v>83</v>
      </c>
      <c r="G39" s="39" t="s">
        <v>85</v>
      </c>
      <c r="H39" s="39"/>
      <c r="I39" s="63"/>
    </row>
    <row r="42" spans="2:9" x14ac:dyDescent="0.25">
      <c r="B42" t="s">
        <v>91</v>
      </c>
    </row>
    <row r="43" spans="2:9" x14ac:dyDescent="0.25">
      <c r="B43" s="4" t="s">
        <v>90</v>
      </c>
      <c r="C43" s="115">
        <v>3.5000000000000003E-2</v>
      </c>
    </row>
    <row r="44" spans="2:9" x14ac:dyDescent="0.25">
      <c r="B44" s="41" t="s">
        <v>89</v>
      </c>
      <c r="C44" s="27">
        <v>2.3E-2</v>
      </c>
    </row>
    <row r="45" spans="2:9" x14ac:dyDescent="0.25">
      <c r="B45" s="41" t="s">
        <v>197</v>
      </c>
      <c r="C45" s="27">
        <f>Projections!B71</f>
        <v>0.04</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100</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R144"/>
  <sheetViews>
    <sheetView tabSelected="1" topLeftCell="K61" zoomScaleNormal="100" workbookViewId="0">
      <selection activeCell="Z69" sqref="Z69"/>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19" width="11" customWidth="1"/>
    <col min="20" max="20" width="10.7109375" customWidth="1"/>
    <col min="21" max="22" width="10.85546875" bestFit="1" customWidth="1"/>
    <col min="23" max="23" width="10.85546875" customWidth="1"/>
    <col min="24" max="25" width="10.85546875" bestFit="1" customWidth="1"/>
    <col min="26" max="29" width="11.28515625" customWidth="1"/>
    <col min="30" max="31" width="10.7109375" bestFit="1" customWidth="1"/>
    <col min="32" max="32" width="10.7109375" customWidth="1"/>
    <col min="33" max="33" width="10.7109375" bestFit="1" customWidth="1"/>
    <col min="34" max="37" width="11.5703125" bestFit="1" customWidth="1"/>
    <col min="38" max="39" width="13.28515625" bestFit="1" customWidth="1"/>
    <col min="40" max="40" width="13.7109375" customWidth="1"/>
    <col min="41" max="41" width="11.5703125" style="69" bestFit="1" customWidth="1"/>
    <col min="42" max="42" width="11.140625" bestFit="1" customWidth="1"/>
    <col min="43" max="43" width="12.140625" bestFit="1" customWidth="1"/>
  </cols>
  <sheetData>
    <row r="1" spans="3:31" x14ac:dyDescent="0.25">
      <c r="C1" t="s">
        <v>118</v>
      </c>
    </row>
    <row r="2" spans="3:31" x14ac:dyDescent="0.25">
      <c r="C2" s="217">
        <v>43830</v>
      </c>
      <c r="D2" t="s">
        <v>199</v>
      </c>
    </row>
    <row r="3" spans="3:31" x14ac:dyDescent="0.25">
      <c r="C3" s="217"/>
      <c r="D3" s="283">
        <v>43835</v>
      </c>
      <c r="E3" t="s">
        <v>254</v>
      </c>
    </row>
    <row r="4" spans="3:31" x14ac:dyDescent="0.25">
      <c r="D4" s="158">
        <v>43836</v>
      </c>
      <c r="E4" s="159" t="s">
        <v>200</v>
      </c>
      <c r="F4" s="159"/>
      <c r="G4" s="159"/>
      <c r="H4" s="159"/>
      <c r="I4" s="159"/>
      <c r="J4" s="158">
        <v>43850</v>
      </c>
      <c r="L4" s="217"/>
    </row>
    <row r="5" spans="3:31" x14ac:dyDescent="0.25">
      <c r="D5" s="283">
        <v>43835</v>
      </c>
      <c r="E5" s="69" t="s">
        <v>245</v>
      </c>
      <c r="F5" s="69"/>
      <c r="G5" s="69"/>
      <c r="H5" s="69"/>
      <c r="I5" s="69"/>
      <c r="J5" s="165"/>
      <c r="L5" s="217"/>
    </row>
    <row r="6" spans="3:31" x14ac:dyDescent="0.25">
      <c r="D6" s="283">
        <v>43837</v>
      </c>
      <c r="E6" s="69" t="s">
        <v>246</v>
      </c>
      <c r="F6" s="69"/>
      <c r="G6" s="69"/>
      <c r="H6" s="69"/>
      <c r="I6" s="69"/>
      <c r="J6" s="165"/>
      <c r="L6" s="217"/>
    </row>
    <row r="7" spans="3:31" x14ac:dyDescent="0.25">
      <c r="D7" s="283">
        <v>43839</v>
      </c>
      <c r="E7" s="69" t="s">
        <v>247</v>
      </c>
      <c r="F7" s="69"/>
      <c r="G7" s="69"/>
      <c r="H7" s="69"/>
      <c r="I7" s="69"/>
      <c r="J7" s="165"/>
      <c r="L7" s="217"/>
    </row>
    <row r="8" spans="3:31" x14ac:dyDescent="0.25">
      <c r="D8" s="283">
        <v>43840</v>
      </c>
      <c r="E8" s="69" t="s">
        <v>256</v>
      </c>
      <c r="F8" s="69"/>
      <c r="G8" s="69"/>
      <c r="H8" s="69"/>
      <c r="I8" s="69"/>
      <c r="J8" s="165"/>
      <c r="L8" s="217"/>
    </row>
    <row r="9" spans="3:31" x14ac:dyDescent="0.25">
      <c r="D9" s="165">
        <v>43841</v>
      </c>
      <c r="E9" s="69" t="s">
        <v>250</v>
      </c>
      <c r="F9" s="69"/>
      <c r="G9" s="69"/>
      <c r="H9" s="69"/>
      <c r="I9" s="69"/>
      <c r="J9" s="165"/>
      <c r="L9" s="217"/>
    </row>
    <row r="10" spans="3:31" x14ac:dyDescent="0.25">
      <c r="D10" s="283">
        <v>43844</v>
      </c>
      <c r="E10" s="69" t="s">
        <v>248</v>
      </c>
      <c r="F10" s="69"/>
      <c r="G10" s="69"/>
      <c r="H10" s="69"/>
      <c r="I10" s="69"/>
      <c r="J10" s="165"/>
      <c r="L10" s="217"/>
    </row>
    <row r="11" spans="3:31" x14ac:dyDescent="0.25">
      <c r="D11" s="165">
        <v>43846</v>
      </c>
      <c r="E11" s="69" t="s">
        <v>201</v>
      </c>
      <c r="F11" s="69"/>
      <c r="G11" s="69"/>
      <c r="H11" s="69"/>
      <c r="I11" s="69"/>
      <c r="J11" s="165"/>
      <c r="L11" s="217"/>
    </row>
    <row r="12" spans="3:31" x14ac:dyDescent="0.25">
      <c r="D12" s="158">
        <v>43847</v>
      </c>
      <c r="E12" s="159" t="s">
        <v>235</v>
      </c>
      <c r="F12" s="159"/>
      <c r="G12" s="159"/>
      <c r="H12" s="159"/>
      <c r="I12" s="159"/>
      <c r="J12" s="158">
        <v>43861</v>
      </c>
      <c r="L12" s="217"/>
    </row>
    <row r="13" spans="3:31" x14ac:dyDescent="0.25">
      <c r="D13" s="282">
        <v>43848</v>
      </c>
      <c r="E13" s="69" t="s">
        <v>211</v>
      </c>
      <c r="F13" s="69"/>
      <c r="G13" s="69"/>
      <c r="H13" s="69"/>
      <c r="I13" s="69"/>
      <c r="J13" s="165"/>
      <c r="K13" s="69"/>
      <c r="L13" s="165"/>
    </row>
    <row r="14" spans="3:31" x14ac:dyDescent="0.25">
      <c r="D14" s="217">
        <v>43851</v>
      </c>
      <c r="E14" t="s">
        <v>202</v>
      </c>
    </row>
    <row r="15" spans="3:31" x14ac:dyDescent="0.25">
      <c r="D15" s="282">
        <v>43852</v>
      </c>
      <c r="E15" t="s">
        <v>203</v>
      </c>
    </row>
    <row r="16" spans="3:31" x14ac:dyDescent="0.25">
      <c r="C16" s="69"/>
      <c r="D16" s="283">
        <v>43853</v>
      </c>
      <c r="E16" s="69" t="s">
        <v>255</v>
      </c>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row>
    <row r="17" spans="3:31" x14ac:dyDescent="0.25">
      <c r="C17" s="69"/>
      <c r="D17" s="282">
        <v>43854</v>
      </c>
      <c r="E17" s="69" t="s">
        <v>249</v>
      </c>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row>
    <row r="18" spans="3:31" x14ac:dyDescent="0.25">
      <c r="C18" s="69"/>
      <c r="D18" s="165">
        <v>43857</v>
      </c>
      <c r="E18" s="69" t="s">
        <v>212</v>
      </c>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row>
    <row r="19" spans="3:31" x14ac:dyDescent="0.25">
      <c r="C19" s="69"/>
      <c r="D19" s="165">
        <v>43859</v>
      </c>
      <c r="E19" s="69" t="s">
        <v>213</v>
      </c>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row>
    <row r="20" spans="3:31" x14ac:dyDescent="0.25">
      <c r="D20" s="217">
        <v>43859</v>
      </c>
      <c r="E20" t="s">
        <v>204</v>
      </c>
    </row>
    <row r="21" spans="3:31" x14ac:dyDescent="0.25">
      <c r="D21" s="283">
        <v>43860</v>
      </c>
      <c r="E21" t="s">
        <v>257</v>
      </c>
    </row>
    <row r="22" spans="3:31" s="69" customFormat="1" x14ac:dyDescent="0.25">
      <c r="C22"/>
      <c r="D22" s="282">
        <v>43860</v>
      </c>
      <c r="E22" t="s">
        <v>214</v>
      </c>
      <c r="F22"/>
      <c r="G22"/>
      <c r="H22"/>
      <c r="I22"/>
      <c r="J22"/>
      <c r="K22"/>
      <c r="L22"/>
      <c r="M22"/>
      <c r="N22"/>
      <c r="O22"/>
      <c r="P22"/>
      <c r="Q22"/>
      <c r="R22"/>
      <c r="S22"/>
      <c r="T22"/>
      <c r="U22"/>
      <c r="V22"/>
      <c r="W22"/>
      <c r="X22"/>
      <c r="Y22"/>
      <c r="Z22"/>
      <c r="AA22"/>
      <c r="AB22"/>
      <c r="AC22"/>
      <c r="AD22"/>
      <c r="AE22"/>
    </row>
    <row r="23" spans="3:31" s="69" customFormat="1" x14ac:dyDescent="0.25">
      <c r="C23"/>
      <c r="D23" s="165">
        <v>43861</v>
      </c>
      <c r="E23" t="s">
        <v>215</v>
      </c>
      <c r="F23"/>
      <c r="G23"/>
      <c r="H23"/>
      <c r="I23"/>
      <c r="J23"/>
      <c r="K23"/>
      <c r="L23"/>
      <c r="M23"/>
      <c r="N23"/>
      <c r="O23"/>
      <c r="P23"/>
      <c r="Q23"/>
      <c r="R23"/>
      <c r="S23"/>
      <c r="T23"/>
      <c r="U23"/>
      <c r="V23"/>
      <c r="W23"/>
      <c r="X23"/>
      <c r="Y23"/>
      <c r="Z23"/>
      <c r="AA23"/>
      <c r="AB23"/>
      <c r="AC23"/>
      <c r="AD23"/>
      <c r="AE23"/>
    </row>
    <row r="24" spans="3:31" s="69" customFormat="1" x14ac:dyDescent="0.25">
      <c r="C24"/>
      <c r="D24" s="165" t="s">
        <v>216</v>
      </c>
      <c r="E24" t="s">
        <v>217</v>
      </c>
      <c r="F24"/>
      <c r="G24"/>
      <c r="H24"/>
      <c r="I24"/>
      <c r="J24"/>
      <c r="K24"/>
      <c r="L24"/>
      <c r="M24"/>
      <c r="N24"/>
      <c r="O24"/>
      <c r="P24"/>
      <c r="Q24"/>
      <c r="R24"/>
      <c r="S24"/>
      <c r="T24"/>
      <c r="U24"/>
      <c r="V24"/>
      <c r="W24"/>
      <c r="X24"/>
      <c r="Y24"/>
      <c r="Z24"/>
      <c r="AA24"/>
      <c r="AB24"/>
      <c r="AC24"/>
      <c r="AD24"/>
      <c r="AE24"/>
    </row>
    <row r="25" spans="3:31" s="69" customFormat="1" x14ac:dyDescent="0.25">
      <c r="C25"/>
      <c r="D25"/>
      <c r="E25" s="158">
        <v>43863</v>
      </c>
      <c r="F25" s="159" t="s">
        <v>206</v>
      </c>
      <c r="G25" s="159"/>
      <c r="H25" s="159"/>
      <c r="I25" s="159"/>
      <c r="J25" s="158"/>
      <c r="K25" s="158">
        <v>43877</v>
      </c>
      <c r="L25"/>
      <c r="M25"/>
      <c r="N25"/>
      <c r="O25"/>
      <c r="P25"/>
      <c r="Q25"/>
      <c r="R25"/>
      <c r="S25"/>
      <c r="T25"/>
      <c r="U25"/>
      <c r="V25"/>
      <c r="W25"/>
      <c r="X25"/>
      <c r="Y25"/>
      <c r="Z25"/>
      <c r="AA25"/>
      <c r="AB25"/>
      <c r="AC25"/>
      <c r="AD25"/>
      <c r="AE25"/>
    </row>
    <row r="26" spans="3:31" x14ac:dyDescent="0.25">
      <c r="C26" s="69"/>
      <c r="D26" s="69"/>
      <c r="E26" s="165"/>
      <c r="F26" s="284" t="s">
        <v>252</v>
      </c>
      <c r="G26" s="69" t="s">
        <v>253</v>
      </c>
      <c r="H26" s="69"/>
      <c r="I26" s="69"/>
      <c r="J26" s="165"/>
      <c r="K26" s="165"/>
      <c r="L26" s="69"/>
      <c r="M26" s="69"/>
      <c r="N26" s="69"/>
      <c r="O26" s="69"/>
      <c r="P26" s="69"/>
      <c r="Q26" s="69"/>
      <c r="R26" s="69"/>
      <c r="S26" s="69"/>
      <c r="T26" s="69"/>
      <c r="U26" s="69"/>
      <c r="V26" s="69"/>
      <c r="W26" s="69"/>
      <c r="X26" s="69"/>
      <c r="Y26" s="69"/>
      <c r="Z26" s="69"/>
      <c r="AA26" s="69"/>
      <c r="AB26" s="69"/>
      <c r="AC26" s="69"/>
      <c r="AD26" s="69"/>
      <c r="AE26" s="69"/>
    </row>
    <row r="27" spans="3:31" x14ac:dyDescent="0.25">
      <c r="E27" s="165"/>
      <c r="F27" s="165">
        <v>43866</v>
      </c>
      <c r="G27" s="69" t="s">
        <v>218</v>
      </c>
      <c r="H27" s="69"/>
      <c r="I27" s="69"/>
      <c r="J27" s="165"/>
      <c r="K27" s="165"/>
    </row>
    <row r="28" spans="3:31" x14ac:dyDescent="0.25">
      <c r="E28" s="165"/>
      <c r="G28" s="282">
        <v>43880</v>
      </c>
      <c r="H28" s="69" t="s">
        <v>219</v>
      </c>
      <c r="I28" s="69"/>
      <c r="J28" s="69"/>
      <c r="K28" s="165"/>
      <c r="L28" s="165"/>
    </row>
    <row r="29" spans="3:31" x14ac:dyDescent="0.25">
      <c r="E29" s="165"/>
      <c r="F29" s="165"/>
      <c r="G29" s="69"/>
      <c r="H29" s="69"/>
      <c r="I29" s="69"/>
      <c r="J29" s="165"/>
      <c r="K29" s="165"/>
      <c r="L29" s="217">
        <v>43882</v>
      </c>
      <c r="M29" t="s">
        <v>220</v>
      </c>
    </row>
    <row r="30" spans="3:31" x14ac:dyDescent="0.25">
      <c r="E30" s="165"/>
      <c r="F30" s="165"/>
      <c r="G30" s="69"/>
      <c r="H30" s="69"/>
      <c r="I30" s="69"/>
      <c r="J30" s="165"/>
      <c r="K30" s="165"/>
      <c r="L30" s="283">
        <v>43883</v>
      </c>
      <c r="M30" t="s">
        <v>251</v>
      </c>
    </row>
    <row r="31" spans="3:31" x14ac:dyDescent="0.25">
      <c r="E31" s="165"/>
      <c r="F31" s="165"/>
      <c r="G31" s="69"/>
      <c r="H31" s="69"/>
      <c r="I31" s="69"/>
      <c r="J31" s="165"/>
      <c r="K31" s="165"/>
      <c r="L31" s="217">
        <v>43884</v>
      </c>
      <c r="M31" t="s">
        <v>221</v>
      </c>
    </row>
    <row r="32" spans="3:31" s="69" customFormat="1" x14ac:dyDescent="0.25">
      <c r="C32"/>
      <c r="D32"/>
      <c r="E32"/>
      <c r="F32"/>
      <c r="G32"/>
      <c r="H32"/>
      <c r="I32"/>
      <c r="J32"/>
      <c r="K32"/>
      <c r="L32" s="282">
        <v>43885</v>
      </c>
      <c r="M32" t="s">
        <v>205</v>
      </c>
      <c r="N32"/>
      <c r="O32"/>
      <c r="P32"/>
      <c r="Q32"/>
      <c r="R32"/>
      <c r="S32"/>
      <c r="T32"/>
      <c r="U32"/>
      <c r="V32"/>
      <c r="W32"/>
      <c r="X32"/>
      <c r="Y32"/>
      <c r="Z32"/>
      <c r="AA32"/>
      <c r="AB32"/>
      <c r="AC32"/>
      <c r="AD32"/>
      <c r="AE32"/>
    </row>
    <row r="33" spans="3:31" x14ac:dyDescent="0.25">
      <c r="L33" s="165">
        <v>43886</v>
      </c>
      <c r="M33" t="s">
        <v>222</v>
      </c>
    </row>
    <row r="34" spans="3:31" x14ac:dyDescent="0.25">
      <c r="L34" s="282">
        <v>43886</v>
      </c>
      <c r="M34" t="s">
        <v>223</v>
      </c>
    </row>
    <row r="35" spans="3:31" x14ac:dyDescent="0.25">
      <c r="L35" s="282">
        <v>43886</v>
      </c>
      <c r="M35" t="s">
        <v>224</v>
      </c>
    </row>
    <row r="36" spans="3:31" x14ac:dyDescent="0.25">
      <c r="L36" s="282">
        <v>43887</v>
      </c>
      <c r="M36" t="s">
        <v>225</v>
      </c>
    </row>
    <row r="37" spans="3:31" x14ac:dyDescent="0.25">
      <c r="L37" s="282">
        <v>43888</v>
      </c>
      <c r="M37" t="s">
        <v>226</v>
      </c>
    </row>
    <row r="38" spans="3:31" x14ac:dyDescent="0.25">
      <c r="M38" s="158">
        <v>43890</v>
      </c>
      <c r="N38" s="159" t="s">
        <v>207</v>
      </c>
      <c r="O38" s="159"/>
      <c r="P38" s="159"/>
      <c r="Q38" s="159"/>
      <c r="R38" s="158">
        <f>M38+14</f>
        <v>43904</v>
      </c>
    </row>
    <row r="39" spans="3:31" x14ac:dyDescent="0.25">
      <c r="E39" s="165"/>
      <c r="M39" s="158">
        <v>43892</v>
      </c>
      <c r="N39" s="158" t="s">
        <v>181</v>
      </c>
      <c r="O39" s="159"/>
      <c r="P39" s="159"/>
      <c r="Q39" s="158"/>
      <c r="R39" s="159"/>
      <c r="S39" s="158">
        <v>43906</v>
      </c>
    </row>
    <row r="40" spans="3:31" x14ac:dyDescent="0.25">
      <c r="C40" s="69"/>
      <c r="D40" s="69"/>
      <c r="E40" s="165"/>
      <c r="F40" s="69"/>
      <c r="G40" s="69"/>
      <c r="H40" s="69"/>
      <c r="I40" s="69"/>
      <c r="J40" s="69"/>
      <c r="K40" s="69"/>
      <c r="L40" s="69"/>
      <c r="M40" s="165"/>
      <c r="N40" s="165">
        <v>43893</v>
      </c>
      <c r="O40" s="69" t="s">
        <v>242</v>
      </c>
      <c r="P40" s="69"/>
      <c r="Q40" s="165"/>
      <c r="R40" s="69"/>
      <c r="S40" s="165"/>
      <c r="T40" s="69"/>
      <c r="U40" s="69"/>
      <c r="V40" s="69"/>
      <c r="W40" s="69"/>
      <c r="X40" s="69"/>
      <c r="Y40" s="69"/>
      <c r="Z40" s="69"/>
      <c r="AA40" s="69"/>
      <c r="AB40" s="69"/>
      <c r="AC40" s="69"/>
      <c r="AD40" s="69"/>
      <c r="AE40" s="69"/>
    </row>
    <row r="41" spans="3:31" x14ac:dyDescent="0.25">
      <c r="E41" s="165"/>
      <c r="N41" s="282">
        <v>43894</v>
      </c>
      <c r="O41" t="s">
        <v>208</v>
      </c>
    </row>
    <row r="42" spans="3:31" x14ac:dyDescent="0.25">
      <c r="E42" s="165"/>
      <c r="N42" s="165"/>
      <c r="O42" s="282">
        <v>43895</v>
      </c>
      <c r="P42" s="69" t="s">
        <v>227</v>
      </c>
      <c r="Q42" s="165"/>
      <c r="R42" s="69"/>
      <c r="S42" s="165"/>
    </row>
    <row r="43" spans="3:31" x14ac:dyDescent="0.25">
      <c r="E43" s="165"/>
      <c r="N43" s="165"/>
      <c r="O43" s="282">
        <v>43896</v>
      </c>
      <c r="P43" s="69" t="s">
        <v>228</v>
      </c>
      <c r="Q43" s="165"/>
      <c r="R43" s="69"/>
      <c r="S43" s="165"/>
    </row>
    <row r="44" spans="3:31" x14ac:dyDescent="0.25">
      <c r="E44" s="165"/>
      <c r="N44" s="165"/>
      <c r="P44" s="282">
        <v>43899</v>
      </c>
      <c r="Q44" s="165" t="s">
        <v>229</v>
      </c>
      <c r="R44" s="69"/>
      <c r="S44" s="165"/>
    </row>
    <row r="45" spans="3:31" x14ac:dyDescent="0.25">
      <c r="E45" s="165"/>
      <c r="N45" s="165"/>
      <c r="P45" s="282">
        <v>43899</v>
      </c>
      <c r="Q45" s="165" t="s">
        <v>230</v>
      </c>
      <c r="R45" s="69"/>
      <c r="S45" s="165"/>
    </row>
    <row r="46" spans="3:31" s="69" customFormat="1" x14ac:dyDescent="0.25">
      <c r="C46"/>
      <c r="D46"/>
      <c r="E46" s="165"/>
      <c r="F46"/>
      <c r="G46"/>
      <c r="H46"/>
      <c r="I46"/>
      <c r="J46"/>
      <c r="K46"/>
      <c r="L46"/>
      <c r="M46"/>
      <c r="N46" s="165"/>
      <c r="O46"/>
      <c r="P46" s="282">
        <v>43900</v>
      </c>
      <c r="Q46" s="165" t="s">
        <v>231</v>
      </c>
      <c r="S46" s="165"/>
      <c r="T46"/>
      <c r="U46"/>
      <c r="V46"/>
      <c r="W46"/>
      <c r="X46"/>
      <c r="Y46"/>
      <c r="Z46"/>
      <c r="AA46"/>
      <c r="AB46"/>
      <c r="AC46"/>
      <c r="AD46"/>
      <c r="AE46"/>
    </row>
    <row r="47" spans="3:31" x14ac:dyDescent="0.25">
      <c r="E47" s="165"/>
      <c r="N47" s="165"/>
      <c r="O47" s="165"/>
      <c r="P47" s="69"/>
      <c r="Q47" s="283">
        <v>43901</v>
      </c>
      <c r="R47" s="69" t="s">
        <v>210</v>
      </c>
      <c r="S47" s="165"/>
      <c r="T47" s="69"/>
    </row>
    <row r="48" spans="3:31" x14ac:dyDescent="0.25">
      <c r="E48" s="165"/>
      <c r="Q48" s="282">
        <v>43901</v>
      </c>
      <c r="R48" t="s">
        <v>236</v>
      </c>
    </row>
    <row r="49" spans="1:32" x14ac:dyDescent="0.25">
      <c r="E49" s="165"/>
      <c r="Q49" s="282">
        <v>43902</v>
      </c>
      <c r="R49" t="s">
        <v>232</v>
      </c>
    </row>
    <row r="50" spans="1:32" x14ac:dyDescent="0.25">
      <c r="E50" s="165"/>
      <c r="Q50" s="158">
        <v>43903</v>
      </c>
      <c r="R50" s="159" t="s">
        <v>182</v>
      </c>
      <c r="S50" s="159"/>
      <c r="T50" s="159"/>
      <c r="U50" s="159"/>
      <c r="V50" s="159"/>
      <c r="W50" s="159"/>
      <c r="X50" s="159"/>
      <c r="Y50" s="159"/>
      <c r="Z50" s="159"/>
      <c r="AA50" s="159"/>
      <c r="AB50" s="159"/>
      <c r="AC50" s="159"/>
    </row>
    <row r="51" spans="1:32" x14ac:dyDescent="0.25">
      <c r="E51" s="165"/>
      <c r="Q51" s="282">
        <v>43903</v>
      </c>
      <c r="R51" t="s">
        <v>233</v>
      </c>
    </row>
    <row r="52" spans="1:32" x14ac:dyDescent="0.25">
      <c r="E52" s="165"/>
      <c r="Q52" s="282">
        <v>43903</v>
      </c>
      <c r="R52" t="s">
        <v>234</v>
      </c>
    </row>
    <row r="53" spans="1:32" x14ac:dyDescent="0.25">
      <c r="D53" s="165"/>
      <c r="M53" s="69"/>
      <c r="N53" s="165"/>
      <c r="O53" s="69"/>
      <c r="P53" s="69"/>
      <c r="Q53" s="69"/>
      <c r="R53" s="158">
        <v>43904</v>
      </c>
      <c r="S53" s="159" t="s">
        <v>177</v>
      </c>
      <c r="T53" s="159"/>
      <c r="U53" s="158"/>
      <c r="V53" s="158"/>
      <c r="W53" s="159"/>
      <c r="X53" s="158">
        <v>43918</v>
      </c>
    </row>
    <row r="54" spans="1:32" x14ac:dyDescent="0.25">
      <c r="D54" s="69"/>
      <c r="E54" s="69"/>
      <c r="F54" s="165"/>
      <c r="G54" s="165"/>
      <c r="H54" s="165"/>
      <c r="I54" s="165"/>
      <c r="J54" s="165"/>
      <c r="K54" s="165"/>
      <c r="L54" s="69"/>
      <c r="M54" s="69"/>
      <c r="R54" s="69"/>
      <c r="S54" s="159" t="s">
        <v>183</v>
      </c>
      <c r="T54" s="159"/>
      <c r="U54" s="159"/>
      <c r="V54" s="159"/>
      <c r="W54" s="159"/>
      <c r="X54" s="159"/>
      <c r="Y54" s="159"/>
      <c r="Z54" s="159"/>
      <c r="AA54" s="159"/>
      <c r="AB54" s="159"/>
      <c r="AC54" s="159"/>
    </row>
    <row r="55" spans="1:32" x14ac:dyDescent="0.25">
      <c r="D55" s="69"/>
      <c r="E55" s="69"/>
      <c r="F55" s="69"/>
      <c r="G55" s="69"/>
      <c r="H55" s="69"/>
      <c r="I55" s="69"/>
      <c r="J55" s="69"/>
      <c r="K55" s="69"/>
      <c r="L55" s="165"/>
      <c r="M55" s="69"/>
      <c r="N55" s="69"/>
      <c r="O55" s="69"/>
      <c r="P55" s="165"/>
      <c r="S55" s="282">
        <v>43907</v>
      </c>
      <c r="T55" t="s">
        <v>209</v>
      </c>
    </row>
    <row r="56" spans="1:32" x14ac:dyDescent="0.25">
      <c r="T56" s="158">
        <v>43908</v>
      </c>
      <c r="U56" s="159" t="s">
        <v>178</v>
      </c>
      <c r="V56" s="159"/>
      <c r="W56" s="158"/>
      <c r="X56" s="158">
        <v>43922</v>
      </c>
    </row>
    <row r="57" spans="1:32" x14ac:dyDescent="0.25">
      <c r="T57" s="282">
        <v>43909</v>
      </c>
      <c r="U57" s="69" t="s">
        <v>258</v>
      </c>
      <c r="V57" s="69"/>
      <c r="W57" s="165"/>
      <c r="X57" s="165"/>
      <c r="Y57" s="69"/>
      <c r="Z57" s="69"/>
      <c r="AA57" s="69"/>
      <c r="AB57" s="69"/>
    </row>
    <row r="58" spans="1:32" x14ac:dyDescent="0.25">
      <c r="U58" s="158">
        <v>43910</v>
      </c>
      <c r="V58" s="159" t="s">
        <v>179</v>
      </c>
      <c r="W58" s="159"/>
      <c r="X58" s="159"/>
      <c r="Y58" s="158">
        <v>43924</v>
      </c>
    </row>
    <row r="59" spans="1:32" x14ac:dyDescent="0.25">
      <c r="V59" s="158">
        <v>43914</v>
      </c>
      <c r="W59" s="159" t="s">
        <v>180</v>
      </c>
      <c r="X59" s="159"/>
      <c r="Y59" s="158">
        <v>43928</v>
      </c>
    </row>
    <row r="60" spans="1:32" x14ac:dyDescent="0.25">
      <c r="V60" s="282">
        <v>43914</v>
      </c>
      <c r="W60" t="s">
        <v>238</v>
      </c>
    </row>
    <row r="61" spans="1:32" x14ac:dyDescent="0.25">
      <c r="T61" s="236"/>
      <c r="U61" s="165"/>
      <c r="W61" s="217">
        <v>43917</v>
      </c>
      <c r="X61" s="217" t="s">
        <v>239</v>
      </c>
      <c r="AF61" s="217"/>
    </row>
    <row r="62" spans="1:32" x14ac:dyDescent="0.25">
      <c r="A62" s="4" t="s">
        <v>196</v>
      </c>
      <c r="B62" s="221">
        <v>330565500</v>
      </c>
      <c r="C62" t="s">
        <v>175</v>
      </c>
      <c r="D62" s="69"/>
      <c r="E62" s="69"/>
      <c r="F62" s="69"/>
      <c r="G62" s="69"/>
      <c r="H62" s="69"/>
      <c r="I62" s="69"/>
      <c r="J62" s="69"/>
      <c r="K62" s="69"/>
      <c r="L62" s="69"/>
      <c r="M62" s="69"/>
      <c r="N62" s="165"/>
      <c r="O62" s="69"/>
      <c r="P62" s="69"/>
      <c r="Q62" s="69"/>
      <c r="X62" s="282">
        <v>43920</v>
      </c>
      <c r="Y62" t="s">
        <v>240</v>
      </c>
    </row>
    <row r="63" spans="1:32" s="69" customFormat="1" x14ac:dyDescent="0.25">
      <c r="A63" s="62"/>
      <c r="B63" s="169"/>
      <c r="N63" s="165"/>
      <c r="T63"/>
      <c r="U63"/>
      <c r="V63"/>
      <c r="W63"/>
      <c r="X63"/>
      <c r="Y63" s="158">
        <v>43924</v>
      </c>
      <c r="Z63" s="159" t="s">
        <v>241</v>
      </c>
      <c r="AA63" s="158">
        <v>43938</v>
      </c>
      <c r="AB63"/>
    </row>
    <row r="64" spans="1:32" x14ac:dyDescent="0.25">
      <c r="A64" s="4" t="s">
        <v>115</v>
      </c>
      <c r="B64" s="155">
        <v>0.12</v>
      </c>
      <c r="C64" t="s">
        <v>114</v>
      </c>
      <c r="D64" s="69"/>
      <c r="E64" s="69"/>
      <c r="F64" s="69"/>
      <c r="G64" s="69"/>
      <c r="H64" s="69"/>
      <c r="I64" s="69"/>
      <c r="J64" s="69"/>
      <c r="K64" s="69"/>
      <c r="L64" s="69"/>
      <c r="M64" s="69"/>
      <c r="N64" s="69"/>
      <c r="O64" s="165"/>
      <c r="P64" s="69"/>
      <c r="Q64" s="165"/>
      <c r="T64" s="198"/>
      <c r="U64" s="16"/>
      <c r="X64" s="217"/>
      <c r="Y64" s="282">
        <v>43925</v>
      </c>
      <c r="Z64" t="s">
        <v>243</v>
      </c>
    </row>
    <row r="65" spans="1:44" x14ac:dyDescent="0.25">
      <c r="A65" s="37" t="s">
        <v>117</v>
      </c>
      <c r="B65" s="114">
        <v>7.0000000000000007E-2</v>
      </c>
      <c r="C65" s="249"/>
      <c r="D65" s="69"/>
      <c r="E65" s="69"/>
      <c r="F65" s="69"/>
      <c r="G65" s="69"/>
      <c r="H65" s="69"/>
      <c r="I65" s="69"/>
      <c r="J65" s="69"/>
      <c r="K65" s="69"/>
      <c r="L65" s="69"/>
      <c r="M65" s="69"/>
      <c r="N65" s="69"/>
      <c r="O65" s="69"/>
      <c r="P65" s="165"/>
      <c r="Q65" s="165"/>
      <c r="R65" s="69"/>
      <c r="S65" s="69"/>
      <c r="T65" s="16"/>
      <c r="U65" s="16"/>
      <c r="X65" s="217"/>
      <c r="Z65" s="282">
        <v>43932</v>
      </c>
      <c r="AA65" t="s">
        <v>259</v>
      </c>
    </row>
    <row r="66" spans="1:44" x14ac:dyDescent="0.25">
      <c r="A66" s="4" t="s">
        <v>184</v>
      </c>
      <c r="B66" s="250">
        <v>2.4</v>
      </c>
      <c r="C66" s="64">
        <f>(B62/1000)*B66</f>
        <v>793357.2</v>
      </c>
      <c r="D66" s="69"/>
      <c r="E66" s="69"/>
      <c r="F66" s="69"/>
      <c r="G66" s="69"/>
      <c r="H66" s="69"/>
      <c r="I66" s="69"/>
      <c r="J66" s="69"/>
      <c r="K66" s="69"/>
      <c r="L66" s="69"/>
      <c r="M66" s="69"/>
      <c r="N66" s="69"/>
      <c r="O66" s="69"/>
      <c r="P66" s="69"/>
      <c r="Q66" s="69"/>
      <c r="R66" s="69"/>
      <c r="S66" s="69"/>
      <c r="T66" s="16"/>
      <c r="U66" s="16"/>
      <c r="W66" s="217"/>
      <c r="X66" s="217"/>
      <c r="Z66" s="282">
        <v>43934</v>
      </c>
      <c r="AA66" t="s">
        <v>244</v>
      </c>
    </row>
    <row r="67" spans="1:44" x14ac:dyDescent="0.25">
      <c r="A67" s="37" t="s">
        <v>185</v>
      </c>
      <c r="B67" s="251">
        <v>34.700000000000003</v>
      </c>
      <c r="C67" s="61">
        <f>(B62/100000)*B67</f>
        <v>114706.22850000001</v>
      </c>
      <c r="D67" s="69"/>
      <c r="E67" s="69"/>
      <c r="F67" s="69"/>
      <c r="G67" s="69"/>
      <c r="H67" s="69"/>
      <c r="I67" s="69"/>
      <c r="J67" s="69"/>
      <c r="K67" s="69"/>
      <c r="L67" s="69"/>
      <c r="M67" s="69"/>
      <c r="N67" s="69"/>
      <c r="O67" s="69"/>
      <c r="P67" s="69"/>
      <c r="Q67" s="69"/>
      <c r="R67" s="150"/>
      <c r="S67" s="69"/>
      <c r="Z67" s="282">
        <v>43936</v>
      </c>
      <c r="AA67" t="s">
        <v>237</v>
      </c>
    </row>
    <row r="68" spans="1:44" x14ac:dyDescent="0.25">
      <c r="A68" s="4" t="s">
        <v>74</v>
      </c>
      <c r="B68" s="112">
        <v>0.81</v>
      </c>
      <c r="C68" s="2"/>
      <c r="D68" s="69"/>
      <c r="E68" s="69"/>
      <c r="F68" s="69"/>
      <c r="G68" s="69"/>
      <c r="H68" s="69"/>
      <c r="I68" s="69"/>
      <c r="J68" s="69"/>
      <c r="K68" s="69"/>
      <c r="L68" s="69"/>
      <c r="M68" s="69"/>
      <c r="N68" s="69"/>
      <c r="O68" s="69"/>
      <c r="P68" s="69"/>
      <c r="Q68" s="69"/>
    </row>
    <row r="69" spans="1:44" x14ac:dyDescent="0.25">
      <c r="A69" s="41" t="s">
        <v>75</v>
      </c>
      <c r="B69" s="113">
        <v>0.14000000000000001</v>
      </c>
      <c r="C69" s="2"/>
      <c r="D69" s="69"/>
      <c r="E69" s="69"/>
      <c r="F69" s="69"/>
      <c r="G69" s="69"/>
      <c r="H69" s="69"/>
      <c r="I69" s="69"/>
      <c r="J69" s="69"/>
      <c r="K69" s="69"/>
      <c r="L69" s="69"/>
      <c r="M69" s="69"/>
      <c r="N69" s="69"/>
      <c r="O69" s="69"/>
      <c r="P69" s="69"/>
      <c r="Q69" s="47"/>
      <c r="R69" s="69"/>
      <c r="S69" s="165"/>
      <c r="AG69" s="256"/>
    </row>
    <row r="70" spans="1:44" x14ac:dyDescent="0.25">
      <c r="A70" s="37" t="s">
        <v>110</v>
      </c>
      <c r="B70" s="114">
        <v>0.05</v>
      </c>
      <c r="C70" s="2"/>
      <c r="D70" s="212" t="s">
        <v>171</v>
      </c>
      <c r="P70" s="16"/>
      <c r="Q70" s="16"/>
      <c r="R70" s="260"/>
      <c r="S70" s="16"/>
      <c r="AD70" s="217"/>
      <c r="AH70" s="175"/>
      <c r="AI70" s="175"/>
      <c r="AJ70" s="175"/>
      <c r="AK70" s="175"/>
      <c r="AL70" s="175"/>
      <c r="AM70" s="175"/>
    </row>
    <row r="71" spans="1:44" x14ac:dyDescent="0.25">
      <c r="A71" s="37" t="s">
        <v>116</v>
      </c>
      <c r="B71" s="65">
        <v>0.04</v>
      </c>
      <c r="C71" s="2"/>
      <c r="D71" s="179" t="s">
        <v>163</v>
      </c>
      <c r="Q71" s="16"/>
      <c r="R71" s="16"/>
      <c r="S71" s="16"/>
      <c r="AG71" s="176"/>
    </row>
    <row r="72" spans="1:44" x14ac:dyDescent="0.25">
      <c r="A72" s="153" t="s">
        <v>103</v>
      </c>
      <c r="B72" s="154">
        <v>43851</v>
      </c>
      <c r="C72" s="2"/>
      <c r="D72" s="257">
        <f>(AH75-L75)/(LOG(AH76/L76)/LOG(2))</f>
        <v>10</v>
      </c>
      <c r="E72" s="175"/>
      <c r="O72" s="16"/>
      <c r="P72" s="16"/>
      <c r="Q72" s="16"/>
      <c r="R72" s="16"/>
      <c r="S72" s="16"/>
    </row>
    <row r="73" spans="1:44" x14ac:dyDescent="0.25">
      <c r="A73" s="16"/>
      <c r="B73" s="50" t="s">
        <v>54</v>
      </c>
      <c r="C73" s="10"/>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O73" s="152"/>
    </row>
    <row r="74" spans="1:44" x14ac:dyDescent="0.25">
      <c r="A74" s="53" t="s">
        <v>41</v>
      </c>
      <c r="B74" s="192">
        <v>43882</v>
      </c>
      <c r="C74" s="192">
        <v>43890</v>
      </c>
      <c r="D74" s="192">
        <v>43893</v>
      </c>
      <c r="E74" s="192">
        <v>43895</v>
      </c>
      <c r="F74" s="192">
        <v>43904</v>
      </c>
      <c r="G74" s="192">
        <v>43912</v>
      </c>
      <c r="H74" s="192">
        <v>43918</v>
      </c>
      <c r="I74" s="192">
        <v>43923</v>
      </c>
      <c r="J74" s="192">
        <v>43932</v>
      </c>
      <c r="K74" s="192"/>
      <c r="M74" s="133" t="s">
        <v>176</v>
      </c>
      <c r="N74" s="16"/>
      <c r="O74" s="16"/>
      <c r="P74" s="16"/>
      <c r="Q74" s="16"/>
      <c r="R74" s="16"/>
      <c r="S74" s="16"/>
      <c r="T74" s="16"/>
      <c r="U74" s="182"/>
      <c r="V74" s="16"/>
      <c r="W74" s="16"/>
      <c r="X74" s="16"/>
      <c r="Y74" s="16" t="s">
        <v>186</v>
      </c>
      <c r="AE74" s="16"/>
      <c r="AF74" s="16"/>
      <c r="AI74" s="212" t="s">
        <v>172</v>
      </c>
      <c r="AO74" s="253" t="s">
        <v>195</v>
      </c>
    </row>
    <row r="75" spans="1:44" x14ac:dyDescent="0.25">
      <c r="A75" s="4" t="s">
        <v>11</v>
      </c>
      <c r="B75" s="84">
        <v>8</v>
      </c>
      <c r="C75" s="157">
        <v>3</v>
      </c>
      <c r="D75" s="259">
        <v>2</v>
      </c>
      <c r="E75" s="157">
        <v>3</v>
      </c>
      <c r="F75" s="259">
        <v>2</v>
      </c>
      <c r="G75" s="157">
        <v>3</v>
      </c>
      <c r="H75" s="156">
        <v>5</v>
      </c>
      <c r="I75" s="258">
        <v>9</v>
      </c>
      <c r="J75">
        <v>28</v>
      </c>
      <c r="K75" s="220"/>
      <c r="L75" s="271">
        <v>43882</v>
      </c>
      <c r="M75" s="272">
        <f t="shared" ref="M75:AN75" si="0">L75+HLOOKUP(L75+1, $B$74:$K$75,2,TRUE)</f>
        <v>43890</v>
      </c>
      <c r="N75" s="273">
        <f t="shared" si="0"/>
        <v>43893</v>
      </c>
      <c r="O75" s="272">
        <f t="shared" si="0"/>
        <v>43895</v>
      </c>
      <c r="P75" s="272">
        <f t="shared" si="0"/>
        <v>43898</v>
      </c>
      <c r="Q75" s="272">
        <f t="shared" si="0"/>
        <v>43901</v>
      </c>
      <c r="R75" s="273">
        <f t="shared" si="0"/>
        <v>43904</v>
      </c>
      <c r="S75" s="273">
        <f t="shared" si="0"/>
        <v>43906</v>
      </c>
      <c r="T75" s="273">
        <f t="shared" si="0"/>
        <v>43908</v>
      </c>
      <c r="U75" s="273">
        <f t="shared" si="0"/>
        <v>43910</v>
      </c>
      <c r="V75" s="272">
        <f t="shared" si="0"/>
        <v>43912</v>
      </c>
      <c r="W75" s="274">
        <f t="shared" si="0"/>
        <v>43915</v>
      </c>
      <c r="X75" s="274">
        <f t="shared" si="0"/>
        <v>43918</v>
      </c>
      <c r="Y75" s="275">
        <f t="shared" si="0"/>
        <v>43923</v>
      </c>
      <c r="Z75" s="262">
        <f t="shared" si="0"/>
        <v>43932</v>
      </c>
      <c r="AA75" s="281">
        <f>$Z$75+(($AD$75-$Z$75)*0.25)</f>
        <v>43939</v>
      </c>
      <c r="AB75" s="281">
        <f>$Z$75+(($AD$75-$Z$75)*0.5)</f>
        <v>43946</v>
      </c>
      <c r="AC75" s="281">
        <f>$Z$75+(($AD$75-$Z$75)*0.75)</f>
        <v>43953</v>
      </c>
      <c r="AD75" s="261">
        <f>Z75+HLOOKUP(Z75+1, $B$74:$K$75,2,TRUE)</f>
        <v>43960</v>
      </c>
      <c r="AE75" s="261">
        <f t="shared" si="0"/>
        <v>43988</v>
      </c>
      <c r="AF75" s="261">
        <f t="shared" si="0"/>
        <v>44016</v>
      </c>
      <c r="AG75" s="261">
        <f t="shared" si="0"/>
        <v>44044</v>
      </c>
      <c r="AH75" s="261">
        <f t="shared" si="0"/>
        <v>44072</v>
      </c>
      <c r="AI75" s="237">
        <f t="shared" si="0"/>
        <v>44100</v>
      </c>
      <c r="AJ75" s="228">
        <f t="shared" si="0"/>
        <v>44128</v>
      </c>
      <c r="AK75" s="228">
        <f t="shared" si="0"/>
        <v>44156</v>
      </c>
      <c r="AL75" s="228">
        <f t="shared" si="0"/>
        <v>44184</v>
      </c>
      <c r="AM75" s="238">
        <f t="shared" si="0"/>
        <v>44212</v>
      </c>
      <c r="AN75" s="238">
        <f t="shared" si="0"/>
        <v>44240</v>
      </c>
      <c r="AO75" s="252">
        <f>AN75+(7*8)</f>
        <v>44296</v>
      </c>
      <c r="AP75" s="70"/>
      <c r="AQ75" s="70"/>
      <c r="AR75" s="69"/>
    </row>
    <row r="76" spans="1:44" x14ac:dyDescent="0.25">
      <c r="A76" s="41" t="s">
        <v>108</v>
      </c>
      <c r="B76" s="16"/>
      <c r="C76" s="16"/>
      <c r="D76" s="16"/>
      <c r="E76" s="16"/>
      <c r="F76" s="16"/>
      <c r="G76" s="16"/>
      <c r="H76" s="16"/>
      <c r="I76" s="16"/>
      <c r="J76" s="16"/>
      <c r="K76" s="16"/>
      <c r="L76" s="276">
        <v>31.25</v>
      </c>
      <c r="M76" s="277">
        <f>L76*2</f>
        <v>62.5</v>
      </c>
      <c r="N76" s="277">
        <f t="shared" ref="N76:AE76" si="1">M76*2</f>
        <v>125</v>
      </c>
      <c r="O76" s="277">
        <f t="shared" si="1"/>
        <v>250</v>
      </c>
      <c r="P76" s="277">
        <f t="shared" si="1"/>
        <v>500</v>
      </c>
      <c r="Q76" s="277">
        <f t="shared" si="1"/>
        <v>1000</v>
      </c>
      <c r="R76" s="277">
        <f t="shared" si="1"/>
        <v>2000</v>
      </c>
      <c r="S76" s="277">
        <f t="shared" si="1"/>
        <v>4000</v>
      </c>
      <c r="T76" s="277">
        <f t="shared" si="1"/>
        <v>8000</v>
      </c>
      <c r="U76" s="277">
        <f>T76*2</f>
        <v>16000</v>
      </c>
      <c r="V76" s="277">
        <f>U76*2</f>
        <v>32000</v>
      </c>
      <c r="W76" s="277">
        <f>V76*2</f>
        <v>64000</v>
      </c>
      <c r="X76" s="277">
        <f>W76*2</f>
        <v>128000</v>
      </c>
      <c r="Y76" s="277">
        <f t="shared" si="1"/>
        <v>256000</v>
      </c>
      <c r="Z76" s="277">
        <f t="shared" si="1"/>
        <v>512000</v>
      </c>
      <c r="AA76" s="277">
        <f>$Z$76+(($AD$76-$Z$76)*0.5)</f>
        <v>768000</v>
      </c>
      <c r="AB76" s="277">
        <f>$Z$76+(($AD$76-$Z$76)*0.75)</f>
        <v>896000</v>
      </c>
      <c r="AC76" s="277">
        <f>$Z$76+(($AD$76-$Z$76)*0.88)</f>
        <v>962560</v>
      </c>
      <c r="AD76" s="277">
        <f>Z76*2</f>
        <v>1024000</v>
      </c>
      <c r="AE76" s="277">
        <f t="shared" si="1"/>
        <v>2048000</v>
      </c>
      <c r="AF76" s="277">
        <f>AE76*2</f>
        <v>4096000</v>
      </c>
      <c r="AG76" s="277">
        <f>AF76*2</f>
        <v>8192000</v>
      </c>
      <c r="AH76" s="278">
        <f>AG76*2</f>
        <v>16384000</v>
      </c>
      <c r="AI76" s="239">
        <f t="shared" ref="AI76:AL76" si="2">AH76*2</f>
        <v>32768000</v>
      </c>
      <c r="AJ76" s="208">
        <f t="shared" si="2"/>
        <v>65536000</v>
      </c>
      <c r="AK76" s="208">
        <f t="shared" si="2"/>
        <v>131072000</v>
      </c>
      <c r="AL76" s="208">
        <f t="shared" si="2"/>
        <v>262144000</v>
      </c>
      <c r="AM76" s="209">
        <f>B62</f>
        <v>330565500</v>
      </c>
      <c r="AN76" s="199">
        <f>B62</f>
        <v>330565500</v>
      </c>
      <c r="AO76" s="243">
        <f>B62*AO77</f>
        <v>23139585.000000004</v>
      </c>
      <c r="AP76" s="45"/>
      <c r="AQ76" s="45"/>
      <c r="AR76" s="69"/>
    </row>
    <row r="77" spans="1:44" x14ac:dyDescent="0.25">
      <c r="A77" s="41" t="s">
        <v>109</v>
      </c>
      <c r="B77" s="16"/>
      <c r="C77" s="16"/>
      <c r="D77" s="16"/>
      <c r="E77" s="16"/>
      <c r="F77" s="16"/>
      <c r="G77" s="16"/>
      <c r="H77" s="16"/>
      <c r="I77" s="16"/>
      <c r="J77" s="16"/>
      <c r="K77" s="16"/>
      <c r="L77" s="218">
        <f t="shared" ref="L77:AE77" si="3">L76/$B$62</f>
        <v>9.453497113280122E-8</v>
      </c>
      <c r="M77" s="219">
        <f t="shared" si="3"/>
        <v>1.8906994226560244E-7</v>
      </c>
      <c r="N77" s="219">
        <f t="shared" si="3"/>
        <v>3.7813988453120488E-7</v>
      </c>
      <c r="O77" s="196">
        <f t="shared" si="3"/>
        <v>7.5627976906240976E-7</v>
      </c>
      <c r="P77" s="196">
        <f t="shared" si="3"/>
        <v>1.5125595381248195E-6</v>
      </c>
      <c r="Q77" s="196">
        <f t="shared" si="3"/>
        <v>3.025119076249639E-6</v>
      </c>
      <c r="R77" s="196">
        <f t="shared" si="3"/>
        <v>6.0502381524992781E-6</v>
      </c>
      <c r="S77" s="66">
        <f t="shared" si="3"/>
        <v>1.2100476304998556E-5</v>
      </c>
      <c r="T77" s="36">
        <f t="shared" si="3"/>
        <v>2.4200952609997112E-5</v>
      </c>
      <c r="U77" s="36">
        <f>U76/$B$62</f>
        <v>4.8401905219994225E-5</v>
      </c>
      <c r="V77" s="36">
        <f>V76/$B$62</f>
        <v>9.6803810439988449E-5</v>
      </c>
      <c r="W77" s="36">
        <f>W76/$B$62</f>
        <v>1.936076208799769E-4</v>
      </c>
      <c r="X77" s="36">
        <f>X76/$B$62</f>
        <v>3.872152417599538E-4</v>
      </c>
      <c r="Y77" s="14">
        <f t="shared" si="3"/>
        <v>7.7443048351990759E-4</v>
      </c>
      <c r="Z77" s="14">
        <f t="shared" si="3"/>
        <v>1.5488609670398152E-3</v>
      </c>
      <c r="AA77" s="14">
        <f t="shared" ref="AA77:AC77" si="4">AA76/$B$62</f>
        <v>2.3232914505597227E-3</v>
      </c>
      <c r="AB77" s="14">
        <f t="shared" si="4"/>
        <v>2.7105066923196765E-3</v>
      </c>
      <c r="AC77" s="14">
        <f t="shared" si="4"/>
        <v>2.9118586180348523E-3</v>
      </c>
      <c r="AD77" s="14">
        <f t="shared" si="3"/>
        <v>3.0977219340796304E-3</v>
      </c>
      <c r="AE77" s="14">
        <f t="shared" si="3"/>
        <v>6.1954438681592608E-3</v>
      </c>
      <c r="AF77" s="15">
        <f>AF76/$B$62</f>
        <v>1.2390887736318522E-2</v>
      </c>
      <c r="AG77" s="15">
        <f>AG76/$B$62</f>
        <v>2.4781775472637043E-2</v>
      </c>
      <c r="AH77" s="224">
        <f>AH76/$B$62</f>
        <v>4.9563550945274086E-2</v>
      </c>
      <c r="AI77" s="263">
        <f t="shared" ref="AI77:AM77" si="5">AI76/$B$62</f>
        <v>9.9127101890548172E-2</v>
      </c>
      <c r="AJ77" s="223">
        <f t="shared" si="5"/>
        <v>0.19825420378109634</v>
      </c>
      <c r="AK77" s="223">
        <f t="shared" si="5"/>
        <v>0.39650840756219269</v>
      </c>
      <c r="AL77" s="223">
        <f t="shared" si="5"/>
        <v>0.79301681512438538</v>
      </c>
      <c r="AM77" s="178">
        <f t="shared" si="5"/>
        <v>1</v>
      </c>
      <c r="AN77" s="177">
        <f>AN76/$B$62</f>
        <v>1</v>
      </c>
      <c r="AO77" s="244">
        <f>B65</f>
        <v>7.0000000000000007E-2</v>
      </c>
      <c r="AP77" s="25"/>
      <c r="AQ77" s="25"/>
      <c r="AR77" s="69"/>
    </row>
    <row r="78" spans="1:44" x14ac:dyDescent="0.25">
      <c r="A78" s="41" t="s">
        <v>159</v>
      </c>
      <c r="B78" s="16"/>
      <c r="C78" s="16"/>
      <c r="D78" s="16"/>
      <c r="E78" s="16"/>
      <c r="F78" s="16"/>
      <c r="G78" s="16"/>
      <c r="H78" s="16"/>
      <c r="I78" s="16"/>
      <c r="J78" s="16"/>
      <c r="K78" s="16"/>
      <c r="L78" s="267">
        <f t="shared" ref="L78:U78" si="6">MAX(L76-(L84-L85)-(L86-L87)-(L88-L89),0)</f>
        <v>25.558430925469978</v>
      </c>
      <c r="M78" s="268">
        <f t="shared" si="6"/>
        <v>48.253729583441825</v>
      </c>
      <c r="N78" s="268">
        <f t="shared" si="6"/>
        <v>104.90319014596037</v>
      </c>
      <c r="O78" s="268">
        <f t="shared" si="6"/>
        <v>224.72190063694103</v>
      </c>
      <c r="P78" s="268">
        <f>MAX(P76-(P84-P85)-(P86-P87)-(P88-P89),0)</f>
        <v>468.16151942648673</v>
      </c>
      <c r="Q78" s="268">
        <f t="shared" si="6"/>
        <v>955.08635794363818</v>
      </c>
      <c r="R78" s="268">
        <f>MAX(R76-(R84-R85)-(R86-R87)-(R88-R89),0)</f>
        <v>1950.8214285714287</v>
      </c>
      <c r="S78" s="268">
        <f t="shared" si="6"/>
        <v>3941.9387841598559</v>
      </c>
      <c r="T78" s="268">
        <f t="shared" si="6"/>
        <v>7899.3926009765419</v>
      </c>
      <c r="U78" s="268">
        <f t="shared" si="6"/>
        <v>15815.828395301851</v>
      </c>
      <c r="V78" s="268">
        <f>MAX(V76-(V84-V85)-(V86-V87)-(V88-V89),0)</f>
        <v>31608.741071428572</v>
      </c>
      <c r="W78" s="268">
        <f t="shared" ref="W78:AH78" si="7">MAX(W76-(W84-W85)-(W86-W87)-(W88-W89),0)</f>
        <v>63059.098214285717</v>
      </c>
      <c r="X78" s="268">
        <f t="shared" si="7"/>
        <v>125994.94404701918</v>
      </c>
      <c r="Y78" s="268">
        <f t="shared" si="7"/>
        <v>247663.86625378428</v>
      </c>
      <c r="Z78" s="268">
        <f t="shared" si="7"/>
        <v>416580.64285714296</v>
      </c>
      <c r="AA78" s="268">
        <f t="shared" ref="AA78:AC78" si="8">MAX(AA76-(AA84-AA85)-(AA86-AA87)-(AA88-AA89),0)</f>
        <v>476075.90773452353</v>
      </c>
      <c r="AB78" s="268">
        <f t="shared" si="8"/>
        <v>486478.80357142823</v>
      </c>
      <c r="AC78" s="268">
        <f t="shared" si="8"/>
        <v>369791.17543841642</v>
      </c>
      <c r="AD78" s="268">
        <f t="shared" si="7"/>
        <v>320468.00000000041</v>
      </c>
      <c r="AE78" s="268">
        <f t="shared" si="7"/>
        <v>0</v>
      </c>
      <c r="AF78" s="268">
        <f t="shared" si="7"/>
        <v>0</v>
      </c>
      <c r="AG78" s="268">
        <f t="shared" si="7"/>
        <v>0</v>
      </c>
      <c r="AH78" s="279">
        <f t="shared" si="7"/>
        <v>189991.79120051442</v>
      </c>
      <c r="AI78" s="241">
        <f t="shared" ref="AI78:AM78" si="9">MAX(AI76-(AI84-AI85)-(AI86-AI87)-(AI88-AI89),0)</f>
        <v>1114819.3260661941</v>
      </c>
      <c r="AJ78" s="199">
        <f t="shared" si="9"/>
        <v>3165935.9237264395</v>
      </c>
      <c r="AK78" s="199">
        <f t="shared" si="9"/>
        <v>7625569.152946013</v>
      </c>
      <c r="AL78" s="199">
        <f t="shared" si="9"/>
        <v>17142633.360547543</v>
      </c>
      <c r="AM78" s="200">
        <f t="shared" si="9"/>
        <v>361172.95054425672</v>
      </c>
      <c r="AN78" s="199">
        <f>MAX(AN76-(AN84-AN85)-(AN86-AN87)-(AN88-AN89),0)</f>
        <v>0</v>
      </c>
      <c r="AO78" s="245"/>
      <c r="AP78" s="45"/>
      <c r="AQ78" s="45"/>
      <c r="AR78" s="69"/>
    </row>
    <row r="79" spans="1:44" x14ac:dyDescent="0.25">
      <c r="A79" s="41" t="s">
        <v>173</v>
      </c>
      <c r="B79" s="16"/>
      <c r="C79" s="16"/>
      <c r="D79" s="16"/>
      <c r="E79" s="16"/>
      <c r="F79" s="16"/>
      <c r="G79" s="16"/>
      <c r="H79" s="16"/>
      <c r="I79" s="16"/>
      <c r="J79" s="16"/>
      <c r="K79" s="16"/>
      <c r="L79" s="86">
        <f>MAX(L76-L78-L91,0)</f>
        <v>5.6915690745300225</v>
      </c>
      <c r="M79" s="87">
        <f>MAX(M76-M78-M91,0)</f>
        <v>14.246270416558175</v>
      </c>
      <c r="N79" s="87">
        <f t="shared" ref="N79:O79" si="10">MAX(N76-N78-N91,0)</f>
        <v>20.096809854039634</v>
      </c>
      <c r="O79" s="87">
        <f t="shared" si="10"/>
        <v>25.278099363058971</v>
      </c>
      <c r="P79" s="121">
        <f>MAX(P76-P78-P91,0)</f>
        <v>31.838480573513266</v>
      </c>
      <c r="Q79" s="121">
        <f t="shared" ref="Q79:AH79" si="11">MAX(Q76-Q78-Q91,0)</f>
        <v>44.913642056361823</v>
      </c>
      <c r="R79" s="121">
        <f t="shared" si="11"/>
        <v>49.178571428571331</v>
      </c>
      <c r="S79" s="121">
        <f t="shared" si="11"/>
        <v>58.061215840144087</v>
      </c>
      <c r="T79" s="121">
        <f t="shared" si="11"/>
        <v>100.60739902345813</v>
      </c>
      <c r="U79" s="121">
        <f t="shared" si="11"/>
        <v>184.17160469814917</v>
      </c>
      <c r="V79" s="121">
        <f t="shared" si="11"/>
        <v>391.25892857142753</v>
      </c>
      <c r="W79" s="121">
        <f t="shared" si="11"/>
        <v>940.9017857142826</v>
      </c>
      <c r="X79" s="121">
        <f t="shared" si="11"/>
        <v>2003.6540477390161</v>
      </c>
      <c r="Y79" s="121">
        <f t="shared" si="11"/>
        <v>8333.6462530709359</v>
      </c>
      <c r="Z79" s="121">
        <f t="shared" si="11"/>
        <v>95408.877148546948</v>
      </c>
      <c r="AA79" s="121">
        <f t="shared" ref="AA79:AC79" si="12">MAX(AA76-AA78-AA91,0)</f>
        <v>291825.16369404789</v>
      </c>
      <c r="AB79" s="121">
        <f t="shared" si="12"/>
        <v>408648.47104362934</v>
      </c>
      <c r="AC79" s="121">
        <f t="shared" si="12"/>
        <v>588331.11027586926</v>
      </c>
      <c r="AD79" s="121">
        <f t="shared" si="11"/>
        <v>689955.84128905111</v>
      </c>
      <c r="AE79" s="121">
        <f t="shared" si="11"/>
        <v>2013622.857142857</v>
      </c>
      <c r="AF79" s="121">
        <f t="shared" si="11"/>
        <v>3482773.2312499378</v>
      </c>
      <c r="AG79" s="121">
        <f t="shared" si="11"/>
        <v>7516808.3073634412</v>
      </c>
      <c r="AH79" s="122">
        <f t="shared" si="11"/>
        <v>15239970.59394585</v>
      </c>
      <c r="AI79" s="264">
        <f>MAX(AI76-AI78-AI91,0)</f>
        <v>30133109.36866083</v>
      </c>
      <c r="AJ79" s="213">
        <f>MAX(AJ76-AJ78-AJ91,0)</f>
        <v>59780287.8258247</v>
      </c>
      <c r="AK79" s="213">
        <f t="shared" ref="AK79:AN79" si="13">MAX(AK76-AK78-AK91,0)</f>
        <v>118848657.35219835</v>
      </c>
      <c r="AL79" s="213">
        <f t="shared" si="13"/>
        <v>236614259.8131007</v>
      </c>
      <c r="AM79" s="214">
        <f t="shared" si="13"/>
        <v>314614371.15410143</v>
      </c>
      <c r="AN79" s="213">
        <f t="shared" si="13"/>
        <v>301190776.75861764</v>
      </c>
      <c r="AO79" s="246"/>
      <c r="AP79" s="25"/>
      <c r="AQ79" s="25"/>
      <c r="AR79" s="69"/>
    </row>
    <row r="80" spans="1:44" x14ac:dyDescent="0.25">
      <c r="A80" s="4" t="s">
        <v>166</v>
      </c>
      <c r="B80" s="9"/>
      <c r="C80" s="9"/>
      <c r="D80" s="9"/>
      <c r="E80" s="9"/>
      <c r="F80" s="9"/>
      <c r="G80" s="9"/>
      <c r="H80" s="9"/>
      <c r="I80" s="9"/>
      <c r="J80" s="9"/>
      <c r="K80" s="5"/>
      <c r="L80" s="197">
        <f t="shared" ref="L80:AJ80" si="14">L76/$B$64</f>
        <v>260.41666666666669</v>
      </c>
      <c r="M80" s="198">
        <f t="shared" si="14"/>
        <v>520.83333333333337</v>
      </c>
      <c r="N80" s="198">
        <f t="shared" si="14"/>
        <v>1041.6666666666667</v>
      </c>
      <c r="O80" s="198">
        <f t="shared" si="14"/>
        <v>2083.3333333333335</v>
      </c>
      <c r="P80" s="198">
        <f t="shared" si="14"/>
        <v>4166.666666666667</v>
      </c>
      <c r="Q80" s="198">
        <f t="shared" si="14"/>
        <v>8333.3333333333339</v>
      </c>
      <c r="R80" s="198">
        <f t="shared" si="14"/>
        <v>16666.666666666668</v>
      </c>
      <c r="S80" s="198">
        <f t="shared" si="14"/>
        <v>33333.333333333336</v>
      </c>
      <c r="T80" s="198">
        <f t="shared" si="14"/>
        <v>66666.666666666672</v>
      </c>
      <c r="U80" s="198">
        <f t="shared" si="14"/>
        <v>133333.33333333334</v>
      </c>
      <c r="V80" s="198">
        <f t="shared" si="14"/>
        <v>266666.66666666669</v>
      </c>
      <c r="W80" s="198">
        <f t="shared" si="14"/>
        <v>533333.33333333337</v>
      </c>
      <c r="X80" s="198">
        <f t="shared" si="14"/>
        <v>1066666.6666666667</v>
      </c>
      <c r="Y80" s="198">
        <f t="shared" si="14"/>
        <v>2133333.3333333335</v>
      </c>
      <c r="Z80" s="198">
        <f t="shared" si="14"/>
        <v>4266666.666666667</v>
      </c>
      <c r="AA80" s="198">
        <f t="shared" ref="AA80:AC80" si="15">AA76/$B$64</f>
        <v>6400000</v>
      </c>
      <c r="AB80" s="198">
        <f t="shared" si="15"/>
        <v>7466666.666666667</v>
      </c>
      <c r="AC80" s="198">
        <f t="shared" si="15"/>
        <v>8021333.333333334</v>
      </c>
      <c r="AD80" s="198">
        <f t="shared" si="14"/>
        <v>8533333.333333334</v>
      </c>
      <c r="AE80" s="198">
        <f t="shared" si="14"/>
        <v>17066666.666666668</v>
      </c>
      <c r="AF80" s="198">
        <f t="shared" si="14"/>
        <v>34133333.333333336</v>
      </c>
      <c r="AG80" s="198">
        <f t="shared" si="14"/>
        <v>68266666.666666672</v>
      </c>
      <c r="AH80" s="198">
        <f t="shared" si="14"/>
        <v>136533333.33333334</v>
      </c>
      <c r="AI80" s="239">
        <f t="shared" si="14"/>
        <v>273066666.66666669</v>
      </c>
      <c r="AJ80" s="208">
        <f t="shared" si="14"/>
        <v>546133333.33333337</v>
      </c>
      <c r="AK80" s="208">
        <f>$B$62</f>
        <v>330565500</v>
      </c>
      <c r="AL80" s="208">
        <f t="shared" ref="AL80:AM80" si="16">$B$62</f>
        <v>330565500</v>
      </c>
      <c r="AM80" s="209">
        <f t="shared" si="16"/>
        <v>330565500</v>
      </c>
      <c r="AN80" s="199">
        <f>AN76</f>
        <v>330565500</v>
      </c>
      <c r="AO80" s="245">
        <f>($B$62*$B$65)/$B$64</f>
        <v>192829875.00000003</v>
      </c>
      <c r="AP80" s="25"/>
      <c r="AQ80" s="25"/>
      <c r="AR80" s="69"/>
    </row>
    <row r="81" spans="1:44" x14ac:dyDescent="0.25">
      <c r="A81" s="41" t="s">
        <v>113</v>
      </c>
      <c r="B81" s="16"/>
      <c r="C81" s="16"/>
      <c r="D81" s="16"/>
      <c r="E81" s="16"/>
      <c r="F81" s="16"/>
      <c r="G81" s="16"/>
      <c r="H81" s="16"/>
      <c r="I81" s="16"/>
      <c r="J81" s="16"/>
      <c r="K81" s="17"/>
      <c r="L81" s="195">
        <f>L80/$B$62</f>
        <v>7.8779142610667684E-7</v>
      </c>
      <c r="M81" s="196">
        <f t="shared" ref="M81:AG81" si="17">M80/$B$62</f>
        <v>1.5755828522133537E-6</v>
      </c>
      <c r="N81" s="196">
        <f t="shared" si="17"/>
        <v>3.1511657044267074E-6</v>
      </c>
      <c r="O81" s="66">
        <f t="shared" si="17"/>
        <v>6.3023314088534147E-6</v>
      </c>
      <c r="P81" s="66">
        <f t="shared" si="17"/>
        <v>1.2604662817706829E-5</v>
      </c>
      <c r="Q81" s="66">
        <f t="shared" si="17"/>
        <v>2.5209325635413659E-5</v>
      </c>
      <c r="R81" s="66">
        <f t="shared" si="17"/>
        <v>5.0418651270827318E-5</v>
      </c>
      <c r="S81" s="66">
        <f t="shared" si="17"/>
        <v>1.0083730254165464E-4</v>
      </c>
      <c r="T81" s="36">
        <f t="shared" si="17"/>
        <v>2.0167460508330927E-4</v>
      </c>
      <c r="U81" s="36">
        <f t="shared" si="17"/>
        <v>4.0334921016661854E-4</v>
      </c>
      <c r="V81" s="36">
        <f t="shared" si="17"/>
        <v>8.0669842033323708E-4</v>
      </c>
      <c r="W81" s="36">
        <f t="shared" si="17"/>
        <v>1.6133968406664742E-3</v>
      </c>
      <c r="X81" s="14">
        <f t="shared" si="17"/>
        <v>3.2267936813329483E-3</v>
      </c>
      <c r="Y81" s="15">
        <f t="shared" si="17"/>
        <v>6.4535873626658967E-3</v>
      </c>
      <c r="Z81" s="15">
        <f t="shared" si="17"/>
        <v>1.2907174725331793E-2</v>
      </c>
      <c r="AA81" s="15">
        <f t="shared" ref="AA81:AC81" si="18">AA80/$B$62</f>
        <v>1.9360762087997689E-2</v>
      </c>
      <c r="AB81" s="15">
        <f t="shared" si="18"/>
        <v>2.258755576933064E-2</v>
      </c>
      <c r="AC81" s="15">
        <f t="shared" si="18"/>
        <v>2.4265488483623771E-2</v>
      </c>
      <c r="AD81" s="15">
        <f t="shared" si="17"/>
        <v>2.5814349450663587E-2</v>
      </c>
      <c r="AE81" s="15">
        <f t="shared" si="17"/>
        <v>5.1628698901327173E-2</v>
      </c>
      <c r="AF81" s="15">
        <f t="shared" si="17"/>
        <v>0.10325739780265435</v>
      </c>
      <c r="AG81" s="75">
        <f t="shared" si="17"/>
        <v>0.20651479560530869</v>
      </c>
      <c r="AH81" s="75">
        <f>AH80/$B$62</f>
        <v>0.41302959121061739</v>
      </c>
      <c r="AI81" s="240">
        <f t="shared" ref="AI81:AM81" si="19">AI80/$B$62</f>
        <v>0.82605918242123477</v>
      </c>
      <c r="AJ81" s="177">
        <f t="shared" si="19"/>
        <v>1.6521183648424695</v>
      </c>
      <c r="AK81" s="177">
        <f t="shared" si="19"/>
        <v>1</v>
      </c>
      <c r="AL81" s="177">
        <f t="shared" si="19"/>
        <v>1</v>
      </c>
      <c r="AM81" s="178">
        <f t="shared" si="19"/>
        <v>1</v>
      </c>
      <c r="AN81" s="177">
        <v>1</v>
      </c>
      <c r="AO81" s="244">
        <f>AO80/B62</f>
        <v>0.58333333333333337</v>
      </c>
      <c r="AP81" s="25"/>
      <c r="AQ81" s="25"/>
      <c r="AR81" s="69"/>
    </row>
    <row r="82" spans="1:44" x14ac:dyDescent="0.25">
      <c r="A82" s="41" t="s">
        <v>164</v>
      </c>
      <c r="B82" s="16"/>
      <c r="C82" s="16"/>
      <c r="D82" s="16"/>
      <c r="E82" s="16"/>
      <c r="F82" s="16"/>
      <c r="G82" s="16"/>
      <c r="H82" s="16"/>
      <c r="I82" s="16"/>
      <c r="J82" s="16"/>
      <c r="K82" s="17"/>
      <c r="L82" s="197">
        <f>L80-L76</f>
        <v>229.16666666666669</v>
      </c>
      <c r="M82" s="198">
        <f t="shared" ref="M82:AF82" si="20">M80-M76</f>
        <v>458.33333333333337</v>
      </c>
      <c r="N82" s="198">
        <f t="shared" si="20"/>
        <v>916.66666666666674</v>
      </c>
      <c r="O82" s="198">
        <f t="shared" si="20"/>
        <v>1833.3333333333335</v>
      </c>
      <c r="P82" s="198">
        <f>P80-P76</f>
        <v>3666.666666666667</v>
      </c>
      <c r="Q82" s="198">
        <f t="shared" si="20"/>
        <v>7333.3333333333339</v>
      </c>
      <c r="R82" s="198">
        <f t="shared" si="20"/>
        <v>14666.666666666668</v>
      </c>
      <c r="S82" s="198">
        <f t="shared" si="20"/>
        <v>29333.333333333336</v>
      </c>
      <c r="T82" s="198">
        <f t="shared" si="20"/>
        <v>58666.666666666672</v>
      </c>
      <c r="U82" s="198">
        <f t="shared" si="20"/>
        <v>117333.33333333334</v>
      </c>
      <c r="V82" s="198">
        <f t="shared" si="20"/>
        <v>234666.66666666669</v>
      </c>
      <c r="W82" s="198">
        <f t="shared" si="20"/>
        <v>469333.33333333337</v>
      </c>
      <c r="X82" s="198">
        <f t="shared" si="20"/>
        <v>938666.66666666674</v>
      </c>
      <c r="Y82" s="198">
        <f t="shared" si="20"/>
        <v>1877333.3333333335</v>
      </c>
      <c r="Z82" s="198">
        <f t="shared" si="20"/>
        <v>3754666.666666667</v>
      </c>
      <c r="AA82" s="198">
        <f t="shared" ref="AA82:AC82" si="21">AA80-AA76</f>
        <v>5632000</v>
      </c>
      <c r="AB82" s="198">
        <f t="shared" si="21"/>
        <v>6570666.666666667</v>
      </c>
      <c r="AC82" s="198">
        <f t="shared" si="21"/>
        <v>7058773.333333334</v>
      </c>
      <c r="AD82" s="198">
        <f t="shared" si="20"/>
        <v>7509333.333333334</v>
      </c>
      <c r="AE82" s="198">
        <f t="shared" si="20"/>
        <v>15018666.666666668</v>
      </c>
      <c r="AF82" s="198">
        <f t="shared" si="20"/>
        <v>30037333.333333336</v>
      </c>
      <c r="AG82" s="198">
        <f>AG80-AG76</f>
        <v>60074666.666666672</v>
      </c>
      <c r="AH82" s="198">
        <f>AH80-AH76</f>
        <v>120149333.33333334</v>
      </c>
      <c r="AI82" s="241">
        <f>AI80-AI76</f>
        <v>240298666.66666669</v>
      </c>
      <c r="AJ82" s="199">
        <f t="shared" ref="AJ82:AM82" si="22">AJ80</f>
        <v>546133333.33333337</v>
      </c>
      <c r="AK82" s="199">
        <f t="shared" si="22"/>
        <v>330565500</v>
      </c>
      <c r="AL82" s="199">
        <f t="shared" si="22"/>
        <v>330565500</v>
      </c>
      <c r="AM82" s="200">
        <f t="shared" si="22"/>
        <v>330565500</v>
      </c>
      <c r="AN82" s="199">
        <f>AN80</f>
        <v>330565500</v>
      </c>
      <c r="AO82" s="247">
        <f>AO80-AO76</f>
        <v>169690290.00000003</v>
      </c>
      <c r="AP82" s="25"/>
      <c r="AQ82" s="25"/>
      <c r="AR82" s="69"/>
    </row>
    <row r="83" spans="1:44" x14ac:dyDescent="0.25">
      <c r="A83" s="37" t="s">
        <v>165</v>
      </c>
      <c r="B83" s="39"/>
      <c r="C83" s="39"/>
      <c r="D83" s="39"/>
      <c r="E83" s="39"/>
      <c r="F83" s="39"/>
      <c r="G83" s="39"/>
      <c r="H83" s="39"/>
      <c r="I83" s="39"/>
      <c r="J83" s="39"/>
      <c r="K83" s="63"/>
      <c r="L83" s="206">
        <f>MIN((1/$B$64)*(2^(((L75 - 14) - $B$72)/$L$101)),L82)</f>
        <v>58.555237392284177</v>
      </c>
      <c r="M83" s="207">
        <f>MIN((1/$B$64)*(2^(((M75 - 14) - $B$72)/$L$101)),M82)</f>
        <v>146.56656807158615</v>
      </c>
      <c r="N83" s="207">
        <f>MIN((1/$B$64)*(2^(((N75 - 14) - $B$72)/$L$101)),N82)</f>
        <v>206.75730302509908</v>
      </c>
      <c r="O83" s="207">
        <f>MIN((1/$B$64)*(2^(((O75 - 14) - $B$72)/$L$101)),O82)</f>
        <v>260.06275064875484</v>
      </c>
      <c r="P83" s="198">
        <f t="shared" ref="P83:Z83" si="23">MIN(($L$76/$B$64)*(2^(((P75 - 14) - $L$75)/HLOOKUP((P75-14)-$B$72,$L$99:$AO$101,3,TRUE))),P82)</f>
        <v>327.55638450116504</v>
      </c>
      <c r="Q83" s="198">
        <f t="shared" si="23"/>
        <v>462.07450675269331</v>
      </c>
      <c r="R83" s="198">
        <f t="shared" si="23"/>
        <v>505.95238095238091</v>
      </c>
      <c r="S83" s="198">
        <f t="shared" si="23"/>
        <v>597.33761152411716</v>
      </c>
      <c r="T83" s="198">
        <f t="shared" si="23"/>
        <v>1035.0555455088277</v>
      </c>
      <c r="U83" s="198">
        <f t="shared" si="23"/>
        <v>1894.7695956599703</v>
      </c>
      <c r="V83" s="198">
        <f t="shared" si="23"/>
        <v>4025.2976190476184</v>
      </c>
      <c r="W83" s="198">
        <f t="shared" si="23"/>
        <v>9680.0595238095229</v>
      </c>
      <c r="X83" s="198">
        <f t="shared" si="23"/>
        <v>20610.11904761905</v>
      </c>
      <c r="Y83" s="198">
        <f t="shared" si="23"/>
        <v>85730.703495727808</v>
      </c>
      <c r="Z83" s="198">
        <f t="shared" si="23"/>
        <v>924523.80952380877</v>
      </c>
      <c r="AA83" s="198">
        <f t="shared" ref="AA83:AC83" si="24">MIN(($L$76/$B$64)*(2^(((AA75 - 14) - $L$75)/HLOOKUP((AA75-14)-$B$72,$L$99:$AO$101,3,TRUE))),AA82)</f>
        <v>2828366.3981142552</v>
      </c>
      <c r="AB83" s="198">
        <f t="shared" si="24"/>
        <v>3964873.5119047654</v>
      </c>
      <c r="AC83" s="198">
        <f t="shared" si="24"/>
        <v>5714285.714285708</v>
      </c>
      <c r="AD83" s="198">
        <f t="shared" ref="AD83:AN83" si="25">MIN(($L$76/$B$64)*(2^(((AD75 - 14) - $L$75)/HLOOKUP((AD75-14)-$B$72,$L$99:$AO$101,3,TRUE))),AD82)</f>
        <v>6666666.6666666633</v>
      </c>
      <c r="AE83" s="198">
        <f t="shared" si="25"/>
        <v>15018666.666666668</v>
      </c>
      <c r="AF83" s="198">
        <f t="shared" si="25"/>
        <v>30037333.333333336</v>
      </c>
      <c r="AG83" s="198">
        <f t="shared" si="25"/>
        <v>60074666.666666672</v>
      </c>
      <c r="AH83" s="198">
        <f t="shared" si="25"/>
        <v>120149333.33333334</v>
      </c>
      <c r="AI83" s="242">
        <f t="shared" si="25"/>
        <v>240298666.66666669</v>
      </c>
      <c r="AJ83" s="203">
        <f t="shared" si="25"/>
        <v>546133333.33333337</v>
      </c>
      <c r="AK83" s="203">
        <f t="shared" si="25"/>
        <v>330565500</v>
      </c>
      <c r="AL83" s="203">
        <f t="shared" si="25"/>
        <v>330565500</v>
      </c>
      <c r="AM83" s="204">
        <f t="shared" si="25"/>
        <v>330565500</v>
      </c>
      <c r="AN83" s="203">
        <f t="shared" si="25"/>
        <v>330565500</v>
      </c>
      <c r="AO83" s="247"/>
      <c r="AP83" s="25"/>
      <c r="AQ83" s="25"/>
      <c r="AR83" s="69"/>
    </row>
    <row r="84" spans="1:44" x14ac:dyDescent="0.25">
      <c r="A84" s="41" t="s">
        <v>162</v>
      </c>
      <c r="B84" s="16"/>
      <c r="C84" s="16"/>
      <c r="D84" s="16"/>
      <c r="E84" s="16"/>
      <c r="F84" s="16"/>
      <c r="G84" s="16"/>
      <c r="H84" s="16"/>
      <c r="I84" s="16"/>
      <c r="J84" s="16"/>
      <c r="K84" s="16"/>
      <c r="L84" s="215">
        <f t="shared" ref="L84:AN84" si="26">L76*$B$68</f>
        <v>25.3125</v>
      </c>
      <c r="M84" s="216">
        <f t="shared" si="26"/>
        <v>50.625</v>
      </c>
      <c r="N84" s="216">
        <f t="shared" si="26"/>
        <v>101.25</v>
      </c>
      <c r="O84" s="216">
        <f t="shared" si="26"/>
        <v>202.5</v>
      </c>
      <c r="P84" s="216">
        <f t="shared" si="26"/>
        <v>405</v>
      </c>
      <c r="Q84" s="216">
        <f t="shared" si="26"/>
        <v>810</v>
      </c>
      <c r="R84" s="216">
        <f t="shared" si="26"/>
        <v>1620</v>
      </c>
      <c r="S84" s="216">
        <f t="shared" si="26"/>
        <v>3240</v>
      </c>
      <c r="T84" s="216">
        <f t="shared" si="26"/>
        <v>6480</v>
      </c>
      <c r="U84" s="216">
        <f t="shared" si="26"/>
        <v>12960</v>
      </c>
      <c r="V84" s="216">
        <f t="shared" si="26"/>
        <v>25920</v>
      </c>
      <c r="W84" s="216">
        <f t="shared" si="26"/>
        <v>51840</v>
      </c>
      <c r="X84" s="216">
        <f t="shared" si="26"/>
        <v>103680</v>
      </c>
      <c r="Y84" s="216">
        <f t="shared" si="26"/>
        <v>207360</v>
      </c>
      <c r="Z84" s="216">
        <f t="shared" si="26"/>
        <v>414720</v>
      </c>
      <c r="AA84" s="216">
        <f t="shared" ref="AA84:AC84" si="27">AA76*$B$68</f>
        <v>622080</v>
      </c>
      <c r="AB84" s="216">
        <f t="shared" si="27"/>
        <v>725760</v>
      </c>
      <c r="AC84" s="216">
        <f t="shared" si="27"/>
        <v>779673.60000000009</v>
      </c>
      <c r="AD84" s="216">
        <f t="shared" si="26"/>
        <v>829440</v>
      </c>
      <c r="AE84" s="216">
        <f t="shared" si="26"/>
        <v>1658880</v>
      </c>
      <c r="AF84" s="216">
        <f t="shared" si="26"/>
        <v>3317760</v>
      </c>
      <c r="AG84" s="216">
        <f t="shared" si="26"/>
        <v>6635520</v>
      </c>
      <c r="AH84" s="216">
        <f t="shared" si="26"/>
        <v>13271040</v>
      </c>
      <c r="AI84" s="239">
        <f t="shared" ref="AI84:AM84" si="28">AI76*$B$68</f>
        <v>26542080</v>
      </c>
      <c r="AJ84" s="208">
        <f t="shared" si="28"/>
        <v>53084160</v>
      </c>
      <c r="AK84" s="208">
        <f t="shared" si="28"/>
        <v>106168320</v>
      </c>
      <c r="AL84" s="208">
        <f t="shared" si="28"/>
        <v>212336640</v>
      </c>
      <c r="AM84" s="209">
        <f t="shared" si="28"/>
        <v>267758055.00000003</v>
      </c>
      <c r="AN84" s="199">
        <f t="shared" si="26"/>
        <v>267758055.00000003</v>
      </c>
      <c r="AO84" s="247">
        <f>AO76*B68</f>
        <v>18743063.850000005</v>
      </c>
      <c r="AP84" s="25"/>
      <c r="AQ84" s="25"/>
      <c r="AR84" s="69"/>
    </row>
    <row r="85" spans="1:44" x14ac:dyDescent="0.25">
      <c r="A85" s="41" t="s">
        <v>174</v>
      </c>
      <c r="B85" s="16"/>
      <c r="C85" s="16"/>
      <c r="D85" s="16"/>
      <c r="E85" s="16"/>
      <c r="F85" s="16"/>
      <c r="G85" s="16"/>
      <c r="H85" s="16"/>
      <c r="I85" s="16"/>
      <c r="J85" s="16"/>
      <c r="K85" s="16"/>
      <c r="L85" s="206">
        <f>L84-(1*$B$68)*(2^(((L75 - 14) - $B$72)/$L$101))</f>
        <v>19.620930925469978</v>
      </c>
      <c r="M85" s="207">
        <f>M84-(1*$B$68)*(2^(((M75 - 14) - $B$72)/$L$101))</f>
        <v>36.378729583441825</v>
      </c>
      <c r="N85" s="207">
        <f>N84-(1*$B$68)*(2^(((N75 - 14) - $B$72)/$L$101))</f>
        <v>81.153190145960366</v>
      </c>
      <c r="O85" s="207">
        <f>O84-(1*$B$68)*(2^(((O75 - 14) - $B$72)/$L$101))</f>
        <v>177.22190063694103</v>
      </c>
      <c r="P85" s="205">
        <f t="shared" ref="P85:Z85" si="29">MAX(P84-(($L$76*$B$68)*(2^(((P75 -14) - $L$75)/HLOOKUP((P75-14)-$B$72,$L$99:$AO$101,3,TRUE)))),0)</f>
        <v>373.16151942648673</v>
      </c>
      <c r="Q85" s="205">
        <f t="shared" si="29"/>
        <v>765.08635794363818</v>
      </c>
      <c r="R85" s="205">
        <f t="shared" si="29"/>
        <v>1570.8214285714287</v>
      </c>
      <c r="S85" s="205">
        <f t="shared" si="29"/>
        <v>3181.9387841598559</v>
      </c>
      <c r="T85" s="205">
        <f t="shared" si="29"/>
        <v>6379.3926009765419</v>
      </c>
      <c r="U85" s="205">
        <f t="shared" si="29"/>
        <v>12775.828395301851</v>
      </c>
      <c r="V85" s="205">
        <f t="shared" si="29"/>
        <v>25528.741071428572</v>
      </c>
      <c r="W85" s="205">
        <f t="shared" si="29"/>
        <v>50899.098214285717</v>
      </c>
      <c r="X85" s="205">
        <f t="shared" si="29"/>
        <v>101676.69642857143</v>
      </c>
      <c r="Y85" s="205">
        <f t="shared" si="29"/>
        <v>199026.97562021526</v>
      </c>
      <c r="Z85" s="205">
        <f t="shared" si="29"/>
        <v>324856.2857142858</v>
      </c>
      <c r="AA85" s="205">
        <f t="shared" ref="AA85:AC85" si="30">MAX(AA84-(($L$76*$B$68)*(2^(((AA75 -14) - $L$75)/HLOOKUP((AA75-14)-$B$72,$L$99:$AO$101,3,TRUE)))),0)</f>
        <v>347162.78610329441</v>
      </c>
      <c r="AB85" s="205">
        <f t="shared" si="30"/>
        <v>340374.29464285681</v>
      </c>
      <c r="AC85" s="205">
        <f t="shared" si="30"/>
        <v>224245.02857142931</v>
      </c>
      <c r="AD85" s="205">
        <f t="shared" ref="AD85:AN85" si="31">MAX(AD84-(($L$76*$B$68)*(2^(((AD75 -14) - $L$75)/HLOOKUP((AD75-14)-$B$72,$L$99:$AO$101,3,TRUE)))),0)</f>
        <v>181440.00000000035</v>
      </c>
      <c r="AE85" s="205">
        <f t="shared" si="31"/>
        <v>0</v>
      </c>
      <c r="AF85" s="205">
        <f t="shared" si="31"/>
        <v>0</v>
      </c>
      <c r="AG85" s="205">
        <f t="shared" si="31"/>
        <v>0</v>
      </c>
      <c r="AH85" s="205">
        <f t="shared" si="31"/>
        <v>0</v>
      </c>
      <c r="AI85" s="242">
        <f t="shared" si="31"/>
        <v>0</v>
      </c>
      <c r="AJ85" s="203">
        <f t="shared" si="31"/>
        <v>0</v>
      </c>
      <c r="AK85" s="203">
        <f t="shared" si="31"/>
        <v>0</v>
      </c>
      <c r="AL85" s="203">
        <f t="shared" si="31"/>
        <v>0</v>
      </c>
      <c r="AM85" s="204">
        <f t="shared" si="31"/>
        <v>0</v>
      </c>
      <c r="AN85" s="199">
        <f t="shared" si="31"/>
        <v>0</v>
      </c>
      <c r="AO85" s="245"/>
      <c r="AP85" s="25"/>
      <c r="AQ85" s="25"/>
      <c r="AR85" s="69"/>
    </row>
    <row r="86" spans="1:44" x14ac:dyDescent="0.25">
      <c r="A86" s="62" t="s">
        <v>111</v>
      </c>
      <c r="B86" s="9"/>
      <c r="C86" s="9"/>
      <c r="D86" s="9"/>
      <c r="E86" s="9"/>
      <c r="F86" s="9"/>
      <c r="G86" s="9"/>
      <c r="H86" s="9"/>
      <c r="I86" s="9"/>
      <c r="J86" s="9"/>
      <c r="K86" s="5"/>
      <c r="L86" s="225">
        <f>(1*($B$69+$B$70))*(2^(((L75 - 7) - $B$72)/$L$101))</f>
        <v>2.9796216359494587</v>
      </c>
      <c r="M86" s="211">
        <f t="shared" ref="M86:Z86" si="32">($L$76*($B$69+$B$70))*(2^(((M75-7)-$L$75)/HLOOKUP((M75-7)-$B$72,$L$99:$AO$101,3,TRUE)))</f>
        <v>6.6590498985850246</v>
      </c>
      <c r="N86" s="211">
        <f t="shared" si="32"/>
        <v>9.3937329355254953</v>
      </c>
      <c r="O86" s="211">
        <f t="shared" si="32"/>
        <v>11.815592437748149</v>
      </c>
      <c r="P86" s="211">
        <f t="shared" si="32"/>
        <v>12.534285987853202</v>
      </c>
      <c r="Q86" s="211">
        <f t="shared" si="32"/>
        <v>23.599266437601273</v>
      </c>
      <c r="R86" s="211">
        <f t="shared" si="32"/>
        <v>49.779972972921911</v>
      </c>
      <c r="S86" s="211">
        <f t="shared" si="32"/>
        <v>108.90640436467176</v>
      </c>
      <c r="T86" s="211">
        <f t="shared" si="32"/>
        <v>220.70535714285711</v>
      </c>
      <c r="U86" s="211">
        <f t="shared" si="32"/>
        <v>322.92231652302479</v>
      </c>
      <c r="V86" s="211">
        <f t="shared" si="32"/>
        <v>573.20080200802715</v>
      </c>
      <c r="W86" s="211">
        <f t="shared" si="32"/>
        <v>1576.9999999999995</v>
      </c>
      <c r="X86" s="211">
        <f t="shared" si="32"/>
        <v>4145.4455784766114</v>
      </c>
      <c r="Y86" s="211">
        <f t="shared" si="32"/>
        <v>14658.884770024193</v>
      </c>
      <c r="Z86" s="211">
        <f t="shared" si="32"/>
        <v>64486.753877005009</v>
      </c>
      <c r="AA86" s="211">
        <f t="shared" ref="AA86:AC86" si="33">($L$76*($B$69+$B$70))*(2^(((AA75-7)-$L$75)/HLOOKUP((AA75-7)-$B$72,$L$99:$AO$101,3,TRUE)))</f>
        <v>90399.116071428653</v>
      </c>
      <c r="AB86" s="211">
        <f t="shared" si="33"/>
        <v>130285.71428571413</v>
      </c>
      <c r="AC86" s="211">
        <f t="shared" si="33"/>
        <v>151999.99999999991</v>
      </c>
      <c r="AD86" s="211">
        <f t="shared" ref="AD86:AM86" si="34">($L$76*($B$69+$B$70))*(2^(((AD75-7)-$L$75)/HLOOKUP((AD75-7)-$B$72,$L$99:$AO$101,3,TRUE)))</f>
        <v>163291.42857142884</v>
      </c>
      <c r="AE86" s="211">
        <f t="shared" si="34"/>
        <v>2912827.1515627955</v>
      </c>
      <c r="AF86" s="211">
        <f t="shared" si="34"/>
        <v>3207160.5400236547</v>
      </c>
      <c r="AG86" s="211">
        <f t="shared" si="34"/>
        <v>4531678.670554773</v>
      </c>
      <c r="AH86" s="211">
        <f t="shared" si="34"/>
        <v>7220338.7000466203</v>
      </c>
      <c r="AI86" s="239">
        <f t="shared" si="34"/>
        <v>12301437.189632086</v>
      </c>
      <c r="AJ86" s="208">
        <f t="shared" si="34"/>
        <v>21839424.100564316</v>
      </c>
      <c r="AK86" s="208">
        <f t="shared" si="34"/>
        <v>39838757.425170831</v>
      </c>
      <c r="AL86" s="208">
        <f t="shared" si="34"/>
        <v>74052290.502933055</v>
      </c>
      <c r="AM86" s="209">
        <f t="shared" si="34"/>
        <v>139529935.39656621</v>
      </c>
      <c r="AN86" s="208">
        <f>($L$76*($B$69+$B$70))*(2^(((AN75 - 7) - $L$75)/AN101))</f>
        <v>40964411.256953709</v>
      </c>
      <c r="AO86" s="245">
        <f>AO76*(B69+B70)</f>
        <v>4396521.1500000004</v>
      </c>
      <c r="AP86" s="45"/>
      <c r="AQ86" s="45"/>
      <c r="AR86" s="69"/>
    </row>
    <row r="87" spans="1:44" x14ac:dyDescent="0.25">
      <c r="A87" s="37" t="s">
        <v>160</v>
      </c>
      <c r="B87" s="38"/>
      <c r="C87" s="39"/>
      <c r="D87" s="39"/>
      <c r="E87" s="39"/>
      <c r="F87" s="39"/>
      <c r="G87" s="39"/>
      <c r="H87" s="39"/>
      <c r="I87" s="39"/>
      <c r="J87" s="39"/>
      <c r="K87" s="63"/>
      <c r="L87" s="206">
        <f t="shared" ref="L87:Y87" si="35">L86</f>
        <v>2.9796216359494587</v>
      </c>
      <c r="M87" s="207">
        <f t="shared" si="35"/>
        <v>6.6590498985850246</v>
      </c>
      <c r="N87" s="207">
        <f t="shared" si="35"/>
        <v>9.3937329355254953</v>
      </c>
      <c r="O87" s="207">
        <f t="shared" si="35"/>
        <v>11.815592437748149</v>
      </c>
      <c r="P87" s="207">
        <f t="shared" si="35"/>
        <v>12.534285987853202</v>
      </c>
      <c r="Q87" s="207">
        <f t="shared" si="35"/>
        <v>23.599266437601273</v>
      </c>
      <c r="R87" s="207">
        <f t="shared" si="35"/>
        <v>49.779972972921911</v>
      </c>
      <c r="S87" s="207">
        <f t="shared" si="35"/>
        <v>108.90640436467176</v>
      </c>
      <c r="T87" s="207">
        <f t="shared" si="35"/>
        <v>220.70535714285711</v>
      </c>
      <c r="U87" s="207">
        <f t="shared" si="35"/>
        <v>322.92231652302479</v>
      </c>
      <c r="V87" s="207">
        <f t="shared" si="35"/>
        <v>573.20080200802715</v>
      </c>
      <c r="W87" s="207">
        <f t="shared" si="35"/>
        <v>1576.9999999999995</v>
      </c>
      <c r="X87" s="207">
        <f t="shared" si="35"/>
        <v>4145.4455784766114</v>
      </c>
      <c r="Y87" s="207">
        <f t="shared" si="35"/>
        <v>14658.884770024193</v>
      </c>
      <c r="Z87" s="198">
        <f>MAX(Z86-($L$76*$B$69)*(2^(((Z75 - 42) - $L$75)/HLOOKUP((Z75-42)-$B$72,$L$99:$AO$101,3,TRUE)))-Z89,0)</f>
        <v>58944.211012749765</v>
      </c>
      <c r="AA87" s="198">
        <f t="shared" ref="AA87:AC87" si="36">MAX(AA86-($L$76*$B$69)*(2^(((AA75 - 42) - $L$75)/HLOOKUP((AA75-42)-$B$72,$L$99:$AO$101,3,TRUE)))-AA89,0)</f>
        <v>73515.898416943528</v>
      </c>
      <c r="AB87" s="198">
        <f t="shared" si="36"/>
        <v>107241.12994546359</v>
      </c>
      <c r="AC87" s="198">
        <f t="shared" si="36"/>
        <v>120206.88972412996</v>
      </c>
      <c r="AD87" s="198">
        <f t="shared" ref="AD87:AN87" si="37">MAX(AD86-($L$76*$B$69)*(2^(((AD75 - 42) - $L$75)/HLOOKUP((AD75-42)-$B$72,$L$99:$AO$101,3,TRUE)))-AD89,0)</f>
        <v>124729.6269601144</v>
      </c>
      <c r="AE87" s="198">
        <f t="shared" si="37"/>
        <v>2540299.3414317681</v>
      </c>
      <c r="AF87" s="198">
        <f t="shared" si="37"/>
        <v>2357362.6716567781</v>
      </c>
      <c r="AG87" s="198">
        <f t="shared" si="37"/>
        <v>3390037.4889726676</v>
      </c>
      <c r="AH87" s="198">
        <f t="shared" si="37"/>
        <v>5409143.618685768</v>
      </c>
      <c r="AI87" s="242">
        <f t="shared" si="37"/>
        <v>9090425.6472894959</v>
      </c>
      <c r="AJ87" s="203">
        <f t="shared" si="37"/>
        <v>15790740.337351831</v>
      </c>
      <c r="AK87" s="203">
        <f t="shared" si="37"/>
        <v>28307863.446686402</v>
      </c>
      <c r="AL87" s="203">
        <f t="shared" si="37"/>
        <v>51871447.396420293</v>
      </c>
      <c r="AM87" s="204">
        <f t="shared" si="37"/>
        <v>96571108.216303408</v>
      </c>
      <c r="AN87" s="199">
        <f t="shared" si="37"/>
        <v>0</v>
      </c>
      <c r="AO87" s="247"/>
      <c r="AP87" s="45"/>
      <c r="AQ87" s="45"/>
      <c r="AR87" s="69"/>
    </row>
    <row r="88" spans="1:44" x14ac:dyDescent="0.25">
      <c r="A88" s="62" t="s">
        <v>112</v>
      </c>
      <c r="B88" s="9"/>
      <c r="C88" s="9"/>
      <c r="D88" s="9"/>
      <c r="E88" s="9"/>
      <c r="F88" s="9"/>
      <c r="G88" s="9"/>
      <c r="H88" s="9"/>
      <c r="I88" s="9"/>
      <c r="J88" s="9"/>
      <c r="K88" s="5"/>
      <c r="L88" s="225">
        <f>(1*$B$70)*(2^(((L75 - 14) -$B$72)/$L$101))</f>
        <v>0.35133142435370507</v>
      </c>
      <c r="M88" s="222">
        <f>(1*$B$70)*(2^(((M75 - 14) -$B$72)/$L$101))</f>
        <v>0.8793994084295168</v>
      </c>
      <c r="N88" s="222">
        <f>(1*$B$70)*(2^(((N75 - 14) -$B$72)/$L$101))</f>
        <v>1.2405438181505943</v>
      </c>
      <c r="O88" s="222">
        <f>(1*$B$70)*(2^(((O75 - 14) -$B$72)/$L$101))</f>
        <v>1.5603765038925292</v>
      </c>
      <c r="P88" s="211">
        <f t="shared" ref="P88:Z88" si="38">($L$76*$B$70)*(2^(((P75 - 14) - $L$75)/HLOOKUP((P75-14)-$B$72,$L$99:$AO$101,3,TRUE)))</f>
        <v>1.9653383070069901</v>
      </c>
      <c r="Q88" s="211">
        <f t="shared" si="38"/>
        <v>2.7724470405161594</v>
      </c>
      <c r="R88" s="211">
        <f t="shared" si="38"/>
        <v>3.0357142857142851</v>
      </c>
      <c r="S88" s="211">
        <f t="shared" si="38"/>
        <v>3.5840256691447028</v>
      </c>
      <c r="T88" s="211">
        <f t="shared" si="38"/>
        <v>6.2103332730529663</v>
      </c>
      <c r="U88" s="211">
        <f t="shared" si="38"/>
        <v>11.368617573959821</v>
      </c>
      <c r="V88" s="211">
        <f t="shared" si="38"/>
        <v>24.151785714285708</v>
      </c>
      <c r="W88" s="211">
        <f t="shared" si="38"/>
        <v>58.080357142857132</v>
      </c>
      <c r="X88" s="211">
        <f t="shared" si="38"/>
        <v>123.66071428571428</v>
      </c>
      <c r="Y88" s="211">
        <f t="shared" si="38"/>
        <v>514.38422097436683</v>
      </c>
      <c r="Z88" s="211">
        <f t="shared" si="38"/>
        <v>5547.1428571428523</v>
      </c>
      <c r="AA88" s="211">
        <f t="shared" ref="AA88:AC88" si="39">($L$76*$B$70)*(2^(((AA75 - 14) - $L$75)/HLOOKUP((AA75-14)-$B$72,$L$99:$AO$101,3,TRUE)))</f>
        <v>16970.198388685531</v>
      </c>
      <c r="AB88" s="211">
        <f t="shared" si="39"/>
        <v>23789.241071428591</v>
      </c>
      <c r="AC88" s="211">
        <f t="shared" si="39"/>
        <v>34285.714285714246</v>
      </c>
      <c r="AD88" s="211">
        <f t="shared" ref="AD88:AN88" si="40">($L$76*$B$70)*(2^(((AD75 - 14) - $L$75)/HLOOKUP((AD75-14)-$B$72,$L$99:$AO$101,3,TRUE)))</f>
        <v>39999.999999999978</v>
      </c>
      <c r="AE88" s="211">
        <f t="shared" si="40"/>
        <v>303499.238702456</v>
      </c>
      <c r="AF88" s="211">
        <f t="shared" si="40"/>
        <v>407728.99342218047</v>
      </c>
      <c r="AG88" s="211">
        <f t="shared" si="40"/>
        <v>646855.38620030426</v>
      </c>
      <c r="AH88" s="211">
        <f t="shared" si="40"/>
        <v>1111773.1274386332</v>
      </c>
      <c r="AI88" s="239">
        <f t="shared" si="40"/>
        <v>1998135.9171056338</v>
      </c>
      <c r="AJ88" s="208">
        <f t="shared" si="40"/>
        <v>3691123.5083777867</v>
      </c>
      <c r="AK88" s="208">
        <f t="shared" si="40"/>
        <v>6942965.0235961871</v>
      </c>
      <c r="AL88" s="208">
        <f t="shared" si="40"/>
        <v>13224424.573383138</v>
      </c>
      <c r="AM88" s="209">
        <f t="shared" si="40"/>
        <v>25417883.243982922</v>
      </c>
      <c r="AN88" s="208">
        <f t="shared" si="40"/>
        <v>49184946.382907823</v>
      </c>
      <c r="AO88" s="245">
        <f>AO76*B70</f>
        <v>1156979.2500000002</v>
      </c>
      <c r="AP88" s="45"/>
      <c r="AQ88" s="45"/>
      <c r="AR88" s="69"/>
    </row>
    <row r="89" spans="1:44" x14ac:dyDescent="0.25">
      <c r="A89" s="37" t="s">
        <v>161</v>
      </c>
      <c r="B89" s="38"/>
      <c r="C89" s="39"/>
      <c r="D89" s="39"/>
      <c r="E89" s="39"/>
      <c r="F89" s="39"/>
      <c r="G89" s="39"/>
      <c r="H89" s="39"/>
      <c r="I89" s="39"/>
      <c r="J89" s="39"/>
      <c r="K89" s="63"/>
      <c r="L89" s="206">
        <f t="shared" ref="L89:W89" si="41">L88</f>
        <v>0.35133142435370507</v>
      </c>
      <c r="M89" s="207">
        <f t="shared" si="41"/>
        <v>0.8793994084295168</v>
      </c>
      <c r="N89" s="207">
        <f t="shared" si="41"/>
        <v>1.2405438181505943</v>
      </c>
      <c r="O89" s="207">
        <f t="shared" si="41"/>
        <v>1.5603765038925292</v>
      </c>
      <c r="P89" s="207">
        <f t="shared" si="41"/>
        <v>1.9653383070069901</v>
      </c>
      <c r="Q89" s="207">
        <f t="shared" si="41"/>
        <v>2.7724470405161594</v>
      </c>
      <c r="R89" s="207">
        <f t="shared" si="41"/>
        <v>3.0357142857142851</v>
      </c>
      <c r="S89" s="207">
        <f t="shared" si="41"/>
        <v>3.5840256691447028</v>
      </c>
      <c r="T89" s="207">
        <f t="shared" si="41"/>
        <v>6.2103332730529663</v>
      </c>
      <c r="U89" s="207">
        <f t="shared" si="41"/>
        <v>11.368617573959821</v>
      </c>
      <c r="V89" s="207">
        <f t="shared" si="41"/>
        <v>24.151785714285708</v>
      </c>
      <c r="W89" s="207">
        <f t="shared" si="41"/>
        <v>58.080357142857132</v>
      </c>
      <c r="X89" s="205">
        <f>MAX(X88-($L$76*$B$70)*(2^(((X75 - 35) - $L$75)/HLOOKUP((X75-35)-$B$72,$L$99:$AO$101,3,TRUE))),0)</f>
        <v>121.90833273345505</v>
      </c>
      <c r="Y89" s="205">
        <f>MAX(Y88-($L$76*$B$70)*(2^(((Y75 - 35) - $L$75)/HLOOKUP((Y75-35)-$B$72,$L$99:$AO$101,3,TRUE))),0)</f>
        <v>511.27485454338046</v>
      </c>
      <c r="Z89" s="205">
        <f>MAX(Z88-($L$76*$B$70)*(2^(((Z75 - 35) - $L$75)/HLOOKUP((Z75-35)-$B$72,$L$99:$AO$101,3,TRUE))),0)</f>
        <v>5534.0428642552415</v>
      </c>
      <c r="AA89" s="205">
        <f t="shared" ref="AA89:AC89" si="42">MAX(AA88-($L$76*$B$70)*(2^(((AA75 - 35) - $L$75)/HLOOKUP((AA75-35)-$B$72,$L$99:$AO$101,3,TRUE))),0)</f>
        <v>16846.537674399817</v>
      </c>
      <c r="AB89" s="205">
        <f t="shared" si="42"/>
        <v>22698.334340250534</v>
      </c>
      <c r="AC89" s="205">
        <f t="shared" si="42"/>
        <v>28738.571428571395</v>
      </c>
      <c r="AD89" s="205">
        <f t="shared" ref="AD89:AN89" si="43">MAX(AD88-($L$76*$B$70)*(2^(((AD75 - 35) - $L$75)/HLOOKUP((AD75-35)-$B$72,$L$99:$AO$101,3,TRUE))),0)</f>
        <v>23029.801611314448</v>
      </c>
      <c r="AE89" s="205">
        <f t="shared" si="43"/>
        <v>260527.81013102736</v>
      </c>
      <c r="AF89" s="205">
        <f t="shared" si="43"/>
        <v>0</v>
      </c>
      <c r="AG89" s="205">
        <f t="shared" si="43"/>
        <v>0</v>
      </c>
      <c r="AH89" s="205">
        <f t="shared" si="43"/>
        <v>0</v>
      </c>
      <c r="AI89" s="242">
        <f t="shared" si="43"/>
        <v>98046.785514418036</v>
      </c>
      <c r="AJ89" s="203">
        <f t="shared" si="43"/>
        <v>453903.19531671144</v>
      </c>
      <c r="AK89" s="203">
        <f t="shared" si="43"/>
        <v>1195748.1550266296</v>
      </c>
      <c r="AL89" s="203">
        <f t="shared" si="43"/>
        <v>2740541.0404434446</v>
      </c>
      <c r="AM89" s="204">
        <f t="shared" si="43"/>
        <v>5930438.3747900128</v>
      </c>
      <c r="AN89" s="199">
        <f t="shared" si="43"/>
        <v>12466542.331179872</v>
      </c>
      <c r="AO89" s="245"/>
      <c r="AP89" s="45"/>
      <c r="AQ89" s="45"/>
      <c r="AR89" s="69"/>
    </row>
    <row r="90" spans="1:44" x14ac:dyDescent="0.25">
      <c r="A90" s="41" t="s">
        <v>56</v>
      </c>
      <c r="B90" s="15"/>
      <c r="C90" s="16"/>
      <c r="D90" s="16"/>
      <c r="E90" s="16"/>
      <c r="F90" s="16"/>
      <c r="G90" s="16"/>
      <c r="H90" s="16"/>
      <c r="I90" s="16"/>
      <c r="J90" s="16"/>
      <c r="K90" s="16"/>
      <c r="L90" s="226">
        <f t="shared" ref="L90:AN90" si="44">L76*$B$71</f>
        <v>1.25</v>
      </c>
      <c r="M90" s="227">
        <f t="shared" si="44"/>
        <v>2.5</v>
      </c>
      <c r="N90" s="227">
        <f t="shared" si="44"/>
        <v>5</v>
      </c>
      <c r="O90" s="227">
        <f t="shared" si="44"/>
        <v>10</v>
      </c>
      <c r="P90" s="227">
        <f t="shared" si="44"/>
        <v>20</v>
      </c>
      <c r="Q90" s="227">
        <f t="shared" si="44"/>
        <v>40</v>
      </c>
      <c r="R90" s="227">
        <f t="shared" si="44"/>
        <v>80</v>
      </c>
      <c r="S90" s="227">
        <f t="shared" si="44"/>
        <v>160</v>
      </c>
      <c r="T90" s="227">
        <f t="shared" si="44"/>
        <v>320</v>
      </c>
      <c r="U90" s="227">
        <f t="shared" si="44"/>
        <v>640</v>
      </c>
      <c r="V90" s="227">
        <f t="shared" si="44"/>
        <v>1280</v>
      </c>
      <c r="W90" s="227">
        <f t="shared" si="44"/>
        <v>2560</v>
      </c>
      <c r="X90" s="227">
        <f t="shared" si="44"/>
        <v>5120</v>
      </c>
      <c r="Y90" s="227">
        <f t="shared" si="44"/>
        <v>10240</v>
      </c>
      <c r="Z90" s="227">
        <f t="shared" si="44"/>
        <v>20480</v>
      </c>
      <c r="AA90" s="227">
        <f t="shared" ref="AA90:AC90" si="45">AA76*$B$71</f>
        <v>30720</v>
      </c>
      <c r="AB90" s="227">
        <f t="shared" si="45"/>
        <v>35840</v>
      </c>
      <c r="AC90" s="227">
        <f t="shared" si="45"/>
        <v>38502.400000000001</v>
      </c>
      <c r="AD90" s="227">
        <f t="shared" si="44"/>
        <v>40960</v>
      </c>
      <c r="AE90" s="227">
        <f t="shared" si="44"/>
        <v>81920</v>
      </c>
      <c r="AF90" s="227">
        <f t="shared" si="44"/>
        <v>163840</v>
      </c>
      <c r="AG90" s="227">
        <f t="shared" si="44"/>
        <v>327680</v>
      </c>
      <c r="AH90" s="227">
        <f t="shared" si="44"/>
        <v>655360</v>
      </c>
      <c r="AI90" s="241">
        <f t="shared" ref="AI90:AM90" si="46">AI76*$B$71</f>
        <v>1310720</v>
      </c>
      <c r="AJ90" s="199">
        <f t="shared" si="46"/>
        <v>2621440</v>
      </c>
      <c r="AK90" s="199">
        <f t="shared" si="46"/>
        <v>5242880</v>
      </c>
      <c r="AL90" s="199">
        <f t="shared" si="46"/>
        <v>10485760</v>
      </c>
      <c r="AM90" s="200">
        <f t="shared" si="46"/>
        <v>13222620</v>
      </c>
      <c r="AN90" s="208">
        <f t="shared" si="44"/>
        <v>13222620</v>
      </c>
      <c r="AO90" s="245">
        <f>AO76*B71</f>
        <v>925583.40000000014</v>
      </c>
      <c r="AP90" s="45"/>
      <c r="AQ90" s="45"/>
      <c r="AR90" s="69"/>
    </row>
    <row r="91" spans="1:44" x14ac:dyDescent="0.25">
      <c r="A91" s="37" t="s">
        <v>55</v>
      </c>
      <c r="B91" s="38"/>
      <c r="C91" s="39"/>
      <c r="D91" s="39"/>
      <c r="E91" s="39"/>
      <c r="F91" s="39"/>
      <c r="G91" s="39"/>
      <c r="H91" s="39"/>
      <c r="I91" s="39"/>
      <c r="J91" s="39"/>
      <c r="K91" s="39"/>
      <c r="L91" s="201"/>
      <c r="M91" s="202"/>
      <c r="N91" s="202"/>
      <c r="O91" s="202"/>
      <c r="P91" s="202"/>
      <c r="Q91" s="202"/>
      <c r="R91" s="202"/>
      <c r="S91" s="202"/>
      <c r="T91" s="202"/>
      <c r="U91" s="202"/>
      <c r="V91" s="202"/>
      <c r="W91" s="202"/>
      <c r="X91" s="210">
        <f>($L$76*$B$71)*(2^(((X75-35)-$L$75)/HLOOKUP((X75-35)-$B$72,$L$99:$AO$101,3,TRUE)))</f>
        <v>1.4019052418073734</v>
      </c>
      <c r="Y91" s="210">
        <f>($L$76*$B$71)*(2^(((Y75-35)-$L$75)/HLOOKUP((Y75-35)-$B$72,$L$99:$AO$101,3,TRUE)))</f>
        <v>2.487493144789084</v>
      </c>
      <c r="Z91" s="210">
        <f>($L$76*$B$71)*(2^(((Z75-35)-$L$75)/HLOOKUP((Z75-35)-$B$72,$L$99:$AO$101,3,TRUE)))</f>
        <v>10.479994310088824</v>
      </c>
      <c r="AA91" s="210">
        <f t="shared" ref="AA91:AC91" si="47">($L$76*$B$71)*(2^(((AA75-35)-$L$75)/HLOOKUP((AA75-35)-$B$72,$L$99:$AO$101,3,TRUE)))</f>
        <v>98.928571428571416</v>
      </c>
      <c r="AB91" s="210">
        <f t="shared" si="47"/>
        <v>872.72538494244441</v>
      </c>
      <c r="AC91" s="210">
        <f t="shared" si="47"/>
        <v>4437.7142857142817</v>
      </c>
      <c r="AD91" s="210">
        <f t="shared" ref="AD91:AN91" si="48">($L$76*$B$71)*(2^(((AD75-35)-$L$75)/HLOOKUP((AD75-35)-$B$72,$L$99:$AO$101,3,TRUE)))</f>
        <v>13576.158710948423</v>
      </c>
      <c r="AE91" s="210">
        <f t="shared" si="48"/>
        <v>34377.142857142913</v>
      </c>
      <c r="AF91" s="210">
        <f t="shared" si="48"/>
        <v>613226.76875006221</v>
      </c>
      <c r="AG91" s="210">
        <f t="shared" si="48"/>
        <v>675191.6926365589</v>
      </c>
      <c r="AH91" s="210">
        <f t="shared" si="48"/>
        <v>954037.61485363636</v>
      </c>
      <c r="AI91" s="242">
        <f t="shared" si="48"/>
        <v>1520071.3052729727</v>
      </c>
      <c r="AJ91" s="203">
        <f t="shared" si="48"/>
        <v>2589776.2504488602</v>
      </c>
      <c r="AK91" s="203">
        <f t="shared" si="48"/>
        <v>4597773.494855646</v>
      </c>
      <c r="AL91" s="203">
        <f t="shared" si="48"/>
        <v>8387106.8263517544</v>
      </c>
      <c r="AM91" s="204">
        <f t="shared" si="48"/>
        <v>15589955.895354329</v>
      </c>
      <c r="AN91" s="203">
        <f t="shared" si="48"/>
        <v>29374723.24138236</v>
      </c>
      <c r="AO91" s="248">
        <f>($L$76*$B$71)*(2^(((AO75 - 35) - $L$75)/AO101))</f>
        <v>3036753.6517916312</v>
      </c>
      <c r="AP91" s="45"/>
      <c r="AQ91" s="45"/>
      <c r="AR91" s="69"/>
    </row>
    <row r="92" spans="1:44" s="69" customFormat="1" hidden="1" x14ac:dyDescent="0.25">
      <c r="A92" s="48" t="s">
        <v>106</v>
      </c>
      <c r="B92" s="25"/>
      <c r="C92" s="47"/>
      <c r="D92" s="47"/>
      <c r="E92" s="47"/>
      <c r="F92" s="47"/>
      <c r="G92" s="47"/>
      <c r="H92" s="47"/>
      <c r="I92" s="47"/>
      <c r="J92" s="47"/>
      <c r="K92" s="47"/>
      <c r="L92" s="150">
        <f t="shared" ref="L92:AN92" si="49">L75-7</f>
        <v>43875</v>
      </c>
      <c r="M92" s="150">
        <f t="shared" si="49"/>
        <v>43883</v>
      </c>
      <c r="N92" s="150">
        <f t="shared" si="49"/>
        <v>43886</v>
      </c>
      <c r="O92" s="150">
        <f t="shared" si="49"/>
        <v>43888</v>
      </c>
      <c r="P92" s="150">
        <f t="shared" si="49"/>
        <v>43891</v>
      </c>
      <c r="Q92" s="150">
        <f t="shared" si="49"/>
        <v>43894</v>
      </c>
      <c r="R92" s="150">
        <f t="shared" si="49"/>
        <v>43897</v>
      </c>
      <c r="S92" s="150">
        <f t="shared" si="49"/>
        <v>43899</v>
      </c>
      <c r="T92" s="150">
        <f t="shared" si="49"/>
        <v>43901</v>
      </c>
      <c r="U92" s="150">
        <f t="shared" si="49"/>
        <v>43903</v>
      </c>
      <c r="V92" s="150">
        <f t="shared" si="49"/>
        <v>43905</v>
      </c>
      <c r="W92" s="150">
        <f t="shared" si="49"/>
        <v>43908</v>
      </c>
      <c r="X92" s="150">
        <f t="shared" si="49"/>
        <v>43911</v>
      </c>
      <c r="Y92" s="150">
        <f t="shared" si="49"/>
        <v>43916</v>
      </c>
      <c r="Z92" s="150">
        <f t="shared" si="49"/>
        <v>43925</v>
      </c>
      <c r="AA92" s="150"/>
      <c r="AB92" s="150"/>
      <c r="AC92" s="150"/>
      <c r="AD92" s="150">
        <f t="shared" si="49"/>
        <v>43953</v>
      </c>
      <c r="AE92" s="150">
        <f t="shared" si="49"/>
        <v>43981</v>
      </c>
      <c r="AF92" s="150">
        <f t="shared" si="49"/>
        <v>44009</v>
      </c>
      <c r="AG92" s="150">
        <f t="shared" si="49"/>
        <v>44037</v>
      </c>
      <c r="AH92" s="150">
        <f t="shared" si="49"/>
        <v>44065</v>
      </c>
      <c r="AI92" s="150"/>
      <c r="AJ92" s="150"/>
      <c r="AK92" s="150"/>
      <c r="AL92" s="150"/>
      <c r="AM92" s="150"/>
      <c r="AN92" s="150">
        <f t="shared" si="49"/>
        <v>44233</v>
      </c>
      <c r="AO92" s="150"/>
      <c r="AP92" s="45"/>
      <c r="AQ92" s="45"/>
    </row>
    <row r="93" spans="1:44" s="69" customFormat="1" hidden="1" x14ac:dyDescent="0.25">
      <c r="A93" s="48" t="s">
        <v>104</v>
      </c>
      <c r="B93" s="25"/>
      <c r="C93" s="47"/>
      <c r="D93" s="47"/>
      <c r="E93" s="47"/>
      <c r="F93" s="47"/>
      <c r="G93" s="47"/>
      <c r="H93" s="47"/>
      <c r="I93" s="47"/>
      <c r="J93" s="47"/>
      <c r="K93" s="47"/>
      <c r="L93" s="150">
        <f t="shared" ref="L93:AN93" si="50">L75-14</f>
        <v>43868</v>
      </c>
      <c r="M93" s="150">
        <f t="shared" si="50"/>
        <v>43876</v>
      </c>
      <c r="N93" s="150">
        <f t="shared" si="50"/>
        <v>43879</v>
      </c>
      <c r="O93" s="150">
        <f t="shared" si="50"/>
        <v>43881</v>
      </c>
      <c r="P93" s="150">
        <f t="shared" si="50"/>
        <v>43884</v>
      </c>
      <c r="Q93" s="150">
        <f t="shared" si="50"/>
        <v>43887</v>
      </c>
      <c r="R93" s="150">
        <f t="shared" si="50"/>
        <v>43890</v>
      </c>
      <c r="S93" s="150">
        <f t="shared" si="50"/>
        <v>43892</v>
      </c>
      <c r="T93" s="150">
        <f t="shared" si="50"/>
        <v>43894</v>
      </c>
      <c r="U93" s="150">
        <f t="shared" si="50"/>
        <v>43896</v>
      </c>
      <c r="V93" s="150">
        <f t="shared" si="50"/>
        <v>43898</v>
      </c>
      <c r="W93" s="150">
        <f t="shared" si="50"/>
        <v>43901</v>
      </c>
      <c r="X93" s="150">
        <f t="shared" si="50"/>
        <v>43904</v>
      </c>
      <c r="Y93" s="150">
        <f t="shared" si="50"/>
        <v>43909</v>
      </c>
      <c r="Z93" s="150">
        <f t="shared" si="50"/>
        <v>43918</v>
      </c>
      <c r="AA93" s="150"/>
      <c r="AB93" s="150"/>
      <c r="AC93" s="150"/>
      <c r="AD93" s="150">
        <f t="shared" si="50"/>
        <v>43946</v>
      </c>
      <c r="AE93" s="150">
        <f t="shared" si="50"/>
        <v>43974</v>
      </c>
      <c r="AF93" s="150">
        <f t="shared" si="50"/>
        <v>44002</v>
      </c>
      <c r="AG93" s="150">
        <f t="shared" si="50"/>
        <v>44030</v>
      </c>
      <c r="AH93" s="150">
        <f t="shared" si="50"/>
        <v>44058</v>
      </c>
      <c r="AI93" s="150"/>
      <c r="AJ93" s="150"/>
      <c r="AK93" s="150"/>
      <c r="AL93" s="150"/>
      <c r="AM93" s="150"/>
      <c r="AN93" s="150">
        <f t="shared" si="50"/>
        <v>44226</v>
      </c>
      <c r="AO93" s="150"/>
      <c r="AP93" s="45"/>
      <c r="AQ93" s="45"/>
    </row>
    <row r="94" spans="1:44" s="69" customFormat="1" hidden="1" x14ac:dyDescent="0.25">
      <c r="A94" s="48" t="s">
        <v>107</v>
      </c>
      <c r="B94" s="25"/>
      <c r="C94" s="47"/>
      <c r="D94" s="47"/>
      <c r="E94" s="47"/>
      <c r="F94" s="47"/>
      <c r="G94" s="47"/>
      <c r="H94" s="47"/>
      <c r="I94" s="47"/>
      <c r="J94" s="47"/>
      <c r="K94" s="47"/>
      <c r="L94" s="150">
        <f t="shared" ref="L94:AN94" si="51">L75-(7*5)</f>
        <v>43847</v>
      </c>
      <c r="M94" s="150">
        <f t="shared" si="51"/>
        <v>43855</v>
      </c>
      <c r="N94" s="150">
        <f t="shared" si="51"/>
        <v>43858</v>
      </c>
      <c r="O94" s="150">
        <f t="shared" si="51"/>
        <v>43860</v>
      </c>
      <c r="P94" s="150">
        <f t="shared" si="51"/>
        <v>43863</v>
      </c>
      <c r="Q94" s="150">
        <f t="shared" si="51"/>
        <v>43866</v>
      </c>
      <c r="R94" s="150">
        <f t="shared" si="51"/>
        <v>43869</v>
      </c>
      <c r="S94" s="150">
        <f t="shared" si="51"/>
        <v>43871</v>
      </c>
      <c r="T94" s="150">
        <f t="shared" si="51"/>
        <v>43873</v>
      </c>
      <c r="U94" s="150">
        <f t="shared" si="51"/>
        <v>43875</v>
      </c>
      <c r="V94" s="150">
        <f t="shared" si="51"/>
        <v>43877</v>
      </c>
      <c r="W94" s="150">
        <f t="shared" si="51"/>
        <v>43880</v>
      </c>
      <c r="X94" s="150">
        <f t="shared" si="51"/>
        <v>43883</v>
      </c>
      <c r="Y94" s="150">
        <f t="shared" si="51"/>
        <v>43888</v>
      </c>
      <c r="Z94" s="150">
        <f t="shared" si="51"/>
        <v>43897</v>
      </c>
      <c r="AA94" s="150"/>
      <c r="AB94" s="150"/>
      <c r="AC94" s="150"/>
      <c r="AD94" s="150">
        <f t="shared" si="51"/>
        <v>43925</v>
      </c>
      <c r="AE94" s="150">
        <f t="shared" si="51"/>
        <v>43953</v>
      </c>
      <c r="AF94" s="150">
        <f t="shared" si="51"/>
        <v>43981</v>
      </c>
      <c r="AG94" s="150">
        <f t="shared" si="51"/>
        <v>44009</v>
      </c>
      <c r="AH94" s="150">
        <f t="shared" si="51"/>
        <v>44037</v>
      </c>
      <c r="AI94" s="150"/>
      <c r="AJ94" s="150"/>
      <c r="AK94" s="150"/>
      <c r="AL94" s="150"/>
      <c r="AM94" s="150"/>
      <c r="AN94" s="150">
        <f t="shared" si="51"/>
        <v>44205</v>
      </c>
      <c r="AO94" s="150"/>
      <c r="AP94" s="45"/>
      <c r="AQ94" s="45"/>
    </row>
    <row r="95" spans="1:44" s="69" customFormat="1" hidden="1" x14ac:dyDescent="0.25">
      <c r="A95" s="48" t="s">
        <v>105</v>
      </c>
      <c r="B95" s="25"/>
      <c r="C95" s="47"/>
      <c r="D95" s="47"/>
      <c r="E95" s="47"/>
      <c r="F95" s="47"/>
      <c r="G95" s="47"/>
      <c r="H95" s="47"/>
      <c r="I95" s="47"/>
      <c r="J95" s="47"/>
      <c r="K95" s="47"/>
      <c r="L95" s="150">
        <f t="shared" ref="L95:AN95" si="52">L75-(6*7)</f>
        <v>43840</v>
      </c>
      <c r="M95" s="150">
        <f t="shared" si="52"/>
        <v>43848</v>
      </c>
      <c r="N95" s="150">
        <f t="shared" si="52"/>
        <v>43851</v>
      </c>
      <c r="O95" s="150">
        <f t="shared" si="52"/>
        <v>43853</v>
      </c>
      <c r="P95" s="150">
        <f t="shared" si="52"/>
        <v>43856</v>
      </c>
      <c r="Q95" s="150">
        <f t="shared" si="52"/>
        <v>43859</v>
      </c>
      <c r="R95" s="150">
        <f t="shared" si="52"/>
        <v>43862</v>
      </c>
      <c r="S95" s="150">
        <f t="shared" si="52"/>
        <v>43864</v>
      </c>
      <c r="T95" s="150">
        <f t="shared" si="52"/>
        <v>43866</v>
      </c>
      <c r="U95" s="150">
        <f t="shared" si="52"/>
        <v>43868</v>
      </c>
      <c r="V95" s="150">
        <f t="shared" si="52"/>
        <v>43870</v>
      </c>
      <c r="W95" s="150">
        <f t="shared" si="52"/>
        <v>43873</v>
      </c>
      <c r="X95" s="150">
        <f t="shared" si="52"/>
        <v>43876</v>
      </c>
      <c r="Y95" s="150">
        <f t="shared" si="52"/>
        <v>43881</v>
      </c>
      <c r="Z95" s="150">
        <f t="shared" si="52"/>
        <v>43890</v>
      </c>
      <c r="AA95" s="150"/>
      <c r="AB95" s="150"/>
      <c r="AC95" s="150"/>
      <c r="AD95" s="150">
        <f t="shared" si="52"/>
        <v>43918</v>
      </c>
      <c r="AE95" s="150">
        <f t="shared" si="52"/>
        <v>43946</v>
      </c>
      <c r="AF95" s="150">
        <f t="shared" si="52"/>
        <v>43974</v>
      </c>
      <c r="AG95" s="150">
        <f t="shared" si="52"/>
        <v>44002</v>
      </c>
      <c r="AH95" s="150">
        <f t="shared" si="52"/>
        <v>44030</v>
      </c>
      <c r="AI95" s="150"/>
      <c r="AJ95" s="150"/>
      <c r="AK95" s="150"/>
      <c r="AL95" s="150"/>
      <c r="AM95" s="150"/>
      <c r="AN95" s="150">
        <f t="shared" si="52"/>
        <v>44198</v>
      </c>
      <c r="AO95" s="150"/>
      <c r="AP95" s="45"/>
      <c r="AQ95" s="45"/>
    </row>
    <row r="97" spans="1:41" x14ac:dyDescent="0.25">
      <c r="A97" s="53" t="s">
        <v>48</v>
      </c>
      <c r="B97" s="15"/>
      <c r="C97" s="16"/>
      <c r="D97" s="16"/>
      <c r="E97" s="16"/>
      <c r="F97" s="16"/>
      <c r="G97" s="16"/>
      <c r="H97" s="16"/>
      <c r="I97" s="16"/>
      <c r="J97" s="16"/>
      <c r="K97" s="16"/>
    </row>
    <row r="98" spans="1:41" s="69" customFormat="1" x14ac:dyDescent="0.25">
      <c r="A98" s="143" t="s">
        <v>102</v>
      </c>
      <c r="B98" s="25"/>
      <c r="C98" s="47"/>
      <c r="D98" s="47"/>
      <c r="E98" s="47"/>
      <c r="F98" s="47"/>
      <c r="G98" s="47"/>
      <c r="H98" s="47"/>
      <c r="I98" s="47"/>
      <c r="J98" s="47"/>
      <c r="K98" s="47"/>
      <c r="L98" s="141">
        <f t="shared" ref="L98:AO98" si="53">(L75-$B$72)/7</f>
        <v>4.4285714285714288</v>
      </c>
      <c r="M98" s="141">
        <f t="shared" si="53"/>
        <v>5.5714285714285712</v>
      </c>
      <c r="N98" s="145">
        <f t="shared" si="53"/>
        <v>6</v>
      </c>
      <c r="O98" s="145">
        <f t="shared" si="53"/>
        <v>6.2857142857142856</v>
      </c>
      <c r="P98" s="141">
        <f t="shared" si="53"/>
        <v>6.7142857142857144</v>
      </c>
      <c r="Q98" s="145">
        <f t="shared" si="53"/>
        <v>7.1428571428571432</v>
      </c>
      <c r="R98" s="141">
        <f t="shared" si="53"/>
        <v>7.5714285714285712</v>
      </c>
      <c r="S98" s="145">
        <f t="shared" si="53"/>
        <v>7.8571428571428568</v>
      </c>
      <c r="T98" s="145">
        <f t="shared" si="53"/>
        <v>8.1428571428571423</v>
      </c>
      <c r="U98" s="142">
        <f t="shared" si="53"/>
        <v>8.4285714285714288</v>
      </c>
      <c r="V98" s="145">
        <f t="shared" si="53"/>
        <v>8.7142857142857135</v>
      </c>
      <c r="W98" s="145">
        <f t="shared" si="53"/>
        <v>9.1428571428571423</v>
      </c>
      <c r="X98" s="141">
        <f t="shared" si="53"/>
        <v>9.5714285714285712</v>
      </c>
      <c r="Y98" s="142">
        <f t="shared" si="53"/>
        <v>10.285714285714286</v>
      </c>
      <c r="Z98" s="142">
        <f t="shared" si="53"/>
        <v>11.571428571428571</v>
      </c>
      <c r="AA98" s="144">
        <f t="shared" ref="AA98:AC98" si="54">(AA75-$B$72)/7</f>
        <v>12.571428571428571</v>
      </c>
      <c r="AB98" s="144">
        <f t="shared" si="54"/>
        <v>13.571428571428571</v>
      </c>
      <c r="AC98" s="144">
        <f t="shared" si="54"/>
        <v>14.571428571428571</v>
      </c>
      <c r="AD98" s="144">
        <f t="shared" si="53"/>
        <v>15.571428571428571</v>
      </c>
      <c r="AE98" s="144">
        <f t="shared" si="53"/>
        <v>19.571428571428573</v>
      </c>
      <c r="AF98" s="142">
        <f t="shared" si="53"/>
        <v>23.571428571428573</v>
      </c>
      <c r="AG98" s="144">
        <f t="shared" si="53"/>
        <v>27.571428571428573</v>
      </c>
      <c r="AH98" s="141">
        <f t="shared" si="53"/>
        <v>31.571428571428573</v>
      </c>
      <c r="AI98" s="141">
        <f t="shared" ref="AI98:AM98" si="55">(AI75-$B$72)/7</f>
        <v>35.571428571428569</v>
      </c>
      <c r="AJ98" s="141">
        <f t="shared" si="55"/>
        <v>39.571428571428569</v>
      </c>
      <c r="AK98" s="141">
        <f t="shared" si="55"/>
        <v>43.571428571428569</v>
      </c>
      <c r="AL98" s="141">
        <f t="shared" si="55"/>
        <v>47.571428571428569</v>
      </c>
      <c r="AM98" s="141">
        <f t="shared" si="55"/>
        <v>51.571428571428569</v>
      </c>
      <c r="AN98" s="144">
        <f t="shared" si="53"/>
        <v>55.571428571428569</v>
      </c>
      <c r="AO98" s="144">
        <f t="shared" si="53"/>
        <v>63.571428571428569</v>
      </c>
    </row>
    <row r="99" spans="1:41" s="69" customFormat="1" x14ac:dyDescent="0.25">
      <c r="A99" s="143" t="s">
        <v>101</v>
      </c>
      <c r="B99" s="25"/>
      <c r="C99" s="47"/>
      <c r="D99" s="47"/>
      <c r="E99" s="47"/>
      <c r="F99" s="47"/>
      <c r="G99" s="47"/>
      <c r="H99" s="47"/>
      <c r="I99" s="47"/>
      <c r="J99" s="47"/>
      <c r="K99" s="47"/>
      <c r="L99" s="280">
        <f>L75-$B$72</f>
        <v>31</v>
      </c>
      <c r="M99" s="234">
        <f t="shared" ref="M99:Q99" si="56">M75-$B$72</f>
        <v>39</v>
      </c>
      <c r="N99" s="234">
        <f t="shared" si="56"/>
        <v>42</v>
      </c>
      <c r="O99" s="234">
        <f t="shared" si="56"/>
        <v>44</v>
      </c>
      <c r="P99" s="234">
        <f t="shared" si="56"/>
        <v>47</v>
      </c>
      <c r="Q99" s="234">
        <f t="shared" si="56"/>
        <v>50</v>
      </c>
      <c r="R99" s="234">
        <f>R75-$B$72</f>
        <v>53</v>
      </c>
      <c r="S99" s="234">
        <f t="shared" ref="S99:AO99" si="57">S75-$B$72</f>
        <v>55</v>
      </c>
      <c r="T99" s="234">
        <f t="shared" si="57"/>
        <v>57</v>
      </c>
      <c r="U99" s="234">
        <f t="shared" si="57"/>
        <v>59</v>
      </c>
      <c r="V99" s="234">
        <f t="shared" si="57"/>
        <v>61</v>
      </c>
      <c r="W99" s="234">
        <f t="shared" si="57"/>
        <v>64</v>
      </c>
      <c r="X99" s="234">
        <f t="shared" si="57"/>
        <v>67</v>
      </c>
      <c r="Y99" s="234">
        <f t="shared" si="57"/>
        <v>72</v>
      </c>
      <c r="Z99" s="234">
        <f t="shared" si="57"/>
        <v>81</v>
      </c>
      <c r="AA99" s="234">
        <f t="shared" ref="AA99:AC99" si="58">AA75-$B$72</f>
        <v>88</v>
      </c>
      <c r="AB99" s="234">
        <f t="shared" si="58"/>
        <v>95</v>
      </c>
      <c r="AC99" s="234">
        <f t="shared" si="58"/>
        <v>102</v>
      </c>
      <c r="AD99" s="234">
        <f t="shared" si="57"/>
        <v>109</v>
      </c>
      <c r="AE99" s="234">
        <f t="shared" si="57"/>
        <v>137</v>
      </c>
      <c r="AF99" s="234">
        <f t="shared" si="57"/>
        <v>165</v>
      </c>
      <c r="AG99" s="234">
        <f t="shared" si="57"/>
        <v>193</v>
      </c>
      <c r="AH99" s="235">
        <f t="shared" si="57"/>
        <v>221</v>
      </c>
      <c r="AI99" s="265">
        <f t="shared" ref="AI99:AM99" si="59">AI75-$B$72</f>
        <v>249</v>
      </c>
      <c r="AJ99" s="191">
        <f t="shared" si="59"/>
        <v>277</v>
      </c>
      <c r="AK99" s="191">
        <f t="shared" si="59"/>
        <v>305</v>
      </c>
      <c r="AL99" s="191">
        <f t="shared" si="59"/>
        <v>333</v>
      </c>
      <c r="AM99" s="191">
        <f t="shared" si="59"/>
        <v>361</v>
      </c>
      <c r="AN99" s="191">
        <f t="shared" si="57"/>
        <v>389</v>
      </c>
      <c r="AO99" s="191">
        <f t="shared" si="57"/>
        <v>445</v>
      </c>
    </row>
    <row r="100" spans="1:41" x14ac:dyDescent="0.25">
      <c r="A100" s="41" t="s">
        <v>42</v>
      </c>
      <c r="B100" s="16"/>
      <c r="C100" s="16"/>
      <c r="D100" s="16"/>
      <c r="E100" s="16"/>
      <c r="F100" s="16"/>
      <c r="G100" s="16"/>
      <c r="H100" s="16"/>
      <c r="I100" s="16"/>
      <c r="J100" s="16"/>
      <c r="K100" s="16"/>
      <c r="L100" s="146">
        <v>35</v>
      </c>
      <c r="M100" s="147">
        <v>68</v>
      </c>
      <c r="N100" s="148">
        <v>124</v>
      </c>
      <c r="O100" s="148">
        <v>221</v>
      </c>
      <c r="P100" s="148">
        <v>541</v>
      </c>
      <c r="Q100" s="148">
        <v>1301</v>
      </c>
      <c r="R100" s="148">
        <v>2770</v>
      </c>
      <c r="S100" s="148">
        <v>4596</v>
      </c>
      <c r="T100" s="148">
        <v>9296</v>
      </c>
      <c r="U100" s="148">
        <v>19497</v>
      </c>
      <c r="V100" s="148">
        <v>33745</v>
      </c>
      <c r="W100" s="148">
        <v>68673</v>
      </c>
      <c r="X100" s="148">
        <v>124256</v>
      </c>
      <c r="Y100" s="148">
        <v>246729</v>
      </c>
      <c r="Z100" s="148">
        <v>532879</v>
      </c>
      <c r="AA100" s="183">
        <v>768000</v>
      </c>
      <c r="AB100" s="183">
        <v>896000</v>
      </c>
      <c r="AC100" s="183">
        <v>962560</v>
      </c>
      <c r="AD100" s="183">
        <f>Z100*2</f>
        <v>1065758</v>
      </c>
      <c r="AE100" s="183">
        <f t="shared" ref="AE100:AH100" si="60">AD100*2</f>
        <v>2131516</v>
      </c>
      <c r="AF100" s="183">
        <f t="shared" si="60"/>
        <v>4263032</v>
      </c>
      <c r="AG100" s="183">
        <f t="shared" si="60"/>
        <v>8526064</v>
      </c>
      <c r="AH100" s="183">
        <f t="shared" si="60"/>
        <v>17052128</v>
      </c>
      <c r="AI100" s="187">
        <f t="shared" ref="AI100" si="61">AH100*2</f>
        <v>34104256</v>
      </c>
      <c r="AJ100" s="187">
        <f t="shared" ref="AJ100" si="62">AI100*2</f>
        <v>68208512</v>
      </c>
      <c r="AK100" s="187">
        <f t="shared" ref="AK100" si="63">AJ100*2</f>
        <v>136417024</v>
      </c>
      <c r="AL100" s="187">
        <f t="shared" ref="AL100" si="64">AK100*2</f>
        <v>272834048</v>
      </c>
      <c r="AM100" s="187">
        <f t="shared" ref="AM100" si="65">AL100*2</f>
        <v>545668096</v>
      </c>
      <c r="AN100" s="187">
        <f>AN76</f>
        <v>330565500</v>
      </c>
      <c r="AO100" s="188">
        <f>AN76</f>
        <v>330565500</v>
      </c>
    </row>
    <row r="101" spans="1:41" x14ac:dyDescent="0.25">
      <c r="A101" s="41" t="s">
        <v>158</v>
      </c>
      <c r="B101" s="16"/>
      <c r="C101" s="16"/>
      <c r="D101" s="16"/>
      <c r="E101" s="16"/>
      <c r="F101" s="16"/>
      <c r="G101" s="16"/>
      <c r="H101" s="16"/>
      <c r="I101" s="16"/>
      <c r="J101" s="16"/>
      <c r="K101" s="16"/>
      <c r="L101" s="194">
        <f>(L75-B72)/(LOG(L100/1)/LOG(2))</f>
        <v>6.0437296787073755</v>
      </c>
      <c r="M101" s="174">
        <f>(M75-$L$75)/(LOG(M100/$L$100)/LOG(2))</f>
        <v>8.3491634837954933</v>
      </c>
      <c r="N101" s="174">
        <f t="shared" ref="N101:AO101" si="66">(N75-$L$75)/(LOG(N100/$L$100)/LOG(2))</f>
        <v>6.0276836381926202</v>
      </c>
      <c r="O101" s="174">
        <f t="shared" si="66"/>
        <v>4.8897556767514709</v>
      </c>
      <c r="P101" s="174">
        <f t="shared" si="66"/>
        <v>4.0504260147273037</v>
      </c>
      <c r="Q101" s="174">
        <f t="shared" si="66"/>
        <v>3.6425526786068976</v>
      </c>
      <c r="R101" s="174">
        <f t="shared" si="66"/>
        <v>3.4885266554096432</v>
      </c>
      <c r="S101" s="174">
        <f t="shared" si="66"/>
        <v>3.4106023942314652</v>
      </c>
      <c r="T101" s="174">
        <f t="shared" si="66"/>
        <v>3.2285658193110911</v>
      </c>
      <c r="U101" s="174">
        <f t="shared" si="66"/>
        <v>3.0696094738227448</v>
      </c>
      <c r="V101" s="174">
        <f t="shared" si="66"/>
        <v>3.0262975828994785</v>
      </c>
      <c r="W101" s="174">
        <f t="shared" si="66"/>
        <v>3.0169573981449558</v>
      </c>
      <c r="X101" s="174">
        <f t="shared" si="66"/>
        <v>3.0524841647231944</v>
      </c>
      <c r="Y101" s="174">
        <f t="shared" si="66"/>
        <v>3.2073133617644127</v>
      </c>
      <c r="Z101" s="174">
        <f t="shared" si="66"/>
        <v>3.598632838088669</v>
      </c>
      <c r="AA101" s="184">
        <f t="shared" si="66"/>
        <v>3.9524420624171235</v>
      </c>
      <c r="AB101" s="184">
        <f t="shared" si="66"/>
        <v>4.3704335231514282</v>
      </c>
      <c r="AC101" s="184">
        <f t="shared" si="66"/>
        <v>4.8144621790663713</v>
      </c>
      <c r="AD101" s="184">
        <f t="shared" ref="AD101" si="67">(AD75-$L$75)/(LOG(AD100/$L$100)/LOG(2))</f>
        <v>5.2369500210730697</v>
      </c>
      <c r="AE101" s="184">
        <f t="shared" si="66"/>
        <v>6.6691139222809914</v>
      </c>
      <c r="AF101" s="184">
        <f t="shared" si="66"/>
        <v>7.9317324373572271</v>
      </c>
      <c r="AG101" s="184">
        <f t="shared" si="66"/>
        <v>9.0532302592655967</v>
      </c>
      <c r="AH101" s="184">
        <f t="shared" si="66"/>
        <v>10.056014415239542</v>
      </c>
      <c r="AI101" s="189">
        <f t="shared" ref="AI101" si="68">(AI75-$L$75)/(LOG(AI100/$L$100)/LOG(2))</f>
        <v>10.957986686528857</v>
      </c>
      <c r="AJ101" s="189">
        <f t="shared" ref="AJ101" si="69">(AJ75-$L$75)/(LOG(AJ100/$L$100)/LOG(2))</f>
        <v>11.773621719415228</v>
      </c>
      <c r="AK101" s="189">
        <f t="shared" ref="AK101" si="70">(AK75-$L$75)/(LOG(AK100/$L$100)/LOG(2))</f>
        <v>12.514749684633056</v>
      </c>
      <c r="AL101" s="189">
        <f t="shared" ref="AL101" si="71">(AL75-$L$75)/(LOG(AL100/$L$100)/LOG(2))</f>
        <v>13.191133820926254</v>
      </c>
      <c r="AM101" s="189">
        <f t="shared" ref="AM101" si="72">(AM75-$L$75)/(LOG(AM100/$L$100)/LOG(2))</f>
        <v>13.8109029531866</v>
      </c>
      <c r="AN101" s="189">
        <f t="shared" si="66"/>
        <v>15.450295470102072</v>
      </c>
      <c r="AO101" s="190">
        <f t="shared" si="66"/>
        <v>17.8671014654253</v>
      </c>
    </row>
    <row r="102" spans="1:41" x14ac:dyDescent="0.25">
      <c r="A102" s="41" t="s">
        <v>198</v>
      </c>
      <c r="B102" s="16"/>
      <c r="C102" s="16"/>
      <c r="D102" s="16"/>
      <c r="E102" s="16"/>
      <c r="F102" s="16"/>
      <c r="G102" s="16"/>
      <c r="H102" s="16"/>
      <c r="I102" s="16"/>
      <c r="J102" s="16"/>
      <c r="K102" s="16"/>
      <c r="L102" s="269">
        <v>29</v>
      </c>
      <c r="M102" s="266">
        <v>60</v>
      </c>
      <c r="N102" s="266">
        <v>106</v>
      </c>
      <c r="O102" s="266">
        <v>200</v>
      </c>
      <c r="P102" s="266">
        <v>504</v>
      </c>
      <c r="Q102" s="266">
        <v>1248</v>
      </c>
      <c r="R102" s="266">
        <v>2664</v>
      </c>
      <c r="S102" s="266">
        <v>4434</v>
      </c>
      <c r="T102" s="266">
        <v>9032</v>
      </c>
      <c r="U102" s="266">
        <v>19092</v>
      </c>
      <c r="V102" s="266">
        <v>33150</v>
      </c>
      <c r="W102" s="266">
        <v>67231</v>
      </c>
      <c r="X102" s="266">
        <v>118766</v>
      </c>
      <c r="Y102" s="266">
        <v>230155</v>
      </c>
      <c r="Z102" s="266">
        <v>481849</v>
      </c>
      <c r="AA102" s="270"/>
      <c r="AB102" s="270"/>
      <c r="AC102" s="270"/>
      <c r="AD102" s="270"/>
      <c r="AE102" s="270"/>
      <c r="AF102" s="270"/>
      <c r="AG102" s="270"/>
      <c r="AH102" s="270"/>
      <c r="AI102" s="189"/>
      <c r="AJ102" s="189"/>
      <c r="AK102" s="189"/>
      <c r="AL102" s="189"/>
      <c r="AM102" s="189"/>
      <c r="AN102" s="189"/>
      <c r="AO102" s="190"/>
    </row>
    <row r="103" spans="1:41" x14ac:dyDescent="0.25">
      <c r="A103" s="41" t="s">
        <v>63</v>
      </c>
      <c r="B103" s="16"/>
      <c r="C103" s="16"/>
      <c r="D103" s="16"/>
      <c r="E103" s="16"/>
      <c r="F103" s="16"/>
      <c r="G103" s="16"/>
      <c r="H103" s="16"/>
      <c r="I103" s="16"/>
      <c r="J103" s="16"/>
      <c r="K103" s="16"/>
      <c r="L103" s="233">
        <f>L100-L104-L102</f>
        <v>6</v>
      </c>
      <c r="M103" s="149">
        <f t="shared" ref="M103:Z103" si="73">M100-M104-M102</f>
        <v>7</v>
      </c>
      <c r="N103" s="149">
        <f t="shared" si="73"/>
        <v>9</v>
      </c>
      <c r="O103" s="149">
        <f t="shared" si="73"/>
        <v>9</v>
      </c>
      <c r="P103" s="149">
        <f t="shared" si="73"/>
        <v>15</v>
      </c>
      <c r="Q103" s="149">
        <f t="shared" si="73"/>
        <v>15</v>
      </c>
      <c r="R103" s="149">
        <f t="shared" si="73"/>
        <v>49</v>
      </c>
      <c r="S103" s="149">
        <f t="shared" si="73"/>
        <v>75</v>
      </c>
      <c r="T103" s="149">
        <f t="shared" si="73"/>
        <v>114</v>
      </c>
      <c r="U103" s="149">
        <f t="shared" si="73"/>
        <v>150</v>
      </c>
      <c r="V103" s="149">
        <f t="shared" si="73"/>
        <v>181</v>
      </c>
      <c r="W103" s="149">
        <f t="shared" si="73"/>
        <v>414</v>
      </c>
      <c r="X103" s="149">
        <f t="shared" si="73"/>
        <v>3268</v>
      </c>
      <c r="Y103" s="149">
        <f t="shared" si="73"/>
        <v>10486</v>
      </c>
      <c r="Z103" s="149">
        <f t="shared" si="73"/>
        <v>30453</v>
      </c>
      <c r="AA103" s="254">
        <v>48708</v>
      </c>
      <c r="AB103" s="254"/>
      <c r="AC103" s="254"/>
      <c r="AD103" s="254"/>
      <c r="AE103" s="254"/>
      <c r="AF103" s="185"/>
      <c r="AG103" s="185"/>
      <c r="AH103" s="185"/>
      <c r="AI103" s="187"/>
      <c r="AJ103" s="107"/>
      <c r="AK103" s="107"/>
      <c r="AL103" s="107"/>
      <c r="AM103" s="107"/>
      <c r="AN103" s="107"/>
      <c r="AO103" s="108"/>
    </row>
    <row r="104" spans="1:41" x14ac:dyDescent="0.25">
      <c r="A104" s="49" t="s">
        <v>43</v>
      </c>
      <c r="B104" s="38"/>
      <c r="C104" s="39"/>
      <c r="D104" s="39"/>
      <c r="E104" s="39"/>
      <c r="F104" s="39"/>
      <c r="G104" s="39"/>
      <c r="H104" s="39"/>
      <c r="I104" s="39"/>
      <c r="J104" s="39"/>
      <c r="K104" s="39"/>
      <c r="L104" s="67">
        <v>0</v>
      </c>
      <c r="M104" s="68">
        <v>1</v>
      </c>
      <c r="N104" s="52">
        <v>9</v>
      </c>
      <c r="O104" s="52">
        <v>12</v>
      </c>
      <c r="P104" s="52">
        <v>22</v>
      </c>
      <c r="Q104" s="52">
        <v>38</v>
      </c>
      <c r="R104" s="52">
        <v>57</v>
      </c>
      <c r="S104" s="52">
        <v>87</v>
      </c>
      <c r="T104" s="52">
        <v>150</v>
      </c>
      <c r="U104" s="52">
        <v>255</v>
      </c>
      <c r="V104" s="52">
        <v>414</v>
      </c>
      <c r="W104" s="52">
        <v>1028</v>
      </c>
      <c r="X104" s="52">
        <v>2222</v>
      </c>
      <c r="Y104" s="52">
        <v>6088</v>
      </c>
      <c r="Z104" s="52">
        <v>20577</v>
      </c>
      <c r="AA104" s="255">
        <v>28529</v>
      </c>
      <c r="AB104" s="255"/>
      <c r="AC104" s="255"/>
      <c r="AD104" s="255"/>
      <c r="AE104" s="255"/>
      <c r="AF104" s="186"/>
      <c r="AG104" s="186"/>
      <c r="AH104" s="186"/>
      <c r="AI104" s="187"/>
      <c r="AJ104" s="107"/>
      <c r="AK104" s="107"/>
      <c r="AL104" s="107"/>
      <c r="AM104" s="107"/>
      <c r="AN104" s="107"/>
      <c r="AO104" s="108"/>
    </row>
    <row r="105" spans="1:41" x14ac:dyDescent="0.25">
      <c r="B105" s="3"/>
      <c r="L105" s="35"/>
      <c r="M105" s="35"/>
      <c r="N105" s="35"/>
      <c r="O105" s="35"/>
      <c r="P105" s="35"/>
      <c r="Q105" s="35"/>
      <c r="R105" s="35"/>
      <c r="S105" s="35"/>
      <c r="T105" s="35"/>
      <c r="U105" s="35"/>
      <c r="V105" s="35"/>
      <c r="W105" s="35"/>
      <c r="X105" s="35"/>
      <c r="Y105" s="35"/>
      <c r="Z105" s="35"/>
      <c r="AA105" s="35"/>
      <c r="AB105" s="35"/>
      <c r="AC105" s="35"/>
      <c r="AD105" s="35"/>
      <c r="AE105" s="35"/>
      <c r="AF105" s="35"/>
    </row>
    <row r="106" spans="1:41" x14ac:dyDescent="0.25">
      <c r="A106" s="74" t="s">
        <v>49</v>
      </c>
      <c r="AF106" s="16"/>
    </row>
    <row r="107" spans="1:41" x14ac:dyDescent="0.25">
      <c r="A107" s="4" t="s">
        <v>0</v>
      </c>
      <c r="B107" s="193" t="s">
        <v>119</v>
      </c>
      <c r="C107" s="5" t="s">
        <v>3</v>
      </c>
      <c r="D107" s="193" t="s">
        <v>51</v>
      </c>
      <c r="E107" s="58" t="s">
        <v>2</v>
      </c>
      <c r="F107" s="9" t="s">
        <v>3</v>
      </c>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5"/>
      <c r="AO107" s="47"/>
    </row>
    <row r="108" spans="1:41" x14ac:dyDescent="0.25">
      <c r="A108" s="41" t="s">
        <v>12</v>
      </c>
      <c r="B108" s="13">
        <f>'Population by Age - Wikipedia'!D41</f>
        <v>3.6394890344941602E-2</v>
      </c>
      <c r="C108" s="12">
        <f>$B$62*B108</f>
        <v>12030895.124320794</v>
      </c>
      <c r="D108" s="22">
        <f>'AU Infection Rate by Age'!C4</f>
        <v>2.8847876724601325E-2</v>
      </c>
      <c r="E108" s="5"/>
      <c r="F108" s="16"/>
      <c r="G108" s="16"/>
      <c r="H108" s="16"/>
      <c r="I108" s="16"/>
      <c r="J108" s="16"/>
      <c r="K108" s="16"/>
      <c r="L108" s="18">
        <f t="shared" ref="L108:AN108" si="74">L$76*$D$108</f>
        <v>0.90149614764379138</v>
      </c>
      <c r="M108" s="19">
        <f t="shared" si="74"/>
        <v>1.8029922952875828</v>
      </c>
      <c r="N108" s="19">
        <f t="shared" si="74"/>
        <v>3.6059845905751655</v>
      </c>
      <c r="O108" s="19">
        <f t="shared" si="74"/>
        <v>7.211969181150331</v>
      </c>
      <c r="P108" s="19">
        <f t="shared" si="74"/>
        <v>14.423938362300662</v>
      </c>
      <c r="Q108" s="19">
        <f t="shared" si="74"/>
        <v>28.847876724601324</v>
      </c>
      <c r="R108" s="19">
        <f t="shared" si="74"/>
        <v>57.695753449202648</v>
      </c>
      <c r="S108" s="19">
        <f t="shared" si="74"/>
        <v>115.3915068984053</v>
      </c>
      <c r="T108" s="19">
        <f t="shared" si="74"/>
        <v>230.78301379681059</v>
      </c>
      <c r="U108" s="19">
        <f t="shared" si="74"/>
        <v>461.56602759362119</v>
      </c>
      <c r="V108" s="19">
        <f t="shared" si="74"/>
        <v>923.13205518724237</v>
      </c>
      <c r="W108" s="19">
        <f t="shared" si="74"/>
        <v>1846.2641103744847</v>
      </c>
      <c r="X108" s="19">
        <f t="shared" si="74"/>
        <v>3692.5282207489695</v>
      </c>
      <c r="Y108" s="19">
        <f t="shared" si="74"/>
        <v>7385.056441497939</v>
      </c>
      <c r="Z108" s="19">
        <f t="shared" si="74"/>
        <v>14770.112882995878</v>
      </c>
      <c r="AA108" s="19">
        <f t="shared" si="74"/>
        <v>22155.169324493818</v>
      </c>
      <c r="AB108" s="19">
        <f t="shared" si="74"/>
        <v>25847.697545242787</v>
      </c>
      <c r="AC108" s="19">
        <f t="shared" si="74"/>
        <v>27767.81222003225</v>
      </c>
      <c r="AD108" s="19">
        <f t="shared" si="74"/>
        <v>29540.225765991756</v>
      </c>
      <c r="AE108" s="19">
        <f t="shared" si="74"/>
        <v>59080.451531983512</v>
      </c>
      <c r="AF108" s="19">
        <f t="shared" si="74"/>
        <v>118160.90306396702</v>
      </c>
      <c r="AG108" s="19">
        <f t="shared" si="74"/>
        <v>236321.80612793405</v>
      </c>
      <c r="AH108" s="19">
        <f t="shared" si="74"/>
        <v>472643.61225586809</v>
      </c>
      <c r="AI108" s="18">
        <f t="shared" si="74"/>
        <v>945287.22451173619</v>
      </c>
      <c r="AJ108" s="19">
        <f t="shared" si="74"/>
        <v>1890574.4490234724</v>
      </c>
      <c r="AK108" s="19">
        <f t="shared" si="74"/>
        <v>3781148.8980469448</v>
      </c>
      <c r="AL108" s="19">
        <f t="shared" si="74"/>
        <v>7562297.7960938895</v>
      </c>
      <c r="AM108" s="19">
        <f t="shared" si="74"/>
        <v>9536112.7934061997</v>
      </c>
      <c r="AN108" s="60">
        <f t="shared" si="74"/>
        <v>9536112.7934061997</v>
      </c>
      <c r="AO108" s="45"/>
    </row>
    <row r="109" spans="1:41" x14ac:dyDescent="0.25">
      <c r="A109" s="41"/>
      <c r="B109" s="6"/>
      <c r="C109" s="10"/>
      <c r="D109" s="8"/>
      <c r="E109" s="27">
        <v>0.14799999999999999</v>
      </c>
      <c r="F109" s="10"/>
      <c r="G109" s="10"/>
      <c r="H109" s="10"/>
      <c r="I109" s="10"/>
      <c r="J109" s="10"/>
      <c r="K109" s="10"/>
      <c r="L109" s="29">
        <f t="shared" ref="L109:AN109" si="75">L$76*$D$108*$E$109</f>
        <v>0.13342142985128111</v>
      </c>
      <c r="M109" s="30">
        <f t="shared" si="75"/>
        <v>0.26684285970256222</v>
      </c>
      <c r="N109" s="30">
        <f t="shared" si="75"/>
        <v>0.53368571940512444</v>
      </c>
      <c r="O109" s="30">
        <f t="shared" si="75"/>
        <v>1.0673714388102489</v>
      </c>
      <c r="P109" s="30">
        <f t="shared" si="75"/>
        <v>2.1347428776204977</v>
      </c>
      <c r="Q109" s="30">
        <f t="shared" si="75"/>
        <v>4.2694857552409955</v>
      </c>
      <c r="R109" s="30">
        <f t="shared" si="75"/>
        <v>8.538971510481991</v>
      </c>
      <c r="S109" s="30">
        <f t="shared" si="75"/>
        <v>17.077943020963982</v>
      </c>
      <c r="T109" s="30">
        <f t="shared" si="75"/>
        <v>34.155886041927964</v>
      </c>
      <c r="U109" s="30">
        <f t="shared" si="75"/>
        <v>68.311772083855928</v>
      </c>
      <c r="V109" s="30">
        <f t="shared" si="75"/>
        <v>136.62354416771186</v>
      </c>
      <c r="W109" s="30">
        <f t="shared" si="75"/>
        <v>273.24708833542371</v>
      </c>
      <c r="X109" s="30">
        <f t="shared" si="75"/>
        <v>546.49417667084742</v>
      </c>
      <c r="Y109" s="30">
        <f t="shared" si="75"/>
        <v>1092.9883533416948</v>
      </c>
      <c r="Z109" s="30">
        <f t="shared" si="75"/>
        <v>2185.9767066833897</v>
      </c>
      <c r="AA109" s="30">
        <f t="shared" si="75"/>
        <v>3278.9650600250848</v>
      </c>
      <c r="AB109" s="30">
        <f t="shared" si="75"/>
        <v>3825.4592366959323</v>
      </c>
      <c r="AC109" s="30">
        <f t="shared" si="75"/>
        <v>4109.6362085647725</v>
      </c>
      <c r="AD109" s="30">
        <f t="shared" si="75"/>
        <v>4371.9534133667794</v>
      </c>
      <c r="AE109" s="30">
        <f t="shared" si="75"/>
        <v>8743.9068267335588</v>
      </c>
      <c r="AF109" s="30">
        <f t="shared" si="75"/>
        <v>17487.813653467118</v>
      </c>
      <c r="AG109" s="30">
        <f t="shared" si="75"/>
        <v>34975.627306934235</v>
      </c>
      <c r="AH109" s="30">
        <f t="shared" si="75"/>
        <v>69951.25461386847</v>
      </c>
      <c r="AI109" s="29">
        <f t="shared" si="75"/>
        <v>139902.50922773694</v>
      </c>
      <c r="AJ109" s="30">
        <f t="shared" si="75"/>
        <v>279805.01845547388</v>
      </c>
      <c r="AK109" s="30">
        <f t="shared" si="75"/>
        <v>559610.03691094776</v>
      </c>
      <c r="AL109" s="30">
        <f t="shared" si="75"/>
        <v>1119220.0738218955</v>
      </c>
      <c r="AM109" s="30">
        <f t="shared" si="75"/>
        <v>1411344.6934241175</v>
      </c>
      <c r="AN109" s="71">
        <f t="shared" si="75"/>
        <v>1411344.6934241175</v>
      </c>
      <c r="AO109" s="45"/>
    </row>
    <row r="110" spans="1:41" x14ac:dyDescent="0.25">
      <c r="A110" s="41" t="s">
        <v>13</v>
      </c>
      <c r="B110" s="6">
        <f>'Population by Age - Wikipedia'!D37</f>
        <v>5.3752877231864643E-2</v>
      </c>
      <c r="C110" s="10">
        <f t="shared" ref="C110:C124" si="76">$B$62*B110</f>
        <v>17768846.73858995</v>
      </c>
      <c r="D110" s="23">
        <f>'AU Infection Rate by Age'!C5</f>
        <v>0.10661171833004837</v>
      </c>
      <c r="E110" s="17"/>
      <c r="F110" s="16"/>
      <c r="G110" s="16"/>
      <c r="H110" s="16"/>
      <c r="I110" s="16"/>
      <c r="J110" s="16"/>
      <c r="K110" s="16"/>
      <c r="L110" s="20">
        <f t="shared" ref="L110:AN110" si="77">L$76*$D$110</f>
        <v>3.3316161978140117</v>
      </c>
      <c r="M110" s="21">
        <f t="shared" si="77"/>
        <v>6.6632323956280235</v>
      </c>
      <c r="N110" s="21">
        <f t="shared" si="77"/>
        <v>13.326464791256047</v>
      </c>
      <c r="O110" s="21">
        <f t="shared" si="77"/>
        <v>26.652929582512094</v>
      </c>
      <c r="P110" s="21">
        <f t="shared" si="77"/>
        <v>53.305859165024188</v>
      </c>
      <c r="Q110" s="21">
        <f t="shared" si="77"/>
        <v>106.61171833004838</v>
      </c>
      <c r="R110" s="21">
        <f t="shared" si="77"/>
        <v>213.22343666009675</v>
      </c>
      <c r="S110" s="21">
        <f t="shared" si="77"/>
        <v>426.4468733201935</v>
      </c>
      <c r="T110" s="21">
        <f t="shared" si="77"/>
        <v>852.89374664038701</v>
      </c>
      <c r="U110" s="21">
        <f t="shared" si="77"/>
        <v>1705.787493280774</v>
      </c>
      <c r="V110" s="21">
        <f t="shared" si="77"/>
        <v>3411.574986561548</v>
      </c>
      <c r="W110" s="21">
        <f t="shared" si="77"/>
        <v>6823.1499731230961</v>
      </c>
      <c r="X110" s="21">
        <f t="shared" si="77"/>
        <v>13646.299946246192</v>
      </c>
      <c r="Y110" s="21">
        <f t="shared" si="77"/>
        <v>27292.599892492384</v>
      </c>
      <c r="Z110" s="21">
        <f t="shared" si="77"/>
        <v>54585.199784984768</v>
      </c>
      <c r="AA110" s="21">
        <f t="shared" si="77"/>
        <v>81877.799677477145</v>
      </c>
      <c r="AB110" s="21">
        <f t="shared" si="77"/>
        <v>95524.099623723334</v>
      </c>
      <c r="AC110" s="21">
        <f t="shared" si="77"/>
        <v>102620.17559577136</v>
      </c>
      <c r="AD110" s="21">
        <f t="shared" si="77"/>
        <v>109170.39956996954</v>
      </c>
      <c r="AE110" s="21">
        <f t="shared" si="77"/>
        <v>218340.79913993907</v>
      </c>
      <c r="AF110" s="21">
        <f t="shared" si="77"/>
        <v>436681.59827987815</v>
      </c>
      <c r="AG110" s="21">
        <f t="shared" si="77"/>
        <v>873363.1965597563</v>
      </c>
      <c r="AH110" s="21">
        <f t="shared" si="77"/>
        <v>1746726.3931195126</v>
      </c>
      <c r="AI110" s="20">
        <f t="shared" si="77"/>
        <v>3493452.7862390252</v>
      </c>
      <c r="AJ110" s="21">
        <f t="shared" si="77"/>
        <v>6986905.5724780504</v>
      </c>
      <c r="AK110" s="21">
        <f t="shared" si="77"/>
        <v>13973811.144956101</v>
      </c>
      <c r="AL110" s="21">
        <f t="shared" si="77"/>
        <v>27947622.289912201</v>
      </c>
      <c r="AM110" s="21">
        <f t="shared" si="77"/>
        <v>35242155.975631602</v>
      </c>
      <c r="AN110" s="72">
        <f t="shared" si="77"/>
        <v>35242155.975631602</v>
      </c>
      <c r="AO110" s="45"/>
    </row>
    <row r="111" spans="1:41" x14ac:dyDescent="0.25">
      <c r="A111" s="41"/>
      <c r="B111" s="6"/>
      <c r="C111" s="10"/>
      <c r="D111" s="8"/>
      <c r="E111" s="27">
        <v>0.08</v>
      </c>
      <c r="F111" s="10"/>
      <c r="G111" s="10"/>
      <c r="H111" s="10"/>
      <c r="I111" s="10"/>
      <c r="J111" s="10"/>
      <c r="K111" s="10"/>
      <c r="L111" s="29">
        <f t="shared" ref="L111:AN111" si="78">L$76*$D$110*$E$111</f>
        <v>0.26652929582512097</v>
      </c>
      <c r="M111" s="30">
        <f t="shared" si="78"/>
        <v>0.53305859165024194</v>
      </c>
      <c r="N111" s="30">
        <f t="shared" si="78"/>
        <v>1.0661171833004839</v>
      </c>
      <c r="O111" s="30">
        <f t="shared" si="78"/>
        <v>2.1322343666009678</v>
      </c>
      <c r="P111" s="30">
        <f t="shared" si="78"/>
        <v>4.2644687332019355</v>
      </c>
      <c r="Q111" s="30">
        <f t="shared" si="78"/>
        <v>8.5289374664038711</v>
      </c>
      <c r="R111" s="30">
        <f t="shared" si="78"/>
        <v>17.057874932807742</v>
      </c>
      <c r="S111" s="30">
        <f t="shared" si="78"/>
        <v>34.115749865615484</v>
      </c>
      <c r="T111" s="30">
        <f t="shared" si="78"/>
        <v>68.231499731230969</v>
      </c>
      <c r="U111" s="30">
        <f t="shared" si="78"/>
        <v>136.46299946246194</v>
      </c>
      <c r="V111" s="30">
        <f t="shared" si="78"/>
        <v>272.92599892492387</v>
      </c>
      <c r="W111" s="30">
        <f t="shared" si="78"/>
        <v>545.85199784984775</v>
      </c>
      <c r="X111" s="30">
        <f t="shared" si="78"/>
        <v>1091.7039956996955</v>
      </c>
      <c r="Y111" s="30">
        <f t="shared" si="78"/>
        <v>2183.407991399391</v>
      </c>
      <c r="Z111" s="30">
        <f t="shared" si="78"/>
        <v>4366.815982798782</v>
      </c>
      <c r="AA111" s="30">
        <f t="shared" si="78"/>
        <v>6550.2239741981721</v>
      </c>
      <c r="AB111" s="30">
        <f t="shared" si="78"/>
        <v>7641.9279698978671</v>
      </c>
      <c r="AC111" s="30">
        <f t="shared" si="78"/>
        <v>8209.6140476617093</v>
      </c>
      <c r="AD111" s="30">
        <f t="shared" si="78"/>
        <v>8733.631965597564</v>
      </c>
      <c r="AE111" s="30">
        <f t="shared" si="78"/>
        <v>17467.263931195128</v>
      </c>
      <c r="AF111" s="30">
        <f t="shared" si="78"/>
        <v>34934.527862390256</v>
      </c>
      <c r="AG111" s="30">
        <f t="shared" si="78"/>
        <v>69869.055724780512</v>
      </c>
      <c r="AH111" s="30">
        <f t="shared" si="78"/>
        <v>139738.11144956102</v>
      </c>
      <c r="AI111" s="29">
        <f t="shared" si="78"/>
        <v>279476.22289912205</v>
      </c>
      <c r="AJ111" s="30">
        <f t="shared" si="78"/>
        <v>558952.44579824409</v>
      </c>
      <c r="AK111" s="30">
        <f t="shared" si="78"/>
        <v>1117904.8915964882</v>
      </c>
      <c r="AL111" s="30">
        <f t="shared" si="78"/>
        <v>2235809.7831929764</v>
      </c>
      <c r="AM111" s="30">
        <f t="shared" si="78"/>
        <v>2819372.4780505281</v>
      </c>
      <c r="AN111" s="71">
        <f t="shared" si="78"/>
        <v>2819372.4780505281</v>
      </c>
      <c r="AO111" s="45"/>
    </row>
    <row r="112" spans="1:41" x14ac:dyDescent="0.25">
      <c r="A112" s="41" t="s">
        <v>14</v>
      </c>
      <c r="B112" s="6">
        <f>'Population by Age - Wikipedia'!D33</f>
        <v>9.4748533661399834E-2</v>
      </c>
      <c r="C112" s="10">
        <f t="shared" si="76"/>
        <v>31320596.404047467</v>
      </c>
      <c r="D112" s="23">
        <f>'AU Infection Rate by Age'!C6</f>
        <v>0.16735352087439526</v>
      </c>
      <c r="E112" s="17"/>
      <c r="F112" s="10"/>
      <c r="G112" s="10"/>
      <c r="H112" s="10"/>
      <c r="I112" s="10"/>
      <c r="J112" s="10"/>
      <c r="K112" s="10"/>
      <c r="L112" s="20">
        <f t="shared" ref="L112:AN112" si="79">L$76*$D$112</f>
        <v>5.2297975273248518</v>
      </c>
      <c r="M112" s="21">
        <f t="shared" si="79"/>
        <v>10.459595054649704</v>
      </c>
      <c r="N112" s="21">
        <f t="shared" si="79"/>
        <v>20.919190109299407</v>
      </c>
      <c r="O112" s="21">
        <f t="shared" si="79"/>
        <v>41.838380218598815</v>
      </c>
      <c r="P112" s="21">
        <f t="shared" si="79"/>
        <v>83.676760437197629</v>
      </c>
      <c r="Q112" s="21">
        <f t="shared" si="79"/>
        <v>167.35352087439526</v>
      </c>
      <c r="R112" s="21">
        <f t="shared" si="79"/>
        <v>334.70704174879052</v>
      </c>
      <c r="S112" s="21">
        <f t="shared" si="79"/>
        <v>669.41408349758103</v>
      </c>
      <c r="T112" s="21">
        <f t="shared" si="79"/>
        <v>1338.8281669951621</v>
      </c>
      <c r="U112" s="21">
        <f t="shared" si="79"/>
        <v>2677.6563339903241</v>
      </c>
      <c r="V112" s="21">
        <f t="shared" si="79"/>
        <v>5355.3126679806483</v>
      </c>
      <c r="W112" s="21">
        <f t="shared" si="79"/>
        <v>10710.625335961297</v>
      </c>
      <c r="X112" s="21">
        <f t="shared" si="79"/>
        <v>21421.250671922593</v>
      </c>
      <c r="Y112" s="21">
        <f t="shared" si="79"/>
        <v>42842.501343845186</v>
      </c>
      <c r="Z112" s="21">
        <f t="shared" si="79"/>
        <v>85685.002687690372</v>
      </c>
      <c r="AA112" s="21">
        <f t="shared" si="79"/>
        <v>128527.50403153556</v>
      </c>
      <c r="AB112" s="21">
        <f t="shared" si="79"/>
        <v>149948.75470345814</v>
      </c>
      <c r="AC112" s="21">
        <f t="shared" si="79"/>
        <v>161087.8050528579</v>
      </c>
      <c r="AD112" s="21">
        <f t="shared" si="79"/>
        <v>171370.00537538074</v>
      </c>
      <c r="AE112" s="21">
        <f t="shared" si="79"/>
        <v>342740.01075076149</v>
      </c>
      <c r="AF112" s="21">
        <f t="shared" si="79"/>
        <v>685480.02150152298</v>
      </c>
      <c r="AG112" s="21">
        <f t="shared" si="79"/>
        <v>1370960.043003046</v>
      </c>
      <c r="AH112" s="21">
        <f t="shared" si="79"/>
        <v>2741920.0860060919</v>
      </c>
      <c r="AI112" s="20">
        <f t="shared" si="79"/>
        <v>5483840.1720121838</v>
      </c>
      <c r="AJ112" s="21">
        <f t="shared" si="79"/>
        <v>10967680.344024368</v>
      </c>
      <c r="AK112" s="21">
        <f t="shared" si="79"/>
        <v>21935360.688048735</v>
      </c>
      <c r="AL112" s="21">
        <f t="shared" si="79"/>
        <v>43870721.376097471</v>
      </c>
      <c r="AM112" s="21">
        <f t="shared" si="79"/>
        <v>55321300.304604903</v>
      </c>
      <c r="AN112" s="72">
        <f t="shared" si="79"/>
        <v>55321300.304604903</v>
      </c>
      <c r="AO112" s="45"/>
    </row>
    <row r="113" spans="1:41" x14ac:dyDescent="0.25">
      <c r="A113" s="41"/>
      <c r="B113" s="6"/>
      <c r="C113" s="10"/>
      <c r="D113" s="8"/>
      <c r="E113" s="27">
        <v>3.5999999999999997E-2</v>
      </c>
      <c r="F113" s="10"/>
      <c r="G113" s="10"/>
      <c r="H113" s="10"/>
      <c r="I113" s="10"/>
      <c r="J113" s="10"/>
      <c r="K113" s="10"/>
      <c r="L113" s="29">
        <f t="shared" ref="L113:AN113" si="80">L$76*$D$112*$E$113</f>
        <v>0.18827271098369466</v>
      </c>
      <c r="M113" s="30">
        <f t="shared" si="80"/>
        <v>0.37654542196738933</v>
      </c>
      <c r="N113" s="30">
        <f t="shared" si="80"/>
        <v>0.75309084393477865</v>
      </c>
      <c r="O113" s="30">
        <f t="shared" si="80"/>
        <v>1.5061816878695573</v>
      </c>
      <c r="P113" s="30">
        <f t="shared" si="80"/>
        <v>3.0123633757391146</v>
      </c>
      <c r="Q113" s="30">
        <f t="shared" si="80"/>
        <v>6.0247267514782292</v>
      </c>
      <c r="R113" s="30">
        <f t="shared" si="80"/>
        <v>12.049453502956458</v>
      </c>
      <c r="S113" s="30">
        <f t="shared" si="80"/>
        <v>24.098907005912917</v>
      </c>
      <c r="T113" s="30">
        <f t="shared" si="80"/>
        <v>48.197814011825834</v>
      </c>
      <c r="U113" s="30">
        <f t="shared" si="80"/>
        <v>96.395628023651668</v>
      </c>
      <c r="V113" s="30">
        <f t="shared" si="80"/>
        <v>192.79125604730334</v>
      </c>
      <c r="W113" s="30">
        <f t="shared" si="80"/>
        <v>385.58251209460667</v>
      </c>
      <c r="X113" s="30">
        <f t="shared" si="80"/>
        <v>771.16502418921334</v>
      </c>
      <c r="Y113" s="30">
        <f t="shared" si="80"/>
        <v>1542.3300483784267</v>
      </c>
      <c r="Z113" s="30">
        <f t="shared" si="80"/>
        <v>3084.6600967568534</v>
      </c>
      <c r="AA113" s="30">
        <f t="shared" si="80"/>
        <v>4626.9901451352798</v>
      </c>
      <c r="AB113" s="30">
        <f t="shared" si="80"/>
        <v>5398.1551693244928</v>
      </c>
      <c r="AC113" s="30">
        <f t="shared" si="80"/>
        <v>5799.1609819028845</v>
      </c>
      <c r="AD113" s="30">
        <f t="shared" si="80"/>
        <v>6169.3201935137067</v>
      </c>
      <c r="AE113" s="30">
        <f t="shared" si="80"/>
        <v>12338.640387027413</v>
      </c>
      <c r="AF113" s="30">
        <f t="shared" si="80"/>
        <v>24677.280774054827</v>
      </c>
      <c r="AG113" s="30">
        <f t="shared" si="80"/>
        <v>49354.561548109654</v>
      </c>
      <c r="AH113" s="30">
        <f t="shared" si="80"/>
        <v>98709.123096219308</v>
      </c>
      <c r="AI113" s="29">
        <f t="shared" si="80"/>
        <v>197418.24619243862</v>
      </c>
      <c r="AJ113" s="30">
        <f t="shared" si="80"/>
        <v>394836.49238487723</v>
      </c>
      <c r="AK113" s="30">
        <f t="shared" si="80"/>
        <v>789672.98476975446</v>
      </c>
      <c r="AL113" s="30">
        <f t="shared" si="80"/>
        <v>1579345.9695395089</v>
      </c>
      <c r="AM113" s="30">
        <f t="shared" si="80"/>
        <v>1991566.8109657764</v>
      </c>
      <c r="AN113" s="71">
        <f t="shared" si="80"/>
        <v>1991566.8109657764</v>
      </c>
      <c r="AO113" s="45"/>
    </row>
    <row r="114" spans="1:41" x14ac:dyDescent="0.25">
      <c r="A114" s="41" t="s">
        <v>15</v>
      </c>
      <c r="B114" s="6">
        <f>'Population by Age - Wikipedia'!D29</f>
        <v>0.13591428809571979</v>
      </c>
      <c r="C114" s="10">
        <f t="shared" si="76"/>
        <v>44928574.60150566</v>
      </c>
      <c r="D114" s="23">
        <f>'AU Infection Rate by Age'!C7</f>
        <v>0.15534850385235621</v>
      </c>
      <c r="E114" s="17"/>
      <c r="F114" s="10"/>
      <c r="G114" s="10"/>
      <c r="H114" s="10"/>
      <c r="I114" s="10"/>
      <c r="J114" s="10"/>
      <c r="K114" s="10"/>
      <c r="L114" s="20">
        <f t="shared" ref="L114:AN114" si="81">L$76*$D$114</f>
        <v>4.8546407453861313</v>
      </c>
      <c r="M114" s="21">
        <f t="shared" si="81"/>
        <v>9.7092814907722627</v>
      </c>
      <c r="N114" s="21">
        <f t="shared" si="81"/>
        <v>19.418562981544525</v>
      </c>
      <c r="O114" s="21">
        <f t="shared" si="81"/>
        <v>38.837125963089051</v>
      </c>
      <c r="P114" s="21">
        <f t="shared" si="81"/>
        <v>77.674251926178101</v>
      </c>
      <c r="Q114" s="21">
        <f t="shared" si="81"/>
        <v>155.3485038523562</v>
      </c>
      <c r="R114" s="21">
        <f t="shared" si="81"/>
        <v>310.69700770471241</v>
      </c>
      <c r="S114" s="21">
        <f t="shared" si="81"/>
        <v>621.39401540942481</v>
      </c>
      <c r="T114" s="21">
        <f t="shared" si="81"/>
        <v>1242.7880308188496</v>
      </c>
      <c r="U114" s="21">
        <f t="shared" si="81"/>
        <v>2485.5760616376992</v>
      </c>
      <c r="V114" s="21">
        <f t="shared" si="81"/>
        <v>4971.1521232753985</v>
      </c>
      <c r="W114" s="21">
        <f t="shared" si="81"/>
        <v>9942.304246550797</v>
      </c>
      <c r="X114" s="21">
        <f t="shared" si="81"/>
        <v>19884.608493101594</v>
      </c>
      <c r="Y114" s="21">
        <f t="shared" si="81"/>
        <v>39769.216986203188</v>
      </c>
      <c r="Z114" s="21">
        <f t="shared" si="81"/>
        <v>79538.433972406376</v>
      </c>
      <c r="AA114" s="21">
        <f t="shared" si="81"/>
        <v>119307.65095860958</v>
      </c>
      <c r="AB114" s="21">
        <f t="shared" si="81"/>
        <v>139192.25945171117</v>
      </c>
      <c r="AC114" s="21">
        <f t="shared" si="81"/>
        <v>149532.25586812399</v>
      </c>
      <c r="AD114" s="21">
        <f t="shared" si="81"/>
        <v>159076.86794481275</v>
      </c>
      <c r="AE114" s="21">
        <f t="shared" si="81"/>
        <v>318153.7358896255</v>
      </c>
      <c r="AF114" s="21">
        <f t="shared" si="81"/>
        <v>636307.47177925101</v>
      </c>
      <c r="AG114" s="21">
        <f t="shared" si="81"/>
        <v>1272614.943558502</v>
      </c>
      <c r="AH114" s="21">
        <f t="shared" si="81"/>
        <v>2545229.887117004</v>
      </c>
      <c r="AI114" s="20">
        <f t="shared" si="81"/>
        <v>5090459.774234008</v>
      </c>
      <c r="AJ114" s="21">
        <f t="shared" si="81"/>
        <v>10180919.548468016</v>
      </c>
      <c r="AK114" s="21">
        <f t="shared" si="81"/>
        <v>20361839.096936032</v>
      </c>
      <c r="AL114" s="21">
        <f t="shared" si="81"/>
        <v>40723678.193872064</v>
      </c>
      <c r="AM114" s="21">
        <f t="shared" si="81"/>
        <v>51352855.850206055</v>
      </c>
      <c r="AN114" s="72">
        <f t="shared" si="81"/>
        <v>51352855.850206055</v>
      </c>
      <c r="AO114" s="45"/>
    </row>
    <row r="115" spans="1:41" x14ac:dyDescent="0.25">
      <c r="A115" s="41"/>
      <c r="B115" s="6"/>
      <c r="C115" s="10"/>
      <c r="D115" s="8"/>
      <c r="E115" s="27">
        <v>1.2999999999999999E-2</v>
      </c>
      <c r="F115" s="10"/>
      <c r="G115" s="10"/>
      <c r="H115" s="10"/>
      <c r="I115" s="10"/>
      <c r="J115" s="10"/>
      <c r="K115" s="10"/>
      <c r="L115" s="29">
        <f t="shared" ref="L115:AN115" si="82">L$76*$D$114*$E$115</f>
        <v>6.3110329690019701E-2</v>
      </c>
      <c r="M115" s="30">
        <f t="shared" si="82"/>
        <v>0.1262206593800394</v>
      </c>
      <c r="N115" s="30">
        <f t="shared" si="82"/>
        <v>0.2524413187600788</v>
      </c>
      <c r="O115" s="30">
        <f t="shared" si="82"/>
        <v>0.50488263752015761</v>
      </c>
      <c r="P115" s="30">
        <f t="shared" si="82"/>
        <v>1.0097652750403152</v>
      </c>
      <c r="Q115" s="30">
        <f t="shared" si="82"/>
        <v>2.0195305500806304</v>
      </c>
      <c r="R115" s="30">
        <f t="shared" si="82"/>
        <v>4.0390611001612609</v>
      </c>
      <c r="S115" s="30">
        <f t="shared" si="82"/>
        <v>8.0781222003225217</v>
      </c>
      <c r="T115" s="30">
        <f t="shared" si="82"/>
        <v>16.156244400645043</v>
      </c>
      <c r="U115" s="30">
        <f t="shared" si="82"/>
        <v>32.312488801290087</v>
      </c>
      <c r="V115" s="30">
        <f t="shared" si="82"/>
        <v>64.624977602580174</v>
      </c>
      <c r="W115" s="30">
        <f t="shared" si="82"/>
        <v>129.24995520516035</v>
      </c>
      <c r="X115" s="30">
        <f t="shared" si="82"/>
        <v>258.49991041032069</v>
      </c>
      <c r="Y115" s="30">
        <f t="shared" si="82"/>
        <v>516.99982082064139</v>
      </c>
      <c r="Z115" s="30">
        <f t="shared" si="82"/>
        <v>1033.9996416412828</v>
      </c>
      <c r="AA115" s="30">
        <f t="shared" si="82"/>
        <v>1550.9994624619244</v>
      </c>
      <c r="AB115" s="30">
        <f t="shared" si="82"/>
        <v>1809.4993728722452</v>
      </c>
      <c r="AC115" s="30">
        <f t="shared" si="82"/>
        <v>1943.9193262856118</v>
      </c>
      <c r="AD115" s="30">
        <f t="shared" si="82"/>
        <v>2067.9992832825656</v>
      </c>
      <c r="AE115" s="30">
        <f t="shared" si="82"/>
        <v>4135.9985665651311</v>
      </c>
      <c r="AF115" s="30">
        <f t="shared" si="82"/>
        <v>8271.9971331302622</v>
      </c>
      <c r="AG115" s="30">
        <f t="shared" si="82"/>
        <v>16543.994266260524</v>
      </c>
      <c r="AH115" s="30">
        <f t="shared" si="82"/>
        <v>33087.988532521049</v>
      </c>
      <c r="AI115" s="29">
        <f t="shared" si="82"/>
        <v>66175.977065042098</v>
      </c>
      <c r="AJ115" s="30">
        <f t="shared" si="82"/>
        <v>132351.9541300842</v>
      </c>
      <c r="AK115" s="30">
        <f t="shared" si="82"/>
        <v>264703.90826016839</v>
      </c>
      <c r="AL115" s="30">
        <f t="shared" si="82"/>
        <v>529407.81652033678</v>
      </c>
      <c r="AM115" s="30">
        <f t="shared" si="82"/>
        <v>667587.12605267868</v>
      </c>
      <c r="AN115" s="71">
        <f t="shared" si="82"/>
        <v>667587.12605267868</v>
      </c>
      <c r="AO115" s="45"/>
    </row>
    <row r="116" spans="1:41" x14ac:dyDescent="0.25">
      <c r="A116" s="41" t="s">
        <v>16</v>
      </c>
      <c r="B116" s="6">
        <f>'Population by Age - Wikipedia'!D25</f>
        <v>0.14121517441978385</v>
      </c>
      <c r="C116" s="10">
        <f t="shared" si="76"/>
        <v>46680864.739663057</v>
      </c>
      <c r="D116" s="23">
        <f>'AU Infection Rate by Age'!C8</f>
        <v>0.12972585558143701</v>
      </c>
      <c r="E116" s="17"/>
      <c r="F116" s="10"/>
      <c r="G116" s="10"/>
      <c r="H116" s="10"/>
      <c r="I116" s="10"/>
      <c r="J116" s="10"/>
      <c r="K116" s="10"/>
      <c r="L116" s="20">
        <f t="shared" ref="L116:AN116" si="83">L$76*$D$116</f>
        <v>4.0539329869199063</v>
      </c>
      <c r="M116" s="21">
        <f t="shared" si="83"/>
        <v>8.1078659738398127</v>
      </c>
      <c r="N116" s="21">
        <f t="shared" si="83"/>
        <v>16.215731947679625</v>
      </c>
      <c r="O116" s="21">
        <f t="shared" si="83"/>
        <v>32.431463895359251</v>
      </c>
      <c r="P116" s="21">
        <f t="shared" si="83"/>
        <v>64.862927790718501</v>
      </c>
      <c r="Q116" s="21">
        <f t="shared" si="83"/>
        <v>129.725855581437</v>
      </c>
      <c r="R116" s="21">
        <f t="shared" si="83"/>
        <v>259.45171116287401</v>
      </c>
      <c r="S116" s="21">
        <f t="shared" si="83"/>
        <v>518.90342232574801</v>
      </c>
      <c r="T116" s="21">
        <f t="shared" si="83"/>
        <v>1037.806844651496</v>
      </c>
      <c r="U116" s="21">
        <f t="shared" si="83"/>
        <v>2075.613689302992</v>
      </c>
      <c r="V116" s="21">
        <f t="shared" si="83"/>
        <v>4151.2273786059841</v>
      </c>
      <c r="W116" s="21">
        <f t="shared" si="83"/>
        <v>8302.4547572119682</v>
      </c>
      <c r="X116" s="21">
        <f t="shared" si="83"/>
        <v>16604.909514423936</v>
      </c>
      <c r="Y116" s="21">
        <f t="shared" si="83"/>
        <v>33209.819028847873</v>
      </c>
      <c r="Z116" s="21">
        <f t="shared" si="83"/>
        <v>66419.638057695745</v>
      </c>
      <c r="AA116" s="21">
        <f t="shared" si="83"/>
        <v>99629.457086543625</v>
      </c>
      <c r="AB116" s="21">
        <f t="shared" si="83"/>
        <v>116234.36660096757</v>
      </c>
      <c r="AC116" s="21">
        <f t="shared" si="83"/>
        <v>124868.91954846801</v>
      </c>
      <c r="AD116" s="21">
        <f t="shared" si="83"/>
        <v>132839.27611539149</v>
      </c>
      <c r="AE116" s="21">
        <f t="shared" si="83"/>
        <v>265678.55223078298</v>
      </c>
      <c r="AF116" s="21">
        <f t="shared" si="83"/>
        <v>531357.10446156596</v>
      </c>
      <c r="AG116" s="21">
        <f t="shared" si="83"/>
        <v>1062714.2089231319</v>
      </c>
      <c r="AH116" s="21">
        <f t="shared" si="83"/>
        <v>2125428.4178462639</v>
      </c>
      <c r="AI116" s="20">
        <f t="shared" si="83"/>
        <v>4250856.8356925277</v>
      </c>
      <c r="AJ116" s="21">
        <f t="shared" si="83"/>
        <v>8501713.6713850554</v>
      </c>
      <c r="AK116" s="21">
        <f t="shared" si="83"/>
        <v>17003427.342770111</v>
      </c>
      <c r="AL116" s="21">
        <f t="shared" si="83"/>
        <v>34006854.685540222</v>
      </c>
      <c r="AM116" s="21">
        <f t="shared" si="83"/>
        <v>42882892.313205518</v>
      </c>
      <c r="AN116" s="72">
        <f t="shared" si="83"/>
        <v>42882892.313205518</v>
      </c>
      <c r="AO116" s="45"/>
    </row>
    <row r="117" spans="1:41" x14ac:dyDescent="0.25">
      <c r="A117" s="41"/>
      <c r="B117" s="6"/>
      <c r="C117" s="10"/>
      <c r="D117" s="8"/>
      <c r="E117" s="27">
        <v>4.0000000000000001E-3</v>
      </c>
      <c r="F117" s="10"/>
      <c r="G117" s="10"/>
      <c r="H117" s="10"/>
      <c r="I117" s="10"/>
      <c r="J117" s="10"/>
      <c r="K117" s="10"/>
      <c r="L117" s="29">
        <f t="shared" ref="L117:AN117" si="84">L$76*$D$116*$E$117</f>
        <v>1.6215731947679626E-2</v>
      </c>
      <c r="M117" s="30">
        <f t="shared" si="84"/>
        <v>3.2431463895359253E-2</v>
      </c>
      <c r="N117" s="30">
        <f t="shared" si="84"/>
        <v>6.4862927790718505E-2</v>
      </c>
      <c r="O117" s="30">
        <f t="shared" si="84"/>
        <v>0.12972585558143701</v>
      </c>
      <c r="P117" s="30">
        <f t="shared" si="84"/>
        <v>0.25945171116287402</v>
      </c>
      <c r="Q117" s="30">
        <f t="shared" si="84"/>
        <v>0.51890342232574804</v>
      </c>
      <c r="R117" s="30">
        <f t="shared" si="84"/>
        <v>1.0378068446514961</v>
      </c>
      <c r="S117" s="30">
        <f t="shared" si="84"/>
        <v>2.0756136893029922</v>
      </c>
      <c r="T117" s="30">
        <f t="shared" si="84"/>
        <v>4.1512273786059843</v>
      </c>
      <c r="U117" s="30">
        <f t="shared" si="84"/>
        <v>8.3024547572119687</v>
      </c>
      <c r="V117" s="30">
        <f t="shared" si="84"/>
        <v>16.604909514423937</v>
      </c>
      <c r="W117" s="30">
        <f t="shared" si="84"/>
        <v>33.209819028847875</v>
      </c>
      <c r="X117" s="30">
        <f t="shared" si="84"/>
        <v>66.419638057695749</v>
      </c>
      <c r="Y117" s="30">
        <f t="shared" si="84"/>
        <v>132.8392761153915</v>
      </c>
      <c r="Z117" s="30">
        <f t="shared" si="84"/>
        <v>265.678552230783</v>
      </c>
      <c r="AA117" s="30">
        <f t="shared" si="84"/>
        <v>398.5178283461745</v>
      </c>
      <c r="AB117" s="30">
        <f t="shared" si="84"/>
        <v>464.93746640387025</v>
      </c>
      <c r="AC117" s="30">
        <f t="shared" si="84"/>
        <v>499.47567819387206</v>
      </c>
      <c r="AD117" s="30">
        <f t="shared" si="84"/>
        <v>531.357104461566</v>
      </c>
      <c r="AE117" s="30">
        <f t="shared" si="84"/>
        <v>1062.714208923132</v>
      </c>
      <c r="AF117" s="30">
        <f t="shared" si="84"/>
        <v>2125.428417846264</v>
      </c>
      <c r="AG117" s="30">
        <f t="shared" si="84"/>
        <v>4250.856835692528</v>
      </c>
      <c r="AH117" s="30">
        <f t="shared" si="84"/>
        <v>8501.7136713850559</v>
      </c>
      <c r="AI117" s="29">
        <f t="shared" si="84"/>
        <v>17003.427342770112</v>
      </c>
      <c r="AJ117" s="30">
        <f t="shared" si="84"/>
        <v>34006.854685540224</v>
      </c>
      <c r="AK117" s="30">
        <f t="shared" si="84"/>
        <v>68013.709371080447</v>
      </c>
      <c r="AL117" s="30">
        <f t="shared" si="84"/>
        <v>136027.41874216089</v>
      </c>
      <c r="AM117" s="30">
        <f t="shared" si="84"/>
        <v>171531.56925282208</v>
      </c>
      <c r="AN117" s="71">
        <f t="shared" si="84"/>
        <v>171531.56925282208</v>
      </c>
      <c r="AO117" s="45"/>
    </row>
    <row r="118" spans="1:41" x14ac:dyDescent="0.25">
      <c r="A118" s="41" t="s">
        <v>17</v>
      </c>
      <c r="B118" s="6">
        <f>'Population by Age - Wikipedia'!D21</f>
        <v>0.13001561499489589</v>
      </c>
      <c r="C118" s="10">
        <f t="shared" si="76"/>
        <v>42978676.778595254</v>
      </c>
      <c r="D118" s="23">
        <f>'AU Infection Rate by Age'!C9</f>
        <v>0.15731947679627306</v>
      </c>
      <c r="E118" s="17"/>
      <c r="F118" s="10"/>
      <c r="G118" s="14"/>
      <c r="H118" s="14"/>
      <c r="I118" s="14"/>
      <c r="J118" s="10"/>
      <c r="K118" s="10"/>
      <c r="L118" s="20">
        <f t="shared" ref="L118:AN118" si="85">L$76*$D$118</f>
        <v>4.9162336498835328</v>
      </c>
      <c r="M118" s="21">
        <f t="shared" si="85"/>
        <v>9.8324672997670657</v>
      </c>
      <c r="N118" s="21">
        <f t="shared" si="85"/>
        <v>19.664934599534131</v>
      </c>
      <c r="O118" s="21">
        <f t="shared" si="85"/>
        <v>39.329869199068263</v>
      </c>
      <c r="P118" s="21">
        <f t="shared" si="85"/>
        <v>78.659738398136525</v>
      </c>
      <c r="Q118" s="21">
        <f t="shared" si="85"/>
        <v>157.31947679627305</v>
      </c>
      <c r="R118" s="21">
        <f t="shared" si="85"/>
        <v>314.6389535925461</v>
      </c>
      <c r="S118" s="21">
        <f t="shared" si="85"/>
        <v>629.2779071850922</v>
      </c>
      <c r="T118" s="21">
        <f t="shared" si="85"/>
        <v>1258.5558143701844</v>
      </c>
      <c r="U118" s="21">
        <f t="shared" si="85"/>
        <v>2517.1116287403688</v>
      </c>
      <c r="V118" s="21">
        <f t="shared" si="85"/>
        <v>5034.2232574807376</v>
      </c>
      <c r="W118" s="21">
        <f t="shared" si="85"/>
        <v>10068.446514961475</v>
      </c>
      <c r="X118" s="21">
        <f t="shared" si="85"/>
        <v>20136.893029922951</v>
      </c>
      <c r="Y118" s="21">
        <f t="shared" si="85"/>
        <v>40273.786059845901</v>
      </c>
      <c r="Z118" s="21">
        <f t="shared" si="85"/>
        <v>80547.572119691802</v>
      </c>
      <c r="AA118" s="21">
        <f t="shared" si="85"/>
        <v>120821.35817953771</v>
      </c>
      <c r="AB118" s="21">
        <f t="shared" si="85"/>
        <v>140958.25120946066</v>
      </c>
      <c r="AC118" s="21">
        <f t="shared" si="85"/>
        <v>151429.4355850206</v>
      </c>
      <c r="AD118" s="21">
        <f t="shared" si="85"/>
        <v>161095.1442393836</v>
      </c>
      <c r="AE118" s="21">
        <f t="shared" si="85"/>
        <v>322190.28847876721</v>
      </c>
      <c r="AF118" s="21">
        <f t="shared" si="85"/>
        <v>644380.57695753442</v>
      </c>
      <c r="AG118" s="21">
        <f t="shared" si="85"/>
        <v>1288761.1539150688</v>
      </c>
      <c r="AH118" s="21">
        <f t="shared" si="85"/>
        <v>2577522.3078301377</v>
      </c>
      <c r="AI118" s="20">
        <f t="shared" si="85"/>
        <v>5155044.6156602753</v>
      </c>
      <c r="AJ118" s="21">
        <f t="shared" si="85"/>
        <v>10310089.231320551</v>
      </c>
      <c r="AK118" s="21">
        <f t="shared" si="85"/>
        <v>20620178.462641101</v>
      </c>
      <c r="AL118" s="21">
        <f t="shared" si="85"/>
        <v>41240356.925282203</v>
      </c>
      <c r="AM118" s="21">
        <f t="shared" si="85"/>
        <v>52004391.506898403</v>
      </c>
      <c r="AN118" s="72">
        <f t="shared" si="85"/>
        <v>52004391.506898403</v>
      </c>
      <c r="AO118" s="45"/>
    </row>
    <row r="119" spans="1:41" x14ac:dyDescent="0.25">
      <c r="A119" s="41"/>
      <c r="B119" s="6"/>
      <c r="C119" s="10"/>
      <c r="D119" s="8"/>
      <c r="E119" s="27">
        <v>2E-3</v>
      </c>
      <c r="F119" s="10"/>
      <c r="G119" s="10"/>
      <c r="H119" s="10"/>
      <c r="I119" s="10"/>
      <c r="J119" s="10"/>
      <c r="K119" s="10"/>
      <c r="L119" s="29">
        <f t="shared" ref="L119:AN119" si="86">L$76*$D$118*$E$119</f>
        <v>9.8324672997670663E-3</v>
      </c>
      <c r="M119" s="30">
        <f t="shared" si="86"/>
        <v>1.9664934599534133E-2</v>
      </c>
      <c r="N119" s="30">
        <f t="shared" si="86"/>
        <v>3.9329869199068265E-2</v>
      </c>
      <c r="O119" s="30">
        <f t="shared" si="86"/>
        <v>7.8659738398136531E-2</v>
      </c>
      <c r="P119" s="30">
        <f t="shared" si="86"/>
        <v>0.15731947679627306</v>
      </c>
      <c r="Q119" s="30">
        <f t="shared" si="86"/>
        <v>0.31463895359254612</v>
      </c>
      <c r="R119" s="30">
        <f t="shared" si="86"/>
        <v>0.62927790718509224</v>
      </c>
      <c r="S119" s="30">
        <f t="shared" si="86"/>
        <v>1.2585558143701845</v>
      </c>
      <c r="T119" s="30">
        <f t="shared" si="86"/>
        <v>2.517111628740369</v>
      </c>
      <c r="U119" s="30">
        <f t="shared" si="86"/>
        <v>5.034223257480738</v>
      </c>
      <c r="V119" s="30">
        <f t="shared" si="86"/>
        <v>10.068446514961476</v>
      </c>
      <c r="W119" s="30">
        <f t="shared" si="86"/>
        <v>20.136893029922952</v>
      </c>
      <c r="X119" s="30">
        <f t="shared" si="86"/>
        <v>40.273786059845904</v>
      </c>
      <c r="Y119" s="30">
        <f t="shared" si="86"/>
        <v>80.547572119691807</v>
      </c>
      <c r="Z119" s="30">
        <f t="shared" si="86"/>
        <v>161.09514423938361</v>
      </c>
      <c r="AA119" s="30">
        <f t="shared" si="86"/>
        <v>241.64271635907542</v>
      </c>
      <c r="AB119" s="30">
        <f t="shared" si="86"/>
        <v>281.91650241892131</v>
      </c>
      <c r="AC119" s="30">
        <f t="shared" si="86"/>
        <v>302.8588711700412</v>
      </c>
      <c r="AD119" s="30">
        <f t="shared" si="86"/>
        <v>322.19028847876723</v>
      </c>
      <c r="AE119" s="30">
        <f t="shared" si="86"/>
        <v>644.38057695753446</v>
      </c>
      <c r="AF119" s="30">
        <f t="shared" si="86"/>
        <v>1288.7611539150689</v>
      </c>
      <c r="AG119" s="30">
        <f t="shared" si="86"/>
        <v>2577.5223078301378</v>
      </c>
      <c r="AH119" s="30">
        <f t="shared" si="86"/>
        <v>5155.0446156602757</v>
      </c>
      <c r="AI119" s="29">
        <f t="shared" si="86"/>
        <v>10310.089231320551</v>
      </c>
      <c r="AJ119" s="30">
        <f t="shared" si="86"/>
        <v>20620.178462641103</v>
      </c>
      <c r="AK119" s="30">
        <f t="shared" si="86"/>
        <v>41240.356925282205</v>
      </c>
      <c r="AL119" s="30">
        <f t="shared" si="86"/>
        <v>82480.713850564411</v>
      </c>
      <c r="AM119" s="30">
        <f t="shared" si="86"/>
        <v>104008.78301379681</v>
      </c>
      <c r="AN119" s="71">
        <f t="shared" si="86"/>
        <v>104008.78301379681</v>
      </c>
      <c r="AO119" s="45"/>
    </row>
    <row r="120" spans="1:41" x14ac:dyDescent="0.25">
      <c r="A120" s="41" t="s">
        <v>18</v>
      </c>
      <c r="B120" s="6">
        <f>'Population by Age - Wikipedia'!D17</f>
        <v>0.13826223457843137</v>
      </c>
      <c r="C120" s="10">
        <f t="shared" si="76"/>
        <v>45704724.704536453</v>
      </c>
      <c r="D120" s="23">
        <f>'AU Infection Rate by Age'!C10</f>
        <v>0.2160903063967031</v>
      </c>
      <c r="E120" s="17"/>
      <c r="F120" s="10"/>
      <c r="G120" s="10"/>
      <c r="H120" s="10"/>
      <c r="I120" s="10"/>
      <c r="J120" s="10"/>
      <c r="K120" s="10"/>
      <c r="L120" s="20">
        <f t="shared" ref="L120:AN120" si="87">L$76*$D$120</f>
        <v>6.7528220748969714</v>
      </c>
      <c r="M120" s="21">
        <f t="shared" si="87"/>
        <v>13.505644149793943</v>
      </c>
      <c r="N120" s="21">
        <f t="shared" si="87"/>
        <v>27.011288299587886</v>
      </c>
      <c r="O120" s="21">
        <f t="shared" si="87"/>
        <v>54.022576599175771</v>
      </c>
      <c r="P120" s="21">
        <f t="shared" si="87"/>
        <v>108.04515319835154</v>
      </c>
      <c r="Q120" s="21">
        <f t="shared" si="87"/>
        <v>216.09030639670308</v>
      </c>
      <c r="R120" s="21">
        <f t="shared" si="87"/>
        <v>432.18061279340617</v>
      </c>
      <c r="S120" s="21">
        <f t="shared" si="87"/>
        <v>864.36122558681234</v>
      </c>
      <c r="T120" s="21">
        <f t="shared" si="87"/>
        <v>1728.7224511736247</v>
      </c>
      <c r="U120" s="21">
        <f t="shared" si="87"/>
        <v>3457.4449023472494</v>
      </c>
      <c r="V120" s="21">
        <f t="shared" si="87"/>
        <v>6914.8898046944987</v>
      </c>
      <c r="W120" s="21">
        <f t="shared" si="87"/>
        <v>13829.779609388997</v>
      </c>
      <c r="X120" s="21">
        <f t="shared" si="87"/>
        <v>27659.559218777995</v>
      </c>
      <c r="Y120" s="21">
        <f t="shared" si="87"/>
        <v>55319.11843755599</v>
      </c>
      <c r="Z120" s="21">
        <f t="shared" si="87"/>
        <v>110638.23687511198</v>
      </c>
      <c r="AA120" s="21">
        <f t="shared" si="87"/>
        <v>165957.35531266799</v>
      </c>
      <c r="AB120" s="21">
        <f t="shared" si="87"/>
        <v>193616.91453144597</v>
      </c>
      <c r="AC120" s="21">
        <f t="shared" si="87"/>
        <v>207999.88532521055</v>
      </c>
      <c r="AD120" s="21">
        <f t="shared" si="87"/>
        <v>221276.47375022396</v>
      </c>
      <c r="AE120" s="21">
        <f t="shared" si="87"/>
        <v>442552.94750044792</v>
      </c>
      <c r="AF120" s="21">
        <f t="shared" si="87"/>
        <v>885105.89500089583</v>
      </c>
      <c r="AG120" s="21">
        <f t="shared" si="87"/>
        <v>1770211.7900017917</v>
      </c>
      <c r="AH120" s="21">
        <f t="shared" si="87"/>
        <v>3540423.5800035833</v>
      </c>
      <c r="AI120" s="20">
        <f t="shared" si="87"/>
        <v>7080847.1600071667</v>
      </c>
      <c r="AJ120" s="21">
        <f t="shared" si="87"/>
        <v>14161694.320014333</v>
      </c>
      <c r="AK120" s="21">
        <f t="shared" si="87"/>
        <v>28323388.640028667</v>
      </c>
      <c r="AL120" s="21">
        <f t="shared" si="87"/>
        <v>56646777.280057333</v>
      </c>
      <c r="AM120" s="21">
        <f t="shared" si="87"/>
        <v>71432000.179179356</v>
      </c>
      <c r="AN120" s="72">
        <f t="shared" si="87"/>
        <v>71432000.179179356</v>
      </c>
      <c r="AO120" s="45"/>
    </row>
    <row r="121" spans="1:41" x14ac:dyDescent="0.25">
      <c r="A121" s="41"/>
      <c r="B121" s="6"/>
      <c r="C121" s="10"/>
      <c r="D121" s="8"/>
      <c r="E121" s="27">
        <v>2E-3</v>
      </c>
      <c r="F121" s="10"/>
      <c r="G121" s="10"/>
      <c r="H121" s="10"/>
      <c r="I121" s="10"/>
      <c r="J121" s="10"/>
      <c r="K121" s="10"/>
      <c r="L121" s="29">
        <f t="shared" ref="L121:AN121" si="88">L$76*$D$120*$E$121</f>
        <v>1.3505644149793944E-2</v>
      </c>
      <c r="M121" s="30">
        <f t="shared" si="88"/>
        <v>2.7011288299587887E-2</v>
      </c>
      <c r="N121" s="30">
        <f t="shared" si="88"/>
        <v>5.4022576599175774E-2</v>
      </c>
      <c r="O121" s="30">
        <f t="shared" si="88"/>
        <v>0.10804515319835155</v>
      </c>
      <c r="P121" s="30">
        <f t="shared" si="88"/>
        <v>0.2160903063967031</v>
      </c>
      <c r="Q121" s="30">
        <f t="shared" si="88"/>
        <v>0.43218061279340619</v>
      </c>
      <c r="R121" s="30">
        <f t="shared" si="88"/>
        <v>0.86436122558681239</v>
      </c>
      <c r="S121" s="30">
        <f t="shared" si="88"/>
        <v>1.7287224511736248</v>
      </c>
      <c r="T121" s="30">
        <f t="shared" si="88"/>
        <v>3.4574449023472495</v>
      </c>
      <c r="U121" s="30">
        <f t="shared" si="88"/>
        <v>6.9148898046944991</v>
      </c>
      <c r="V121" s="30">
        <f t="shared" si="88"/>
        <v>13.829779609388998</v>
      </c>
      <c r="W121" s="30">
        <f t="shared" si="88"/>
        <v>27.659559218777996</v>
      </c>
      <c r="X121" s="30">
        <f t="shared" si="88"/>
        <v>55.319118437555993</v>
      </c>
      <c r="Y121" s="30">
        <f t="shared" si="88"/>
        <v>110.63823687511199</v>
      </c>
      <c r="Z121" s="30">
        <f t="shared" si="88"/>
        <v>221.27647375022397</v>
      </c>
      <c r="AA121" s="30">
        <f t="shared" si="88"/>
        <v>331.914710625336</v>
      </c>
      <c r="AB121" s="30">
        <f t="shared" si="88"/>
        <v>387.23382906289197</v>
      </c>
      <c r="AC121" s="30">
        <f t="shared" si="88"/>
        <v>415.99977065042111</v>
      </c>
      <c r="AD121" s="30">
        <f t="shared" si="88"/>
        <v>442.55294750044794</v>
      </c>
      <c r="AE121" s="30">
        <f t="shared" si="88"/>
        <v>885.10589500089588</v>
      </c>
      <c r="AF121" s="30">
        <f t="shared" si="88"/>
        <v>1770.2117900017918</v>
      </c>
      <c r="AG121" s="30">
        <f t="shared" si="88"/>
        <v>3540.4235800035835</v>
      </c>
      <c r="AH121" s="30">
        <f t="shared" si="88"/>
        <v>7080.8471600071671</v>
      </c>
      <c r="AI121" s="29">
        <f t="shared" si="88"/>
        <v>14161.694320014334</v>
      </c>
      <c r="AJ121" s="30">
        <f t="shared" si="88"/>
        <v>28323.388640028668</v>
      </c>
      <c r="AK121" s="30">
        <f t="shared" si="88"/>
        <v>56646.777280057337</v>
      </c>
      <c r="AL121" s="30">
        <f t="shared" si="88"/>
        <v>113293.55456011467</v>
      </c>
      <c r="AM121" s="30">
        <f t="shared" si="88"/>
        <v>142864.00035835872</v>
      </c>
      <c r="AN121" s="71">
        <f t="shared" si="88"/>
        <v>142864.00035835872</v>
      </c>
      <c r="AO121" s="45"/>
    </row>
    <row r="122" spans="1:41" x14ac:dyDescent="0.25">
      <c r="A122" s="42" t="s">
        <v>19</v>
      </c>
      <c r="B122" s="6">
        <f>'Population by Age - Wikipedia'!D13</f>
        <v>0.13835839467257338</v>
      </c>
      <c r="C122" s="10">
        <f t="shared" si="76"/>
        <v>45736511.914136559</v>
      </c>
      <c r="D122" s="23">
        <f>'AU Infection Rate by Age'!C11</f>
        <v>2.8847876724601325E-2</v>
      </c>
      <c r="E122" s="17"/>
      <c r="F122" s="10"/>
      <c r="G122" s="10"/>
      <c r="H122" s="10"/>
      <c r="I122" s="10"/>
      <c r="J122" s="10"/>
      <c r="K122" s="10"/>
      <c r="L122" s="20">
        <f t="shared" ref="L122:AN122" si="89">L$76*$D$122</f>
        <v>0.90149614764379138</v>
      </c>
      <c r="M122" s="21">
        <f t="shared" si="89"/>
        <v>1.8029922952875828</v>
      </c>
      <c r="N122" s="21">
        <f t="shared" si="89"/>
        <v>3.6059845905751655</v>
      </c>
      <c r="O122" s="21">
        <f t="shared" si="89"/>
        <v>7.211969181150331</v>
      </c>
      <c r="P122" s="21">
        <f t="shared" si="89"/>
        <v>14.423938362300662</v>
      </c>
      <c r="Q122" s="21">
        <f t="shared" si="89"/>
        <v>28.847876724601324</v>
      </c>
      <c r="R122" s="21">
        <f t="shared" si="89"/>
        <v>57.695753449202648</v>
      </c>
      <c r="S122" s="21">
        <f t="shared" si="89"/>
        <v>115.3915068984053</v>
      </c>
      <c r="T122" s="21">
        <f t="shared" si="89"/>
        <v>230.78301379681059</v>
      </c>
      <c r="U122" s="21">
        <f t="shared" si="89"/>
        <v>461.56602759362119</v>
      </c>
      <c r="V122" s="21">
        <f t="shared" si="89"/>
        <v>923.13205518724237</v>
      </c>
      <c r="W122" s="21">
        <f t="shared" si="89"/>
        <v>1846.2641103744847</v>
      </c>
      <c r="X122" s="21">
        <f t="shared" si="89"/>
        <v>3692.5282207489695</v>
      </c>
      <c r="Y122" s="21">
        <f t="shared" si="89"/>
        <v>7385.056441497939</v>
      </c>
      <c r="Z122" s="21">
        <f t="shared" si="89"/>
        <v>14770.112882995878</v>
      </c>
      <c r="AA122" s="21">
        <f t="shared" si="89"/>
        <v>22155.169324493818</v>
      </c>
      <c r="AB122" s="21">
        <f t="shared" si="89"/>
        <v>25847.697545242787</v>
      </c>
      <c r="AC122" s="21">
        <f t="shared" si="89"/>
        <v>27767.81222003225</v>
      </c>
      <c r="AD122" s="21">
        <f t="shared" si="89"/>
        <v>29540.225765991756</v>
      </c>
      <c r="AE122" s="21">
        <f t="shared" si="89"/>
        <v>59080.451531983512</v>
      </c>
      <c r="AF122" s="21">
        <f t="shared" si="89"/>
        <v>118160.90306396702</v>
      </c>
      <c r="AG122" s="21">
        <f t="shared" si="89"/>
        <v>236321.80612793405</v>
      </c>
      <c r="AH122" s="21">
        <f t="shared" si="89"/>
        <v>472643.61225586809</v>
      </c>
      <c r="AI122" s="20">
        <f t="shared" si="89"/>
        <v>945287.22451173619</v>
      </c>
      <c r="AJ122" s="21">
        <f t="shared" si="89"/>
        <v>1890574.4490234724</v>
      </c>
      <c r="AK122" s="21">
        <f t="shared" si="89"/>
        <v>3781148.8980469448</v>
      </c>
      <c r="AL122" s="21">
        <f t="shared" si="89"/>
        <v>7562297.7960938895</v>
      </c>
      <c r="AM122" s="21">
        <f t="shared" si="89"/>
        <v>9536112.7934061997</v>
      </c>
      <c r="AN122" s="72">
        <f t="shared" si="89"/>
        <v>9536112.7934061997</v>
      </c>
      <c r="AO122" s="45"/>
    </row>
    <row r="123" spans="1:41" x14ac:dyDescent="0.25">
      <c r="A123" s="42"/>
      <c r="B123" s="6"/>
      <c r="C123" s="10"/>
      <c r="D123" s="8"/>
      <c r="E123" s="27">
        <v>2E-3</v>
      </c>
      <c r="F123" s="10"/>
      <c r="G123" s="10"/>
      <c r="H123" s="10"/>
      <c r="I123" s="10"/>
      <c r="J123" s="10"/>
      <c r="K123" s="10"/>
      <c r="L123" s="29">
        <f t="shared" ref="L123:AN123" si="90">L$76*$D$122*$E$123</f>
        <v>1.8029922952875828E-3</v>
      </c>
      <c r="M123" s="30">
        <f t="shared" si="90"/>
        <v>3.6059845905751656E-3</v>
      </c>
      <c r="N123" s="30">
        <f t="shared" si="90"/>
        <v>7.2119691811503312E-3</v>
      </c>
      <c r="O123" s="30">
        <f t="shared" si="90"/>
        <v>1.4423938362300662E-2</v>
      </c>
      <c r="P123" s="30">
        <f t="shared" si="90"/>
        <v>2.8847876724601325E-2</v>
      </c>
      <c r="Q123" s="30">
        <f t="shared" si="90"/>
        <v>5.769575344920265E-2</v>
      </c>
      <c r="R123" s="30">
        <f t="shared" si="90"/>
        <v>0.1153915068984053</v>
      </c>
      <c r="S123" s="30">
        <f t="shared" si="90"/>
        <v>0.2307830137968106</v>
      </c>
      <c r="T123" s="30">
        <f t="shared" si="90"/>
        <v>0.4615660275936212</v>
      </c>
      <c r="U123" s="30">
        <f t="shared" si="90"/>
        <v>0.9231320551872424</v>
      </c>
      <c r="V123" s="30">
        <f t="shared" si="90"/>
        <v>1.8462641103744848</v>
      </c>
      <c r="W123" s="30">
        <f t="shared" si="90"/>
        <v>3.6925282207489696</v>
      </c>
      <c r="X123" s="30">
        <f t="shared" si="90"/>
        <v>7.3850564414979392</v>
      </c>
      <c r="Y123" s="30">
        <f t="shared" si="90"/>
        <v>14.770112882995878</v>
      </c>
      <c r="Z123" s="30">
        <f t="shared" si="90"/>
        <v>29.540225765991757</v>
      </c>
      <c r="AA123" s="30">
        <f t="shared" si="90"/>
        <v>44.310338648987639</v>
      </c>
      <c r="AB123" s="30">
        <f t="shared" si="90"/>
        <v>51.695395090485576</v>
      </c>
      <c r="AC123" s="30">
        <f t="shared" si="90"/>
        <v>55.535624440064502</v>
      </c>
      <c r="AD123" s="30">
        <f t="shared" si="90"/>
        <v>59.080451531983513</v>
      </c>
      <c r="AE123" s="30">
        <f t="shared" si="90"/>
        <v>118.16090306396703</v>
      </c>
      <c r="AF123" s="30">
        <f t="shared" si="90"/>
        <v>236.32180612793405</v>
      </c>
      <c r="AG123" s="30">
        <f t="shared" si="90"/>
        <v>472.64361225586811</v>
      </c>
      <c r="AH123" s="30">
        <f t="shared" si="90"/>
        <v>945.28722451173621</v>
      </c>
      <c r="AI123" s="29">
        <f t="shared" si="90"/>
        <v>1890.5744490234724</v>
      </c>
      <c r="AJ123" s="30">
        <f t="shared" si="90"/>
        <v>3781.1488980469449</v>
      </c>
      <c r="AK123" s="30">
        <f t="shared" si="90"/>
        <v>7562.2977960938897</v>
      </c>
      <c r="AL123" s="30">
        <f t="shared" si="90"/>
        <v>15124.595592187779</v>
      </c>
      <c r="AM123" s="30">
        <f t="shared" si="90"/>
        <v>19072.225586812401</v>
      </c>
      <c r="AN123" s="71">
        <f t="shared" si="90"/>
        <v>19072.225586812401</v>
      </c>
      <c r="AO123" s="45"/>
    </row>
    <row r="124" spans="1:41" x14ac:dyDescent="0.25">
      <c r="A124" s="42" t="s">
        <v>20</v>
      </c>
      <c r="B124" s="6">
        <f>'Population by Age - Wikipedia'!D9</f>
        <v>0.13133799200038965</v>
      </c>
      <c r="C124" s="10">
        <f t="shared" si="76"/>
        <v>43415808.994604804</v>
      </c>
      <c r="D124" s="23">
        <f>'AU Infection Rate by Age'!C12</f>
        <v>9.8548647195843032E-3</v>
      </c>
      <c r="E124" s="17"/>
      <c r="F124" s="10"/>
      <c r="G124" s="10"/>
      <c r="H124" s="10"/>
      <c r="I124" s="10"/>
      <c r="J124" s="10"/>
      <c r="K124" s="10"/>
      <c r="L124" s="20">
        <f t="shared" ref="L124:AN124" si="91">L$76*$D$124</f>
        <v>0.30796452248700945</v>
      </c>
      <c r="M124" s="21">
        <f t="shared" si="91"/>
        <v>0.6159290449740189</v>
      </c>
      <c r="N124" s="21">
        <f t="shared" si="91"/>
        <v>1.2318580899480378</v>
      </c>
      <c r="O124" s="21">
        <f t="shared" si="91"/>
        <v>2.4637161798960756</v>
      </c>
      <c r="P124" s="21">
        <f t="shared" si="91"/>
        <v>4.9274323597921512</v>
      </c>
      <c r="Q124" s="21">
        <f t="shared" si="91"/>
        <v>9.8548647195843024</v>
      </c>
      <c r="R124" s="21">
        <f t="shared" si="91"/>
        <v>19.709729439168605</v>
      </c>
      <c r="S124" s="21">
        <f t="shared" si="91"/>
        <v>39.41945887833721</v>
      </c>
      <c r="T124" s="21">
        <f t="shared" si="91"/>
        <v>78.838917756674419</v>
      </c>
      <c r="U124" s="21">
        <f t="shared" si="91"/>
        <v>157.67783551334884</v>
      </c>
      <c r="V124" s="21">
        <f t="shared" si="91"/>
        <v>315.35567102669768</v>
      </c>
      <c r="W124" s="21">
        <f t="shared" si="91"/>
        <v>630.71134205339536</v>
      </c>
      <c r="X124" s="21">
        <f t="shared" si="91"/>
        <v>1261.4226841067907</v>
      </c>
      <c r="Y124" s="21">
        <f t="shared" si="91"/>
        <v>2522.8453682135814</v>
      </c>
      <c r="Z124" s="21">
        <f t="shared" si="91"/>
        <v>5045.6907364271628</v>
      </c>
      <c r="AA124" s="21">
        <f t="shared" si="91"/>
        <v>7568.5361046407452</v>
      </c>
      <c r="AB124" s="21">
        <f t="shared" si="91"/>
        <v>8829.9587887475354</v>
      </c>
      <c r="AC124" s="21">
        <f t="shared" si="91"/>
        <v>9485.8985844830677</v>
      </c>
      <c r="AD124" s="21">
        <f t="shared" si="91"/>
        <v>10091.381472854326</v>
      </c>
      <c r="AE124" s="21">
        <f t="shared" si="91"/>
        <v>20182.762945708651</v>
      </c>
      <c r="AF124" s="21">
        <f t="shared" si="91"/>
        <v>40365.525891417303</v>
      </c>
      <c r="AG124" s="21">
        <f t="shared" si="91"/>
        <v>80731.051782834606</v>
      </c>
      <c r="AH124" s="21">
        <f t="shared" si="91"/>
        <v>161462.10356566921</v>
      </c>
      <c r="AI124" s="20">
        <f t="shared" si="91"/>
        <v>322924.20713133842</v>
      </c>
      <c r="AJ124" s="21">
        <f t="shared" si="91"/>
        <v>645848.41426267684</v>
      </c>
      <c r="AK124" s="21">
        <f t="shared" si="91"/>
        <v>1291696.8285253537</v>
      </c>
      <c r="AL124" s="21">
        <f t="shared" si="91"/>
        <v>2583393.6570507074</v>
      </c>
      <c r="AM124" s="21">
        <f t="shared" si="91"/>
        <v>3257678.2834617449</v>
      </c>
      <c r="AN124" s="72">
        <f t="shared" si="91"/>
        <v>3257678.2834617449</v>
      </c>
      <c r="AO124" s="45"/>
    </row>
    <row r="125" spans="1:41" x14ac:dyDescent="0.25">
      <c r="A125" s="42"/>
      <c r="B125" s="7"/>
      <c r="C125" s="11"/>
      <c r="D125" s="26"/>
      <c r="E125" s="28">
        <v>0</v>
      </c>
      <c r="F125" s="10"/>
      <c r="G125" s="10"/>
      <c r="H125" s="10"/>
      <c r="I125" s="10"/>
      <c r="J125" s="10"/>
      <c r="K125" s="10"/>
      <c r="L125" s="31">
        <f t="shared" ref="L125:AN125" si="92">L$76*$D$124*$E$125</f>
        <v>0</v>
      </c>
      <c r="M125" s="32">
        <f t="shared" si="92"/>
        <v>0</v>
      </c>
      <c r="N125" s="32">
        <f t="shared" si="92"/>
        <v>0</v>
      </c>
      <c r="O125" s="32">
        <f t="shared" si="92"/>
        <v>0</v>
      </c>
      <c r="P125" s="32">
        <f t="shared" si="92"/>
        <v>0</v>
      </c>
      <c r="Q125" s="32">
        <f t="shared" si="92"/>
        <v>0</v>
      </c>
      <c r="R125" s="32">
        <f t="shared" si="92"/>
        <v>0</v>
      </c>
      <c r="S125" s="32">
        <f t="shared" si="92"/>
        <v>0</v>
      </c>
      <c r="T125" s="32">
        <f t="shared" si="92"/>
        <v>0</v>
      </c>
      <c r="U125" s="32">
        <f t="shared" si="92"/>
        <v>0</v>
      </c>
      <c r="V125" s="32">
        <f t="shared" si="92"/>
        <v>0</v>
      </c>
      <c r="W125" s="32">
        <f t="shared" si="92"/>
        <v>0</v>
      </c>
      <c r="X125" s="32">
        <f t="shared" si="92"/>
        <v>0</v>
      </c>
      <c r="Y125" s="32">
        <f t="shared" si="92"/>
        <v>0</v>
      </c>
      <c r="Z125" s="32">
        <f t="shared" si="92"/>
        <v>0</v>
      </c>
      <c r="AA125" s="32">
        <f t="shared" si="92"/>
        <v>0</v>
      </c>
      <c r="AB125" s="32">
        <f t="shared" si="92"/>
        <v>0</v>
      </c>
      <c r="AC125" s="32">
        <f t="shared" si="92"/>
        <v>0</v>
      </c>
      <c r="AD125" s="32">
        <f t="shared" si="92"/>
        <v>0</v>
      </c>
      <c r="AE125" s="32">
        <f t="shared" si="92"/>
        <v>0</v>
      </c>
      <c r="AF125" s="32">
        <f t="shared" si="92"/>
        <v>0</v>
      </c>
      <c r="AG125" s="32">
        <f t="shared" si="92"/>
        <v>0</v>
      </c>
      <c r="AH125" s="32">
        <f t="shared" si="92"/>
        <v>0</v>
      </c>
      <c r="AI125" s="29">
        <f t="shared" si="92"/>
        <v>0</v>
      </c>
      <c r="AJ125" s="30">
        <f t="shared" si="92"/>
        <v>0</v>
      </c>
      <c r="AK125" s="30">
        <f t="shared" si="92"/>
        <v>0</v>
      </c>
      <c r="AL125" s="30">
        <f t="shared" si="92"/>
        <v>0</v>
      </c>
      <c r="AM125" s="30">
        <f t="shared" si="92"/>
        <v>0</v>
      </c>
      <c r="AN125" s="71">
        <f t="shared" si="92"/>
        <v>0</v>
      </c>
      <c r="AO125" s="45"/>
    </row>
    <row r="126" spans="1:41" x14ac:dyDescent="0.25">
      <c r="A126" s="41" t="s">
        <v>39</v>
      </c>
      <c r="B126" s="14"/>
      <c r="C126" s="10"/>
      <c r="D126" s="10"/>
      <c r="E126" s="15"/>
      <c r="F126" s="10"/>
      <c r="G126" s="10"/>
      <c r="H126" s="10"/>
      <c r="I126" s="10"/>
      <c r="J126" s="10"/>
      <c r="K126" s="10"/>
      <c r="L126" s="18">
        <f t="shared" ref="L126:AE126" si="93">SUM(L108,L110,L112,L114,L116,L118,L120,L122,L124)</f>
        <v>31.249999999999996</v>
      </c>
      <c r="M126" s="19">
        <f t="shared" si="93"/>
        <v>62.499999999999993</v>
      </c>
      <c r="N126" s="19">
        <f t="shared" si="93"/>
        <v>124.99999999999999</v>
      </c>
      <c r="O126" s="19">
        <f t="shared" si="93"/>
        <v>249.99999999999997</v>
      </c>
      <c r="P126" s="19">
        <f t="shared" si="93"/>
        <v>499.99999999999994</v>
      </c>
      <c r="Q126" s="19">
        <f>SUM(Q108,Q110,Q112,Q114,Q116,Q118,Q120,Q122,Q124)</f>
        <v>999.99999999999989</v>
      </c>
      <c r="R126" s="19">
        <f t="shared" si="93"/>
        <v>1999.9999999999998</v>
      </c>
      <c r="S126" s="19">
        <f t="shared" si="93"/>
        <v>3999.9999999999995</v>
      </c>
      <c r="T126" s="19">
        <f t="shared" si="93"/>
        <v>7999.9999999999991</v>
      </c>
      <c r="U126" s="19">
        <f t="shared" si="93"/>
        <v>15999.999999999998</v>
      </c>
      <c r="V126" s="19">
        <f t="shared" si="93"/>
        <v>31999.999999999996</v>
      </c>
      <c r="W126" s="19">
        <f t="shared" si="93"/>
        <v>63999.999999999993</v>
      </c>
      <c r="X126" s="19">
        <f t="shared" si="93"/>
        <v>127999.99999999999</v>
      </c>
      <c r="Y126" s="19">
        <f t="shared" si="93"/>
        <v>255999.99999999997</v>
      </c>
      <c r="Z126" s="19">
        <f t="shared" si="93"/>
        <v>511999.99999999994</v>
      </c>
      <c r="AA126" s="19">
        <f t="shared" ref="AA126:AC126" si="94">SUM(AA108,AA110,AA112,AA114,AA116,AA118,AA120,AA122,AA124)</f>
        <v>768000</v>
      </c>
      <c r="AB126" s="19">
        <f t="shared" si="94"/>
        <v>895999.99999999988</v>
      </c>
      <c r="AC126" s="19">
        <f t="shared" si="94"/>
        <v>962559.99999999988</v>
      </c>
      <c r="AD126" s="19">
        <f t="shared" si="93"/>
        <v>1023999.9999999999</v>
      </c>
      <c r="AE126" s="19">
        <f t="shared" si="93"/>
        <v>2047999.9999999998</v>
      </c>
      <c r="AF126" s="19">
        <f t="shared" ref="AF126:AH127" si="95">SUM(AF108,AF110,AF112,AF114,AF116,AF118,AF120,AF122,AF124)</f>
        <v>4095999.9999999995</v>
      </c>
      <c r="AG126" s="19">
        <f t="shared" si="95"/>
        <v>8191999.9999999991</v>
      </c>
      <c r="AH126" s="19">
        <f t="shared" si="95"/>
        <v>16383999.999999998</v>
      </c>
      <c r="AI126" s="18">
        <f t="shared" ref="AI126:AN126" si="96">SUM(AI108,AI110,AI112,AI114,AI116,AI118,AI120,AI122,AI124)</f>
        <v>32767999.999999996</v>
      </c>
      <c r="AJ126" s="19">
        <f t="shared" si="96"/>
        <v>65535999.999999993</v>
      </c>
      <c r="AK126" s="19">
        <f t="shared" si="96"/>
        <v>131071999.99999999</v>
      </c>
      <c r="AL126" s="19">
        <f t="shared" si="96"/>
        <v>262143999.99999997</v>
      </c>
      <c r="AM126" s="19">
        <f t="shared" si="96"/>
        <v>330565499.99999994</v>
      </c>
      <c r="AN126" s="60">
        <f t="shared" si="96"/>
        <v>330565499.99999994</v>
      </c>
      <c r="AO126" s="45"/>
    </row>
    <row r="127" spans="1:41" x14ac:dyDescent="0.25">
      <c r="A127" s="43" t="s">
        <v>38</v>
      </c>
      <c r="B127" s="44"/>
      <c r="C127" s="11"/>
      <c r="D127" s="11"/>
      <c r="E127" s="38"/>
      <c r="F127" s="11"/>
      <c r="G127" s="11"/>
      <c r="H127" s="11"/>
      <c r="I127" s="11"/>
      <c r="J127" s="11"/>
      <c r="K127" s="11"/>
      <c r="L127" s="31">
        <f>SUM(L109,L111,L113,L115,L117,L119,L121,L123,L125)</f>
        <v>0.69269060204264477</v>
      </c>
      <c r="M127" s="32">
        <f>SUM(M109,M111,M113,M115,M117,M119,M121,M123,M125)</f>
        <v>1.3853812040852895</v>
      </c>
      <c r="N127" s="32">
        <f t="shared" ref="N127:AE127" si="97">SUM(N109,N111,N113,N115,N117,N119,N121,N123,N125)</f>
        <v>2.7707624081705791</v>
      </c>
      <c r="O127" s="32">
        <f t="shared" si="97"/>
        <v>5.5415248163411581</v>
      </c>
      <c r="P127" s="32">
        <f t="shared" si="97"/>
        <v>11.083049632682316</v>
      </c>
      <c r="Q127" s="32">
        <f t="shared" si="97"/>
        <v>22.166099265364632</v>
      </c>
      <c r="R127" s="32">
        <f t="shared" si="97"/>
        <v>44.332198530729265</v>
      </c>
      <c r="S127" s="32">
        <f t="shared" si="97"/>
        <v>88.66439706145853</v>
      </c>
      <c r="T127" s="32">
        <f t="shared" si="97"/>
        <v>177.32879412291706</v>
      </c>
      <c r="U127" s="32">
        <f t="shared" si="97"/>
        <v>354.65758824583412</v>
      </c>
      <c r="V127" s="32">
        <f t="shared" si="97"/>
        <v>709.31517649166824</v>
      </c>
      <c r="W127" s="32">
        <f t="shared" si="97"/>
        <v>1418.6303529833365</v>
      </c>
      <c r="X127" s="32">
        <f t="shared" si="97"/>
        <v>2837.260705966673</v>
      </c>
      <c r="Y127" s="32">
        <f t="shared" si="97"/>
        <v>5674.5214119333459</v>
      </c>
      <c r="Z127" s="32">
        <f t="shared" si="97"/>
        <v>11349.042823866692</v>
      </c>
      <c r="AA127" s="32">
        <f t="shared" ref="AA127:AC127" si="98">SUM(AA109,AA111,AA113,AA115,AA117,AA119,AA121,AA123,AA125)</f>
        <v>17023.564235800037</v>
      </c>
      <c r="AB127" s="32">
        <f t="shared" si="98"/>
        <v>19860.824941766703</v>
      </c>
      <c r="AC127" s="32">
        <f t="shared" si="98"/>
        <v>21336.200508869377</v>
      </c>
      <c r="AD127" s="32">
        <f t="shared" si="97"/>
        <v>22698.085647733384</v>
      </c>
      <c r="AE127" s="32">
        <f t="shared" si="97"/>
        <v>45396.171295466767</v>
      </c>
      <c r="AF127" s="32">
        <f t="shared" si="95"/>
        <v>90792.342590933535</v>
      </c>
      <c r="AG127" s="32">
        <f t="shared" si="95"/>
        <v>181584.68518186707</v>
      </c>
      <c r="AH127" s="32">
        <f t="shared" si="95"/>
        <v>363169.37036373414</v>
      </c>
      <c r="AI127" s="31">
        <f t="shared" ref="AI127:AN127" si="99">SUM(AI109,AI111,AI113,AI115,AI117,AI119,AI121,AI123,AI125)</f>
        <v>726338.74072746828</v>
      </c>
      <c r="AJ127" s="32">
        <f t="shared" si="99"/>
        <v>1452677.4814549366</v>
      </c>
      <c r="AK127" s="32">
        <f t="shared" si="99"/>
        <v>2905354.9629098731</v>
      </c>
      <c r="AL127" s="32">
        <f t="shared" si="99"/>
        <v>5810709.9258197462</v>
      </c>
      <c r="AM127" s="32">
        <f t="shared" si="99"/>
        <v>7327347.6867048908</v>
      </c>
      <c r="AN127" s="73">
        <f t="shared" si="99"/>
        <v>7327347.6867048908</v>
      </c>
      <c r="AO127" s="45"/>
    </row>
    <row r="128" spans="1:41" x14ac:dyDescent="0.25">
      <c r="A128" s="42"/>
      <c r="B128" s="14"/>
      <c r="C128" s="10"/>
      <c r="D128" s="10"/>
      <c r="E128" s="15"/>
      <c r="F128" s="10"/>
      <c r="G128" s="10"/>
      <c r="H128" s="10"/>
      <c r="I128" s="10"/>
      <c r="J128" s="10"/>
      <c r="K128" s="10"/>
      <c r="L128" s="45"/>
      <c r="M128" s="45"/>
      <c r="N128" s="45"/>
      <c r="O128" s="45"/>
      <c r="P128" s="45"/>
      <c r="Q128" s="45"/>
      <c r="R128" s="45"/>
      <c r="S128" s="45"/>
      <c r="T128" s="45"/>
      <c r="U128" s="45"/>
      <c r="V128" s="45"/>
      <c r="W128" s="45"/>
      <c r="X128" s="45"/>
      <c r="Y128" s="45"/>
      <c r="Z128" s="45"/>
      <c r="AA128" s="45"/>
      <c r="AB128" s="45"/>
      <c r="AC128" s="45"/>
      <c r="AD128" s="45"/>
      <c r="AE128" s="45"/>
      <c r="AF128" s="45"/>
    </row>
    <row r="129" spans="1:41" x14ac:dyDescent="0.25">
      <c r="A129" s="54" t="s">
        <v>50</v>
      </c>
      <c r="B129" s="14"/>
      <c r="C129" s="10"/>
      <c r="D129" s="10"/>
      <c r="E129" s="15"/>
      <c r="F129" s="10"/>
      <c r="G129" s="10"/>
      <c r="H129" s="10"/>
      <c r="I129" s="10"/>
      <c r="J129" s="10"/>
      <c r="K129" s="10"/>
      <c r="L129" s="45"/>
      <c r="M129" s="45"/>
      <c r="N129" s="45"/>
      <c r="O129" s="45"/>
      <c r="P129" s="45"/>
      <c r="Q129" s="45"/>
      <c r="R129" s="45"/>
      <c r="S129" s="45"/>
      <c r="T129" s="45"/>
      <c r="U129" s="45"/>
      <c r="V129" s="45"/>
      <c r="W129" s="45"/>
      <c r="X129" s="45"/>
      <c r="Y129" s="45"/>
      <c r="Z129" s="45"/>
      <c r="AA129" s="45"/>
      <c r="AB129" s="45"/>
      <c r="AC129" s="45"/>
      <c r="AD129" s="45"/>
      <c r="AE129" s="45"/>
      <c r="AF129" s="45"/>
    </row>
    <row r="130" spans="1:41" x14ac:dyDescent="0.25">
      <c r="A130" s="4"/>
      <c r="B130" s="9" t="s">
        <v>5</v>
      </c>
      <c r="C130" s="9" t="s">
        <v>3</v>
      </c>
      <c r="D130" s="9"/>
      <c r="E130" s="59" t="s">
        <v>2</v>
      </c>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5"/>
      <c r="AO130" s="47"/>
    </row>
    <row r="131" spans="1:41" x14ac:dyDescent="0.25">
      <c r="A131" s="48" t="s">
        <v>1</v>
      </c>
      <c r="B131" s="24">
        <v>0.36799999999999999</v>
      </c>
      <c r="C131" s="10">
        <f>$B$62 * B131</f>
        <v>121648104</v>
      </c>
      <c r="D131" s="16"/>
      <c r="E131" s="16"/>
      <c r="F131" s="16"/>
      <c r="G131" s="16"/>
      <c r="H131" s="16"/>
      <c r="I131" s="16"/>
      <c r="J131" s="16"/>
      <c r="K131" s="16"/>
      <c r="L131" s="18">
        <f t="shared" ref="L131:AN131" si="100">L$76*$B$131</f>
        <v>11.5</v>
      </c>
      <c r="M131" s="19">
        <f t="shared" si="100"/>
        <v>23</v>
      </c>
      <c r="N131" s="19">
        <f t="shared" si="100"/>
        <v>46</v>
      </c>
      <c r="O131" s="19">
        <f t="shared" si="100"/>
        <v>92</v>
      </c>
      <c r="P131" s="19">
        <f t="shared" si="100"/>
        <v>184</v>
      </c>
      <c r="Q131" s="19">
        <f t="shared" si="100"/>
        <v>368</v>
      </c>
      <c r="R131" s="19">
        <f t="shared" si="100"/>
        <v>736</v>
      </c>
      <c r="S131" s="19">
        <f t="shared" si="100"/>
        <v>1472</v>
      </c>
      <c r="T131" s="19">
        <f t="shared" si="100"/>
        <v>2944</v>
      </c>
      <c r="U131" s="19">
        <f t="shared" si="100"/>
        <v>5888</v>
      </c>
      <c r="V131" s="19">
        <f t="shared" si="100"/>
        <v>11776</v>
      </c>
      <c r="W131" s="19">
        <f t="shared" si="100"/>
        <v>23552</v>
      </c>
      <c r="X131" s="19">
        <f t="shared" si="100"/>
        <v>47104</v>
      </c>
      <c r="Y131" s="19">
        <f t="shared" si="100"/>
        <v>94208</v>
      </c>
      <c r="Z131" s="19">
        <f t="shared" si="100"/>
        <v>188416</v>
      </c>
      <c r="AA131" s="19">
        <f t="shared" si="100"/>
        <v>282624</v>
      </c>
      <c r="AB131" s="19">
        <f t="shared" si="100"/>
        <v>329728</v>
      </c>
      <c r="AC131" s="19">
        <f t="shared" si="100"/>
        <v>354222.08000000002</v>
      </c>
      <c r="AD131" s="19">
        <f t="shared" si="100"/>
        <v>376832</v>
      </c>
      <c r="AE131" s="19">
        <f t="shared" si="100"/>
        <v>753664</v>
      </c>
      <c r="AF131" s="19">
        <f t="shared" si="100"/>
        <v>1507328</v>
      </c>
      <c r="AG131" s="19">
        <f t="shared" si="100"/>
        <v>3014656</v>
      </c>
      <c r="AH131" s="19">
        <f t="shared" si="100"/>
        <v>6029312</v>
      </c>
      <c r="AI131" s="18">
        <f t="shared" si="100"/>
        <v>12058624</v>
      </c>
      <c r="AJ131" s="19">
        <f t="shared" si="100"/>
        <v>24117248</v>
      </c>
      <c r="AK131" s="19">
        <f t="shared" si="100"/>
        <v>48234496</v>
      </c>
      <c r="AL131" s="19">
        <f t="shared" si="100"/>
        <v>96468992</v>
      </c>
      <c r="AM131" s="19">
        <f t="shared" si="100"/>
        <v>121648104</v>
      </c>
      <c r="AN131" s="60">
        <f t="shared" si="100"/>
        <v>121648104</v>
      </c>
      <c r="AO131" s="45"/>
    </row>
    <row r="132" spans="1:41" x14ac:dyDescent="0.25">
      <c r="A132" s="48"/>
      <c r="B132" s="16"/>
      <c r="C132" s="16"/>
      <c r="D132" s="25"/>
      <c r="E132" s="46">
        <v>0.105</v>
      </c>
      <c r="F132" s="16"/>
      <c r="G132" s="16"/>
      <c r="H132" s="16"/>
      <c r="I132" s="16"/>
      <c r="J132" s="16"/>
      <c r="K132" s="16"/>
      <c r="L132" s="29">
        <f>L131*$E$132</f>
        <v>1.2075</v>
      </c>
      <c r="M132" s="30">
        <f t="shared" ref="M132:AE132" si="101">M131*$E$132</f>
        <v>2.415</v>
      </c>
      <c r="N132" s="30">
        <f t="shared" si="101"/>
        <v>4.83</v>
      </c>
      <c r="O132" s="30">
        <f t="shared" si="101"/>
        <v>9.66</v>
      </c>
      <c r="P132" s="30">
        <f t="shared" si="101"/>
        <v>19.32</v>
      </c>
      <c r="Q132" s="30">
        <f t="shared" si="101"/>
        <v>38.64</v>
      </c>
      <c r="R132" s="30">
        <f t="shared" si="101"/>
        <v>77.28</v>
      </c>
      <c r="S132" s="30">
        <f t="shared" si="101"/>
        <v>154.56</v>
      </c>
      <c r="T132" s="30">
        <f t="shared" si="101"/>
        <v>309.12</v>
      </c>
      <c r="U132" s="30">
        <f t="shared" si="101"/>
        <v>618.24</v>
      </c>
      <c r="V132" s="30">
        <f t="shared" si="101"/>
        <v>1236.48</v>
      </c>
      <c r="W132" s="30">
        <f t="shared" si="101"/>
        <v>2472.96</v>
      </c>
      <c r="X132" s="30">
        <f t="shared" si="101"/>
        <v>4945.92</v>
      </c>
      <c r="Y132" s="30">
        <f t="shared" si="101"/>
        <v>9891.84</v>
      </c>
      <c r="Z132" s="30">
        <f t="shared" si="101"/>
        <v>19783.68</v>
      </c>
      <c r="AA132" s="30">
        <f t="shared" ref="AA132:AC132" si="102">AA131*$E$132</f>
        <v>29675.52</v>
      </c>
      <c r="AB132" s="30">
        <f t="shared" si="102"/>
        <v>34621.440000000002</v>
      </c>
      <c r="AC132" s="30">
        <f t="shared" si="102"/>
        <v>37193.318400000004</v>
      </c>
      <c r="AD132" s="30">
        <f t="shared" si="101"/>
        <v>39567.360000000001</v>
      </c>
      <c r="AE132" s="30">
        <f t="shared" si="101"/>
        <v>79134.720000000001</v>
      </c>
      <c r="AF132" s="30">
        <f>AF131*$E$132</f>
        <v>158269.44</v>
      </c>
      <c r="AG132" s="30">
        <f>AG131*$E$132</f>
        <v>316538.88</v>
      </c>
      <c r="AH132" s="30">
        <f>AH131*$E$132</f>
        <v>633077.76000000001</v>
      </c>
      <c r="AI132" s="29">
        <f t="shared" ref="AI132:AN132" si="103">AI131*$E$132</f>
        <v>1266155.52</v>
      </c>
      <c r="AJ132" s="30">
        <f t="shared" si="103"/>
        <v>2532311.04</v>
      </c>
      <c r="AK132" s="30">
        <f t="shared" si="103"/>
        <v>5064622.0800000001</v>
      </c>
      <c r="AL132" s="30">
        <f t="shared" si="103"/>
        <v>10129244.16</v>
      </c>
      <c r="AM132" s="30">
        <f t="shared" si="103"/>
        <v>12773050.92</v>
      </c>
      <c r="AN132" s="71">
        <f t="shared" si="103"/>
        <v>12773050.92</v>
      </c>
      <c r="AO132" s="45"/>
    </row>
    <row r="133" spans="1:41" x14ac:dyDescent="0.25">
      <c r="A133" s="48" t="s">
        <v>4</v>
      </c>
      <c r="B133" s="24">
        <v>9.8000000000000004E-2</v>
      </c>
      <c r="C133" s="10">
        <f>$B$62 * B133</f>
        <v>32395419</v>
      </c>
      <c r="D133" s="47"/>
      <c r="E133" s="16"/>
      <c r="F133" s="16"/>
      <c r="G133" s="16"/>
      <c r="H133" s="16"/>
      <c r="I133" s="16"/>
      <c r="J133" s="16"/>
      <c r="K133" s="16"/>
      <c r="L133" s="20">
        <f t="shared" ref="L133:AN133" si="104">L$76*$B$133</f>
        <v>3.0625</v>
      </c>
      <c r="M133" s="21">
        <f t="shared" si="104"/>
        <v>6.125</v>
      </c>
      <c r="N133" s="21">
        <f t="shared" si="104"/>
        <v>12.25</v>
      </c>
      <c r="O133" s="21">
        <f t="shared" si="104"/>
        <v>24.5</v>
      </c>
      <c r="P133" s="21">
        <f t="shared" si="104"/>
        <v>49</v>
      </c>
      <c r="Q133" s="21">
        <f t="shared" si="104"/>
        <v>98</v>
      </c>
      <c r="R133" s="21">
        <f t="shared" si="104"/>
        <v>196</v>
      </c>
      <c r="S133" s="21">
        <f t="shared" si="104"/>
        <v>392</v>
      </c>
      <c r="T133" s="21">
        <f t="shared" si="104"/>
        <v>784</v>
      </c>
      <c r="U133" s="21">
        <f t="shared" si="104"/>
        <v>1568</v>
      </c>
      <c r="V133" s="21">
        <f t="shared" si="104"/>
        <v>3136</v>
      </c>
      <c r="W133" s="21">
        <f t="shared" si="104"/>
        <v>6272</v>
      </c>
      <c r="X133" s="21">
        <f t="shared" si="104"/>
        <v>12544</v>
      </c>
      <c r="Y133" s="21">
        <f t="shared" si="104"/>
        <v>25088</v>
      </c>
      <c r="Z133" s="21">
        <f t="shared" si="104"/>
        <v>50176</v>
      </c>
      <c r="AA133" s="21">
        <f t="shared" si="104"/>
        <v>75264</v>
      </c>
      <c r="AB133" s="21">
        <f t="shared" si="104"/>
        <v>87808</v>
      </c>
      <c r="AC133" s="21">
        <f t="shared" si="104"/>
        <v>94330.880000000005</v>
      </c>
      <c r="AD133" s="21">
        <f t="shared" si="104"/>
        <v>100352</v>
      </c>
      <c r="AE133" s="21">
        <f t="shared" si="104"/>
        <v>200704</v>
      </c>
      <c r="AF133" s="21">
        <f t="shared" si="104"/>
        <v>401408</v>
      </c>
      <c r="AG133" s="21">
        <f t="shared" si="104"/>
        <v>802816</v>
      </c>
      <c r="AH133" s="21">
        <f t="shared" si="104"/>
        <v>1605632</v>
      </c>
      <c r="AI133" s="20">
        <f t="shared" si="104"/>
        <v>3211264</v>
      </c>
      <c r="AJ133" s="21">
        <f t="shared" si="104"/>
        <v>6422528</v>
      </c>
      <c r="AK133" s="21">
        <f t="shared" si="104"/>
        <v>12845056</v>
      </c>
      <c r="AL133" s="21">
        <f t="shared" si="104"/>
        <v>25690112</v>
      </c>
      <c r="AM133" s="21">
        <f t="shared" si="104"/>
        <v>32395419</v>
      </c>
      <c r="AN133" s="72">
        <f t="shared" si="104"/>
        <v>32395419</v>
      </c>
      <c r="AO133" s="45"/>
    </row>
    <row r="134" spans="1:41" x14ac:dyDescent="0.25">
      <c r="A134" s="48"/>
      <c r="B134" s="16"/>
      <c r="C134" s="16"/>
      <c r="D134" s="25"/>
      <c r="E134" s="46">
        <v>7.2999999999999995E-2</v>
      </c>
      <c r="F134" s="16"/>
      <c r="G134" s="16"/>
      <c r="H134" s="16"/>
      <c r="I134" s="16"/>
      <c r="J134" s="16"/>
      <c r="K134" s="16"/>
      <c r="L134" s="29">
        <f t="shared" ref="L134:AE134" si="105">L133*$E$134</f>
        <v>0.2235625</v>
      </c>
      <c r="M134" s="30">
        <f t="shared" si="105"/>
        <v>0.44712499999999999</v>
      </c>
      <c r="N134" s="30">
        <f t="shared" si="105"/>
        <v>0.89424999999999999</v>
      </c>
      <c r="O134" s="30">
        <f t="shared" si="105"/>
        <v>1.7885</v>
      </c>
      <c r="P134" s="30">
        <f t="shared" si="105"/>
        <v>3.577</v>
      </c>
      <c r="Q134" s="30">
        <f t="shared" si="105"/>
        <v>7.1539999999999999</v>
      </c>
      <c r="R134" s="30">
        <f t="shared" si="105"/>
        <v>14.308</v>
      </c>
      <c r="S134" s="30">
        <f t="shared" si="105"/>
        <v>28.616</v>
      </c>
      <c r="T134" s="30">
        <f t="shared" si="105"/>
        <v>57.231999999999999</v>
      </c>
      <c r="U134" s="30">
        <f t="shared" si="105"/>
        <v>114.464</v>
      </c>
      <c r="V134" s="30">
        <f t="shared" si="105"/>
        <v>228.928</v>
      </c>
      <c r="W134" s="30">
        <f t="shared" si="105"/>
        <v>457.85599999999999</v>
      </c>
      <c r="X134" s="30">
        <f t="shared" si="105"/>
        <v>915.71199999999999</v>
      </c>
      <c r="Y134" s="30">
        <f t="shared" si="105"/>
        <v>1831.424</v>
      </c>
      <c r="Z134" s="30">
        <f t="shared" si="105"/>
        <v>3662.848</v>
      </c>
      <c r="AA134" s="30">
        <f t="shared" ref="AA134:AC134" si="106">AA133*$E$134</f>
        <v>5494.2719999999999</v>
      </c>
      <c r="AB134" s="30">
        <f t="shared" si="106"/>
        <v>6409.9839999999995</v>
      </c>
      <c r="AC134" s="30">
        <f t="shared" si="106"/>
        <v>6886.1542399999998</v>
      </c>
      <c r="AD134" s="30">
        <f t="shared" si="105"/>
        <v>7325.6959999999999</v>
      </c>
      <c r="AE134" s="30">
        <f t="shared" si="105"/>
        <v>14651.392</v>
      </c>
      <c r="AF134" s="30">
        <f>AF133*$E$134</f>
        <v>29302.784</v>
      </c>
      <c r="AG134" s="30">
        <f>AG133*$E$134</f>
        <v>58605.567999999999</v>
      </c>
      <c r="AH134" s="30">
        <f>AH133*$E$134</f>
        <v>117211.136</v>
      </c>
      <c r="AI134" s="29">
        <f t="shared" ref="AI134:AN134" si="107">AI133*$E$134</f>
        <v>234422.272</v>
      </c>
      <c r="AJ134" s="30">
        <f t="shared" si="107"/>
        <v>468844.54399999999</v>
      </c>
      <c r="AK134" s="30">
        <f t="shared" si="107"/>
        <v>937689.08799999999</v>
      </c>
      <c r="AL134" s="30">
        <f t="shared" si="107"/>
        <v>1875378.176</v>
      </c>
      <c r="AM134" s="30">
        <f t="shared" si="107"/>
        <v>2364865.5869999998</v>
      </c>
      <c r="AN134" s="71">
        <f t="shared" si="107"/>
        <v>2364865.5869999998</v>
      </c>
      <c r="AO134" s="45"/>
    </row>
    <row r="135" spans="1:41" x14ac:dyDescent="0.25">
      <c r="A135" s="48" t="s">
        <v>6</v>
      </c>
      <c r="B135" s="24">
        <v>0.13400000000000001</v>
      </c>
      <c r="C135" s="10">
        <f>$B$62 * B135</f>
        <v>44295777</v>
      </c>
      <c r="D135" s="47"/>
      <c r="E135" s="16"/>
      <c r="F135" s="16"/>
      <c r="G135" s="16"/>
      <c r="H135" s="16"/>
      <c r="I135" s="16"/>
      <c r="J135" s="16"/>
      <c r="K135" s="16"/>
      <c r="L135" s="20">
        <f t="shared" ref="L135:AN135" si="108">L$76*$B$135</f>
        <v>4.1875</v>
      </c>
      <c r="M135" s="21">
        <f t="shared" si="108"/>
        <v>8.375</v>
      </c>
      <c r="N135" s="21">
        <f t="shared" si="108"/>
        <v>16.75</v>
      </c>
      <c r="O135" s="21">
        <f t="shared" si="108"/>
        <v>33.5</v>
      </c>
      <c r="P135" s="21">
        <f t="shared" si="108"/>
        <v>67</v>
      </c>
      <c r="Q135" s="21">
        <f t="shared" si="108"/>
        <v>134</v>
      </c>
      <c r="R135" s="21">
        <f t="shared" si="108"/>
        <v>268</v>
      </c>
      <c r="S135" s="21">
        <f t="shared" si="108"/>
        <v>536</v>
      </c>
      <c r="T135" s="21">
        <f t="shared" si="108"/>
        <v>1072</v>
      </c>
      <c r="U135" s="21">
        <f t="shared" si="108"/>
        <v>2144</v>
      </c>
      <c r="V135" s="21">
        <f t="shared" si="108"/>
        <v>4288</v>
      </c>
      <c r="W135" s="21">
        <f t="shared" si="108"/>
        <v>8576</v>
      </c>
      <c r="X135" s="21">
        <f t="shared" si="108"/>
        <v>17152</v>
      </c>
      <c r="Y135" s="21">
        <f t="shared" si="108"/>
        <v>34304</v>
      </c>
      <c r="Z135" s="21">
        <f t="shared" si="108"/>
        <v>68608</v>
      </c>
      <c r="AA135" s="21">
        <f t="shared" si="108"/>
        <v>102912</v>
      </c>
      <c r="AB135" s="21">
        <f t="shared" si="108"/>
        <v>120064</v>
      </c>
      <c r="AC135" s="21">
        <f t="shared" si="108"/>
        <v>128983.04000000001</v>
      </c>
      <c r="AD135" s="21">
        <f t="shared" si="108"/>
        <v>137216</v>
      </c>
      <c r="AE135" s="21">
        <f t="shared" si="108"/>
        <v>274432</v>
      </c>
      <c r="AF135" s="21">
        <f t="shared" si="108"/>
        <v>548864</v>
      </c>
      <c r="AG135" s="21">
        <f t="shared" si="108"/>
        <v>1097728</v>
      </c>
      <c r="AH135" s="21">
        <f t="shared" si="108"/>
        <v>2195456</v>
      </c>
      <c r="AI135" s="20">
        <f t="shared" si="108"/>
        <v>4390912</v>
      </c>
      <c r="AJ135" s="21">
        <f t="shared" si="108"/>
        <v>8781824</v>
      </c>
      <c r="AK135" s="21">
        <f t="shared" si="108"/>
        <v>17563648</v>
      </c>
      <c r="AL135" s="21">
        <f t="shared" si="108"/>
        <v>35127296</v>
      </c>
      <c r="AM135" s="21">
        <f t="shared" si="108"/>
        <v>44295777</v>
      </c>
      <c r="AN135" s="72">
        <f t="shared" si="108"/>
        <v>44295777</v>
      </c>
      <c r="AO135" s="45"/>
    </row>
    <row r="136" spans="1:41" x14ac:dyDescent="0.25">
      <c r="A136" s="48"/>
      <c r="B136" s="16"/>
      <c r="C136" s="16"/>
      <c r="D136" s="25"/>
      <c r="E136" s="46">
        <v>6.3E-2</v>
      </c>
      <c r="F136" s="16"/>
      <c r="G136" s="16"/>
      <c r="H136" s="16"/>
      <c r="I136" s="16"/>
      <c r="J136" s="16"/>
      <c r="K136" s="16"/>
      <c r="L136" s="29">
        <f t="shared" ref="L136:AE136" si="109">L135*$E$136</f>
        <v>0.26381250000000001</v>
      </c>
      <c r="M136" s="30">
        <f t="shared" si="109"/>
        <v>0.52762500000000001</v>
      </c>
      <c r="N136" s="30">
        <f t="shared" si="109"/>
        <v>1.05525</v>
      </c>
      <c r="O136" s="30">
        <f t="shared" si="109"/>
        <v>2.1105</v>
      </c>
      <c r="P136" s="30">
        <f t="shared" si="109"/>
        <v>4.2210000000000001</v>
      </c>
      <c r="Q136" s="30">
        <f t="shared" si="109"/>
        <v>8.4420000000000002</v>
      </c>
      <c r="R136" s="30">
        <f t="shared" si="109"/>
        <v>16.884</v>
      </c>
      <c r="S136" s="30">
        <f t="shared" si="109"/>
        <v>33.768000000000001</v>
      </c>
      <c r="T136" s="30">
        <f t="shared" si="109"/>
        <v>67.536000000000001</v>
      </c>
      <c r="U136" s="30">
        <f t="shared" si="109"/>
        <v>135.072</v>
      </c>
      <c r="V136" s="30">
        <f t="shared" si="109"/>
        <v>270.14400000000001</v>
      </c>
      <c r="W136" s="30">
        <f t="shared" si="109"/>
        <v>540.28800000000001</v>
      </c>
      <c r="X136" s="30">
        <f t="shared" si="109"/>
        <v>1080.576</v>
      </c>
      <c r="Y136" s="30">
        <f t="shared" si="109"/>
        <v>2161.152</v>
      </c>
      <c r="Z136" s="30">
        <f t="shared" si="109"/>
        <v>4322.3040000000001</v>
      </c>
      <c r="AA136" s="30">
        <f t="shared" ref="AA136:AC136" si="110">AA135*$E$136</f>
        <v>6483.4560000000001</v>
      </c>
      <c r="AB136" s="30">
        <f t="shared" si="110"/>
        <v>7564.0320000000002</v>
      </c>
      <c r="AC136" s="30">
        <f t="shared" si="110"/>
        <v>8125.931520000001</v>
      </c>
      <c r="AD136" s="30">
        <f t="shared" si="109"/>
        <v>8644.6080000000002</v>
      </c>
      <c r="AE136" s="30">
        <f t="shared" si="109"/>
        <v>17289.216</v>
      </c>
      <c r="AF136" s="30">
        <f>AF135*$E$136</f>
        <v>34578.432000000001</v>
      </c>
      <c r="AG136" s="30">
        <f>AG135*$E$136</f>
        <v>69156.864000000001</v>
      </c>
      <c r="AH136" s="30">
        <f>AH135*$E$136</f>
        <v>138313.728</v>
      </c>
      <c r="AI136" s="29">
        <f t="shared" ref="AI136:AN136" si="111">AI135*$E$136</f>
        <v>276627.45600000001</v>
      </c>
      <c r="AJ136" s="30">
        <f t="shared" si="111"/>
        <v>553254.91200000001</v>
      </c>
      <c r="AK136" s="30">
        <f t="shared" si="111"/>
        <v>1106509.824</v>
      </c>
      <c r="AL136" s="30">
        <f t="shared" si="111"/>
        <v>2213019.648</v>
      </c>
      <c r="AM136" s="30">
        <f t="shared" si="111"/>
        <v>2790633.9509999999</v>
      </c>
      <c r="AN136" s="71">
        <f t="shared" si="111"/>
        <v>2790633.9509999999</v>
      </c>
      <c r="AO136" s="45"/>
    </row>
    <row r="137" spans="1:41" x14ac:dyDescent="0.25">
      <c r="A137" s="48" t="s">
        <v>7</v>
      </c>
      <c r="B137" s="24">
        <v>0.46</v>
      </c>
      <c r="C137" s="10">
        <f>$B$62 * B137</f>
        <v>152060130</v>
      </c>
      <c r="D137" s="47"/>
      <c r="E137" s="16"/>
      <c r="F137" s="16"/>
      <c r="G137" s="16"/>
      <c r="H137" s="16"/>
      <c r="I137" s="16"/>
      <c r="J137" s="16"/>
      <c r="K137" s="16"/>
      <c r="L137" s="20">
        <f t="shared" ref="L137:AN137" si="112">L$76*$B$137</f>
        <v>14.375</v>
      </c>
      <c r="M137" s="21">
        <f t="shared" si="112"/>
        <v>28.75</v>
      </c>
      <c r="N137" s="21">
        <f t="shared" si="112"/>
        <v>57.5</v>
      </c>
      <c r="O137" s="21">
        <f t="shared" si="112"/>
        <v>115</v>
      </c>
      <c r="P137" s="21">
        <f t="shared" si="112"/>
        <v>230</v>
      </c>
      <c r="Q137" s="21">
        <f t="shared" si="112"/>
        <v>460</v>
      </c>
      <c r="R137" s="21">
        <f t="shared" si="112"/>
        <v>920</v>
      </c>
      <c r="S137" s="21">
        <f t="shared" si="112"/>
        <v>1840</v>
      </c>
      <c r="T137" s="21">
        <f t="shared" si="112"/>
        <v>3680</v>
      </c>
      <c r="U137" s="21">
        <f t="shared" si="112"/>
        <v>7360</v>
      </c>
      <c r="V137" s="21">
        <f t="shared" si="112"/>
        <v>14720</v>
      </c>
      <c r="W137" s="21">
        <f t="shared" si="112"/>
        <v>29440</v>
      </c>
      <c r="X137" s="21">
        <f t="shared" si="112"/>
        <v>58880</v>
      </c>
      <c r="Y137" s="21">
        <f t="shared" si="112"/>
        <v>117760</v>
      </c>
      <c r="Z137" s="21">
        <f t="shared" si="112"/>
        <v>235520</v>
      </c>
      <c r="AA137" s="21">
        <f t="shared" si="112"/>
        <v>353280</v>
      </c>
      <c r="AB137" s="21">
        <f t="shared" si="112"/>
        <v>412160</v>
      </c>
      <c r="AC137" s="21">
        <f t="shared" si="112"/>
        <v>442777.60000000003</v>
      </c>
      <c r="AD137" s="21">
        <f t="shared" si="112"/>
        <v>471040</v>
      </c>
      <c r="AE137" s="21">
        <f t="shared" si="112"/>
        <v>942080</v>
      </c>
      <c r="AF137" s="21">
        <f t="shared" si="112"/>
        <v>1884160</v>
      </c>
      <c r="AG137" s="21">
        <f t="shared" si="112"/>
        <v>3768320</v>
      </c>
      <c r="AH137" s="21">
        <f t="shared" si="112"/>
        <v>7536640</v>
      </c>
      <c r="AI137" s="20">
        <f t="shared" si="112"/>
        <v>15073280</v>
      </c>
      <c r="AJ137" s="21">
        <f t="shared" si="112"/>
        <v>30146560</v>
      </c>
      <c r="AK137" s="21">
        <f t="shared" si="112"/>
        <v>60293120</v>
      </c>
      <c r="AL137" s="21">
        <f t="shared" si="112"/>
        <v>120586240</v>
      </c>
      <c r="AM137" s="21">
        <f t="shared" si="112"/>
        <v>152060130</v>
      </c>
      <c r="AN137" s="72">
        <f t="shared" si="112"/>
        <v>152060130</v>
      </c>
      <c r="AO137" s="45"/>
    </row>
    <row r="138" spans="1:41" x14ac:dyDescent="0.25">
      <c r="A138" s="48"/>
      <c r="B138" s="16"/>
      <c r="C138" s="16"/>
      <c r="D138" s="25"/>
      <c r="E138" s="46">
        <v>0.06</v>
      </c>
      <c r="F138" s="16"/>
      <c r="G138" s="16"/>
      <c r="H138" s="16"/>
      <c r="I138" s="16"/>
      <c r="J138" s="16"/>
      <c r="K138" s="16"/>
      <c r="L138" s="29">
        <f t="shared" ref="L138:AE138" si="113">L137*$E$138</f>
        <v>0.86249999999999993</v>
      </c>
      <c r="M138" s="30">
        <f t="shared" si="113"/>
        <v>1.7249999999999999</v>
      </c>
      <c r="N138" s="30">
        <f t="shared" si="113"/>
        <v>3.4499999999999997</v>
      </c>
      <c r="O138" s="30">
        <f t="shared" si="113"/>
        <v>6.8999999999999995</v>
      </c>
      <c r="P138" s="30">
        <f t="shared" si="113"/>
        <v>13.799999999999999</v>
      </c>
      <c r="Q138" s="30">
        <f t="shared" si="113"/>
        <v>27.599999999999998</v>
      </c>
      <c r="R138" s="30">
        <f t="shared" si="113"/>
        <v>55.199999999999996</v>
      </c>
      <c r="S138" s="30">
        <f t="shared" si="113"/>
        <v>110.39999999999999</v>
      </c>
      <c r="T138" s="30">
        <f t="shared" si="113"/>
        <v>220.79999999999998</v>
      </c>
      <c r="U138" s="30">
        <f t="shared" si="113"/>
        <v>441.59999999999997</v>
      </c>
      <c r="V138" s="30">
        <f t="shared" si="113"/>
        <v>883.19999999999993</v>
      </c>
      <c r="W138" s="30">
        <f t="shared" si="113"/>
        <v>1766.3999999999999</v>
      </c>
      <c r="X138" s="30">
        <f t="shared" si="113"/>
        <v>3532.7999999999997</v>
      </c>
      <c r="Y138" s="30">
        <f t="shared" si="113"/>
        <v>7065.5999999999995</v>
      </c>
      <c r="Z138" s="30">
        <f t="shared" si="113"/>
        <v>14131.199999999999</v>
      </c>
      <c r="AA138" s="30">
        <f t="shared" ref="AA138:AC138" si="114">AA137*$E$138</f>
        <v>21196.799999999999</v>
      </c>
      <c r="AB138" s="30">
        <f t="shared" si="114"/>
        <v>24729.599999999999</v>
      </c>
      <c r="AC138" s="30">
        <f t="shared" si="114"/>
        <v>26566.656000000003</v>
      </c>
      <c r="AD138" s="30">
        <f t="shared" si="113"/>
        <v>28262.399999999998</v>
      </c>
      <c r="AE138" s="30">
        <f t="shared" si="113"/>
        <v>56524.799999999996</v>
      </c>
      <c r="AF138" s="30">
        <f>AF137*$E$138</f>
        <v>113049.59999999999</v>
      </c>
      <c r="AG138" s="30">
        <f>AG137*$E$138</f>
        <v>226099.19999999998</v>
      </c>
      <c r="AH138" s="30">
        <f>AH137*$E$138</f>
        <v>452198.39999999997</v>
      </c>
      <c r="AI138" s="29">
        <f t="shared" ref="AI138:AN138" si="115">AI137*$E$138</f>
        <v>904396.79999999993</v>
      </c>
      <c r="AJ138" s="30">
        <f t="shared" si="115"/>
        <v>1808793.5999999999</v>
      </c>
      <c r="AK138" s="30">
        <f t="shared" si="115"/>
        <v>3617587.1999999997</v>
      </c>
      <c r="AL138" s="30">
        <f t="shared" si="115"/>
        <v>7235174.3999999994</v>
      </c>
      <c r="AM138" s="30">
        <f t="shared" si="115"/>
        <v>9123607.7999999989</v>
      </c>
      <c r="AN138" s="71">
        <f t="shared" si="115"/>
        <v>9123607.7999999989</v>
      </c>
      <c r="AO138" s="45"/>
    </row>
    <row r="139" spans="1:41" x14ac:dyDescent="0.25">
      <c r="A139" s="48" t="s">
        <v>8</v>
      </c>
      <c r="B139" s="24">
        <v>4.3899999999999998E-3</v>
      </c>
      <c r="C139" s="10">
        <f>$B$62 * B139</f>
        <v>1451182.5449999999</v>
      </c>
      <c r="D139" s="47"/>
      <c r="E139" s="16"/>
      <c r="F139" s="16"/>
      <c r="G139" s="16"/>
      <c r="H139" s="16"/>
      <c r="I139" s="16"/>
      <c r="J139" s="16"/>
      <c r="K139" s="16"/>
      <c r="L139" s="20">
        <f t="shared" ref="L139:AN139" si="116">L$76*$B$139</f>
        <v>0.13718749999999999</v>
      </c>
      <c r="M139" s="21">
        <f t="shared" si="116"/>
        <v>0.27437499999999998</v>
      </c>
      <c r="N139" s="21">
        <f t="shared" si="116"/>
        <v>0.54874999999999996</v>
      </c>
      <c r="O139" s="21">
        <f t="shared" si="116"/>
        <v>1.0974999999999999</v>
      </c>
      <c r="P139" s="21">
        <f t="shared" si="116"/>
        <v>2.1949999999999998</v>
      </c>
      <c r="Q139" s="21">
        <f t="shared" si="116"/>
        <v>4.3899999999999997</v>
      </c>
      <c r="R139" s="21">
        <f t="shared" si="116"/>
        <v>8.7799999999999994</v>
      </c>
      <c r="S139" s="21">
        <f t="shared" si="116"/>
        <v>17.559999999999999</v>
      </c>
      <c r="T139" s="21">
        <f t="shared" si="116"/>
        <v>35.119999999999997</v>
      </c>
      <c r="U139" s="21">
        <f t="shared" si="116"/>
        <v>70.239999999999995</v>
      </c>
      <c r="V139" s="21">
        <f t="shared" si="116"/>
        <v>140.47999999999999</v>
      </c>
      <c r="W139" s="21">
        <f t="shared" si="116"/>
        <v>280.95999999999998</v>
      </c>
      <c r="X139" s="21">
        <f t="shared" si="116"/>
        <v>561.91999999999996</v>
      </c>
      <c r="Y139" s="21">
        <f t="shared" si="116"/>
        <v>1123.8399999999999</v>
      </c>
      <c r="Z139" s="21">
        <f t="shared" si="116"/>
        <v>2247.6799999999998</v>
      </c>
      <c r="AA139" s="21">
        <f t="shared" si="116"/>
        <v>3371.52</v>
      </c>
      <c r="AB139" s="21">
        <f t="shared" si="116"/>
        <v>3933.4399999999996</v>
      </c>
      <c r="AC139" s="21">
        <f t="shared" si="116"/>
        <v>4225.6383999999998</v>
      </c>
      <c r="AD139" s="21">
        <f t="shared" si="116"/>
        <v>4495.3599999999997</v>
      </c>
      <c r="AE139" s="21">
        <f t="shared" si="116"/>
        <v>8990.7199999999993</v>
      </c>
      <c r="AF139" s="21">
        <f t="shared" si="116"/>
        <v>17981.439999999999</v>
      </c>
      <c r="AG139" s="21">
        <f t="shared" si="116"/>
        <v>35962.879999999997</v>
      </c>
      <c r="AH139" s="21">
        <f t="shared" si="116"/>
        <v>71925.759999999995</v>
      </c>
      <c r="AI139" s="20">
        <f t="shared" si="116"/>
        <v>143851.51999999999</v>
      </c>
      <c r="AJ139" s="21">
        <f t="shared" si="116"/>
        <v>287703.03999999998</v>
      </c>
      <c r="AK139" s="21">
        <f t="shared" si="116"/>
        <v>575406.07999999996</v>
      </c>
      <c r="AL139" s="21">
        <f t="shared" si="116"/>
        <v>1150812.1599999999</v>
      </c>
      <c r="AM139" s="21">
        <f t="shared" si="116"/>
        <v>1451182.5449999999</v>
      </c>
      <c r="AN139" s="72">
        <f t="shared" si="116"/>
        <v>1451182.5449999999</v>
      </c>
      <c r="AO139" s="45"/>
    </row>
    <row r="140" spans="1:41" x14ac:dyDescent="0.25">
      <c r="A140" s="48"/>
      <c r="B140" s="16"/>
      <c r="C140" s="16"/>
      <c r="D140" s="25"/>
      <c r="E140" s="46">
        <v>5.6000000000000001E-2</v>
      </c>
      <c r="F140" s="16"/>
      <c r="G140" s="16"/>
      <c r="H140" s="16"/>
      <c r="I140" s="16"/>
      <c r="J140" s="16"/>
      <c r="K140" s="16"/>
      <c r="L140" s="29">
        <f t="shared" ref="L140:AE140" si="117">L139*$E$140</f>
        <v>7.6824999999999992E-3</v>
      </c>
      <c r="M140" s="30">
        <f t="shared" si="117"/>
        <v>1.5364999999999998E-2</v>
      </c>
      <c r="N140" s="30">
        <f t="shared" si="117"/>
        <v>3.0729999999999997E-2</v>
      </c>
      <c r="O140" s="30">
        <f t="shared" si="117"/>
        <v>6.1459999999999994E-2</v>
      </c>
      <c r="P140" s="30">
        <f t="shared" si="117"/>
        <v>0.12291999999999999</v>
      </c>
      <c r="Q140" s="30">
        <f t="shared" si="117"/>
        <v>0.24583999999999998</v>
      </c>
      <c r="R140" s="30">
        <f t="shared" si="117"/>
        <v>0.49167999999999995</v>
      </c>
      <c r="S140" s="30">
        <f t="shared" si="117"/>
        <v>0.9833599999999999</v>
      </c>
      <c r="T140" s="30">
        <f t="shared" si="117"/>
        <v>1.9667199999999998</v>
      </c>
      <c r="U140" s="30">
        <f t="shared" si="117"/>
        <v>3.9334399999999996</v>
      </c>
      <c r="V140" s="30">
        <f t="shared" si="117"/>
        <v>7.8668799999999992</v>
      </c>
      <c r="W140" s="30">
        <f t="shared" si="117"/>
        <v>15.733759999999998</v>
      </c>
      <c r="X140" s="30">
        <f t="shared" si="117"/>
        <v>31.467519999999997</v>
      </c>
      <c r="Y140" s="30">
        <f t="shared" si="117"/>
        <v>62.935039999999994</v>
      </c>
      <c r="Z140" s="30">
        <f t="shared" si="117"/>
        <v>125.87007999999999</v>
      </c>
      <c r="AA140" s="30">
        <f t="shared" ref="AA140:AC140" si="118">AA139*$E$140</f>
        <v>188.80512000000002</v>
      </c>
      <c r="AB140" s="30">
        <f t="shared" si="118"/>
        <v>220.27264</v>
      </c>
      <c r="AC140" s="30">
        <f t="shared" si="118"/>
        <v>236.63575040000001</v>
      </c>
      <c r="AD140" s="30">
        <f t="shared" si="117"/>
        <v>251.74015999999997</v>
      </c>
      <c r="AE140" s="30">
        <f t="shared" si="117"/>
        <v>503.48031999999995</v>
      </c>
      <c r="AF140" s="30">
        <f>AF139*$E$140</f>
        <v>1006.9606399999999</v>
      </c>
      <c r="AG140" s="30">
        <f>AG139*$E$140</f>
        <v>2013.9212799999998</v>
      </c>
      <c r="AH140" s="30">
        <f>AH139*$E$140</f>
        <v>4027.8425599999996</v>
      </c>
      <c r="AI140" s="29">
        <f t="shared" ref="AI140:AN140" si="119">AI139*$E$140</f>
        <v>8055.6851199999992</v>
      </c>
      <c r="AJ140" s="30">
        <f t="shared" si="119"/>
        <v>16111.370239999998</v>
      </c>
      <c r="AK140" s="30">
        <f t="shared" si="119"/>
        <v>32222.740479999997</v>
      </c>
      <c r="AL140" s="30">
        <f t="shared" si="119"/>
        <v>64445.480959999994</v>
      </c>
      <c r="AM140" s="30">
        <f t="shared" si="119"/>
        <v>81266.222519999996</v>
      </c>
      <c r="AN140" s="71">
        <f t="shared" si="119"/>
        <v>81266.222519999996</v>
      </c>
      <c r="AO140" s="45"/>
    </row>
    <row r="141" spans="1:41" x14ac:dyDescent="0.25">
      <c r="A141" s="48" t="s">
        <v>9</v>
      </c>
      <c r="B141" s="24">
        <v>0.155</v>
      </c>
      <c r="C141" s="10">
        <f>$B$62 * B141</f>
        <v>51237652.5</v>
      </c>
      <c r="D141" s="47"/>
      <c r="E141" s="16"/>
      <c r="F141" s="16"/>
      <c r="G141" s="16"/>
      <c r="H141" s="16"/>
      <c r="I141" s="16"/>
      <c r="J141" s="16"/>
      <c r="K141" s="16"/>
      <c r="L141" s="20">
        <f t="shared" ref="L141:AN141" si="120">L$76*$B$141</f>
        <v>4.84375</v>
      </c>
      <c r="M141" s="21">
        <f t="shared" si="120"/>
        <v>9.6875</v>
      </c>
      <c r="N141" s="21">
        <f t="shared" si="120"/>
        <v>19.375</v>
      </c>
      <c r="O141" s="21">
        <f t="shared" si="120"/>
        <v>38.75</v>
      </c>
      <c r="P141" s="21">
        <f t="shared" si="120"/>
        <v>77.5</v>
      </c>
      <c r="Q141" s="21">
        <f t="shared" si="120"/>
        <v>155</v>
      </c>
      <c r="R141" s="21">
        <f t="shared" si="120"/>
        <v>310</v>
      </c>
      <c r="S141" s="21">
        <f t="shared" si="120"/>
        <v>620</v>
      </c>
      <c r="T141" s="21">
        <f t="shared" si="120"/>
        <v>1240</v>
      </c>
      <c r="U141" s="21">
        <f t="shared" si="120"/>
        <v>2480</v>
      </c>
      <c r="V141" s="21">
        <f t="shared" si="120"/>
        <v>4960</v>
      </c>
      <c r="W141" s="21">
        <f t="shared" si="120"/>
        <v>9920</v>
      </c>
      <c r="X141" s="21">
        <f t="shared" si="120"/>
        <v>19840</v>
      </c>
      <c r="Y141" s="21">
        <f t="shared" si="120"/>
        <v>39680</v>
      </c>
      <c r="Z141" s="21">
        <f t="shared" si="120"/>
        <v>79360</v>
      </c>
      <c r="AA141" s="21">
        <f t="shared" si="120"/>
        <v>119040</v>
      </c>
      <c r="AB141" s="21">
        <f t="shared" si="120"/>
        <v>138880</v>
      </c>
      <c r="AC141" s="21">
        <f t="shared" si="120"/>
        <v>149196.79999999999</v>
      </c>
      <c r="AD141" s="21">
        <f t="shared" si="120"/>
        <v>158720</v>
      </c>
      <c r="AE141" s="21">
        <f t="shared" si="120"/>
        <v>317440</v>
      </c>
      <c r="AF141" s="21">
        <f t="shared" si="120"/>
        <v>634880</v>
      </c>
      <c r="AG141" s="21">
        <f t="shared" si="120"/>
        <v>1269760</v>
      </c>
      <c r="AH141" s="21">
        <f t="shared" si="120"/>
        <v>2539520</v>
      </c>
      <c r="AI141" s="20">
        <f t="shared" si="120"/>
        <v>5079040</v>
      </c>
      <c r="AJ141" s="21">
        <f t="shared" si="120"/>
        <v>10158080</v>
      </c>
      <c r="AK141" s="21">
        <f t="shared" si="120"/>
        <v>20316160</v>
      </c>
      <c r="AL141" s="21">
        <f t="shared" si="120"/>
        <v>40632320</v>
      </c>
      <c r="AM141" s="21">
        <f t="shared" si="120"/>
        <v>51237652.5</v>
      </c>
      <c r="AN141" s="72">
        <f t="shared" si="120"/>
        <v>51237652.5</v>
      </c>
      <c r="AO141" s="45"/>
    </row>
    <row r="142" spans="1:41" x14ac:dyDescent="0.25">
      <c r="A142" s="37"/>
      <c r="B142" s="39"/>
      <c r="C142" s="39"/>
      <c r="D142" s="55"/>
      <c r="E142" s="56" t="s">
        <v>10</v>
      </c>
      <c r="F142" s="39"/>
      <c r="G142" s="39"/>
      <c r="H142" s="39"/>
      <c r="I142" s="39"/>
      <c r="J142" s="39"/>
      <c r="K142" s="39"/>
      <c r="L142" s="31" t="s">
        <v>10</v>
      </c>
      <c r="M142" s="32" t="s">
        <v>10</v>
      </c>
      <c r="N142" s="32" t="s">
        <v>10</v>
      </c>
      <c r="O142" s="32" t="s">
        <v>10</v>
      </c>
      <c r="P142" s="32" t="s">
        <v>10</v>
      </c>
      <c r="Q142" s="32" t="s">
        <v>10</v>
      </c>
      <c r="R142" s="32" t="s">
        <v>10</v>
      </c>
      <c r="S142" s="32" t="s">
        <v>10</v>
      </c>
      <c r="T142" s="32" t="s">
        <v>10</v>
      </c>
      <c r="U142" s="32" t="s">
        <v>10</v>
      </c>
      <c r="V142" s="32" t="s">
        <v>10</v>
      </c>
      <c r="W142" s="32" t="s">
        <v>10</v>
      </c>
      <c r="X142" s="32" t="s">
        <v>10</v>
      </c>
      <c r="Y142" s="32" t="s">
        <v>10</v>
      </c>
      <c r="Z142" s="32" t="s">
        <v>10</v>
      </c>
      <c r="AA142" s="32" t="s">
        <v>10</v>
      </c>
      <c r="AB142" s="32" t="s">
        <v>10</v>
      </c>
      <c r="AC142" s="32" t="s">
        <v>10</v>
      </c>
      <c r="AD142" s="32" t="s">
        <v>10</v>
      </c>
      <c r="AE142" s="32" t="s">
        <v>10</v>
      </c>
      <c r="AF142" s="32" t="s">
        <v>10</v>
      </c>
      <c r="AG142" s="32" t="s">
        <v>10</v>
      </c>
      <c r="AH142" s="32" t="s">
        <v>10</v>
      </c>
      <c r="AI142" s="29" t="s">
        <v>10</v>
      </c>
      <c r="AJ142" s="30" t="s">
        <v>10</v>
      </c>
      <c r="AK142" s="30" t="s">
        <v>10</v>
      </c>
      <c r="AL142" s="30" t="s">
        <v>10</v>
      </c>
      <c r="AM142" s="30" t="s">
        <v>10</v>
      </c>
      <c r="AN142" s="71" t="s">
        <v>10</v>
      </c>
      <c r="AO142" s="45"/>
    </row>
    <row r="143" spans="1:41" x14ac:dyDescent="0.25">
      <c r="A143" s="41"/>
      <c r="B143" s="16"/>
      <c r="C143" s="16"/>
      <c r="D143" s="47"/>
      <c r="E143" s="16"/>
      <c r="F143" s="16"/>
      <c r="G143" s="16"/>
      <c r="H143" s="16"/>
      <c r="I143" s="16"/>
      <c r="J143" s="16"/>
      <c r="K143" s="16"/>
      <c r="L143" s="20">
        <f>SUM(L131,L133,L135,L137,L139,L141)</f>
        <v>38.105937500000003</v>
      </c>
      <c r="M143" s="21">
        <f t="shared" ref="M143:AE143" si="121">SUM(M131,M133,M135,M137,M139,M141)</f>
        <v>76.211875000000006</v>
      </c>
      <c r="N143" s="21">
        <f t="shared" si="121"/>
        <v>152.42375000000001</v>
      </c>
      <c r="O143" s="21">
        <f t="shared" si="121"/>
        <v>304.84750000000003</v>
      </c>
      <c r="P143" s="21">
        <f t="shared" si="121"/>
        <v>609.69500000000005</v>
      </c>
      <c r="Q143" s="21">
        <f t="shared" si="121"/>
        <v>1219.3900000000001</v>
      </c>
      <c r="R143" s="21">
        <f>SUM(R131,R133,R135,R137,R139,R141)</f>
        <v>2438.7800000000002</v>
      </c>
      <c r="S143" s="21">
        <f t="shared" si="121"/>
        <v>4877.5600000000004</v>
      </c>
      <c r="T143" s="21">
        <f t="shared" si="121"/>
        <v>9755.1200000000008</v>
      </c>
      <c r="U143" s="21">
        <f t="shared" si="121"/>
        <v>19510.240000000002</v>
      </c>
      <c r="V143" s="21">
        <f t="shared" si="121"/>
        <v>39020.480000000003</v>
      </c>
      <c r="W143" s="21">
        <f t="shared" si="121"/>
        <v>78040.960000000006</v>
      </c>
      <c r="X143" s="21">
        <f t="shared" si="121"/>
        <v>156081.92000000001</v>
      </c>
      <c r="Y143" s="21">
        <f t="shared" si="121"/>
        <v>312163.84000000003</v>
      </c>
      <c r="Z143" s="21">
        <f t="shared" si="121"/>
        <v>624327.68000000005</v>
      </c>
      <c r="AA143" s="21">
        <f t="shared" ref="AA143:AC143" si="122">SUM(AA131,AA133,AA135,AA137,AA139,AA141)</f>
        <v>936491.52000000002</v>
      </c>
      <c r="AB143" s="21">
        <f t="shared" si="122"/>
        <v>1092573.44</v>
      </c>
      <c r="AC143" s="21">
        <f t="shared" si="122"/>
        <v>1173736.0384000002</v>
      </c>
      <c r="AD143" s="21">
        <f t="shared" si="121"/>
        <v>1248655.3600000001</v>
      </c>
      <c r="AE143" s="21">
        <f t="shared" si="121"/>
        <v>2497310.7200000002</v>
      </c>
      <c r="AF143" s="21">
        <f t="shared" ref="AF143:AH144" si="123">SUM(AF131,AF133,AF135,AF137,AF139,AF141)</f>
        <v>4994621.4400000004</v>
      </c>
      <c r="AG143" s="21">
        <f t="shared" si="123"/>
        <v>9989242.8800000008</v>
      </c>
      <c r="AH143" s="21">
        <f t="shared" si="123"/>
        <v>19978485.760000002</v>
      </c>
      <c r="AI143" s="18">
        <f t="shared" ref="AI143:AN143" si="124">SUM(AI131,AI133,AI135,AI137,AI139,AI141)</f>
        <v>39956971.520000003</v>
      </c>
      <c r="AJ143" s="19">
        <f t="shared" si="124"/>
        <v>79913943.040000007</v>
      </c>
      <c r="AK143" s="19">
        <f t="shared" si="124"/>
        <v>159827886.08000001</v>
      </c>
      <c r="AL143" s="19">
        <f t="shared" si="124"/>
        <v>319655772.16000003</v>
      </c>
      <c r="AM143" s="19">
        <f t="shared" si="124"/>
        <v>403088265.04500002</v>
      </c>
      <c r="AN143" s="60">
        <f t="shared" si="124"/>
        <v>403088265.04500002</v>
      </c>
      <c r="AO143" s="45"/>
    </row>
    <row r="144" spans="1:41" x14ac:dyDescent="0.25">
      <c r="A144" s="37" t="s">
        <v>40</v>
      </c>
      <c r="B144" s="39"/>
      <c r="C144" s="39"/>
      <c r="D144" s="39"/>
      <c r="E144" s="39"/>
      <c r="F144" s="39"/>
      <c r="G144" s="39"/>
      <c r="H144" s="39"/>
      <c r="I144" s="39"/>
      <c r="J144" s="39"/>
      <c r="K144" s="39"/>
      <c r="L144" s="31">
        <f>SUM(L132,L134,L136,L138,L140,L142)</f>
        <v>2.5650575</v>
      </c>
      <c r="M144" s="32">
        <f t="shared" ref="M144:AE144" si="125">SUM(M132,M134,M136,M138,M140,M142)</f>
        <v>5.130115</v>
      </c>
      <c r="N144" s="32">
        <f t="shared" si="125"/>
        <v>10.26023</v>
      </c>
      <c r="O144" s="32">
        <f t="shared" si="125"/>
        <v>20.52046</v>
      </c>
      <c r="P144" s="32">
        <f t="shared" si="125"/>
        <v>41.04092</v>
      </c>
      <c r="Q144" s="32">
        <f t="shared" si="125"/>
        <v>82.08184</v>
      </c>
      <c r="R144" s="32">
        <f t="shared" si="125"/>
        <v>164.16368</v>
      </c>
      <c r="S144" s="32">
        <f t="shared" si="125"/>
        <v>328.32736</v>
      </c>
      <c r="T144" s="32">
        <f t="shared" si="125"/>
        <v>656.65472</v>
      </c>
      <c r="U144" s="32">
        <f t="shared" si="125"/>
        <v>1313.30944</v>
      </c>
      <c r="V144" s="32">
        <f t="shared" si="125"/>
        <v>2626.61888</v>
      </c>
      <c r="W144" s="32">
        <f t="shared" si="125"/>
        <v>5253.23776</v>
      </c>
      <c r="X144" s="32">
        <f t="shared" si="125"/>
        <v>10506.47552</v>
      </c>
      <c r="Y144" s="32">
        <f t="shared" si="125"/>
        <v>21012.95104</v>
      </c>
      <c r="Z144" s="32">
        <f t="shared" si="125"/>
        <v>42025.90208</v>
      </c>
      <c r="AA144" s="32">
        <f t="shared" ref="AA144:AC144" si="126">SUM(AA132,AA134,AA136,AA138,AA140,AA142)</f>
        <v>63038.853119999992</v>
      </c>
      <c r="AB144" s="32">
        <f t="shared" si="126"/>
        <v>73545.328639999992</v>
      </c>
      <c r="AC144" s="32">
        <f t="shared" si="126"/>
        <v>79008.695910400013</v>
      </c>
      <c r="AD144" s="32">
        <f t="shared" si="125"/>
        <v>84051.80416</v>
      </c>
      <c r="AE144" s="32">
        <f t="shared" si="125"/>
        <v>168103.60832</v>
      </c>
      <c r="AF144" s="32">
        <f t="shared" si="123"/>
        <v>336207.21664</v>
      </c>
      <c r="AG144" s="32">
        <f t="shared" si="123"/>
        <v>672414.43328</v>
      </c>
      <c r="AH144" s="32">
        <f t="shared" si="123"/>
        <v>1344828.86656</v>
      </c>
      <c r="AI144" s="31">
        <f t="shared" ref="AI144:AN144" si="127">SUM(AI132,AI134,AI136,AI138,AI140,AI142)</f>
        <v>2689657.73312</v>
      </c>
      <c r="AJ144" s="32">
        <f t="shared" si="127"/>
        <v>5379315.46624</v>
      </c>
      <c r="AK144" s="32">
        <f t="shared" si="127"/>
        <v>10758630.93248</v>
      </c>
      <c r="AL144" s="32">
        <f t="shared" si="127"/>
        <v>21517261.86496</v>
      </c>
      <c r="AM144" s="32">
        <f t="shared" si="127"/>
        <v>27133424.480520003</v>
      </c>
      <c r="AN144" s="73">
        <f t="shared" si="127"/>
        <v>27133424.480520003</v>
      </c>
      <c r="AO144" s="45"/>
    </row>
  </sheetData>
  <conditionalFormatting sqref="AO87 L87:AM87">
    <cfRule type="cellIs" dxfId="21" priority="31" operator="greaterThan">
      <formula>$C$66</formula>
    </cfRule>
  </conditionalFormatting>
  <conditionalFormatting sqref="L89:AM89">
    <cfRule type="cellIs" dxfId="20" priority="30" operator="greaterThan">
      <formula>$C$67</formula>
    </cfRule>
  </conditionalFormatting>
  <conditionalFormatting sqref="L108:AN108">
    <cfRule type="cellIs" dxfId="19" priority="29" operator="greaterThan">
      <formula>$C$108</formula>
    </cfRule>
  </conditionalFormatting>
  <conditionalFormatting sqref="L110:AN110">
    <cfRule type="cellIs" dxfId="18" priority="28" operator="greaterThan">
      <formula>$C$110</formula>
    </cfRule>
  </conditionalFormatting>
  <conditionalFormatting sqref="L112:AN112">
    <cfRule type="cellIs" dxfId="17" priority="27" operator="greaterThan">
      <formula>$C$112</formula>
    </cfRule>
  </conditionalFormatting>
  <conditionalFormatting sqref="L114:AN114">
    <cfRule type="cellIs" dxfId="16" priority="19" operator="greaterThan">
      <formula>$C$114</formula>
    </cfRule>
  </conditionalFormatting>
  <conditionalFormatting sqref="L116:AN116">
    <cfRule type="cellIs" dxfId="15" priority="18" operator="greaterThan">
      <formula>$C$116</formula>
    </cfRule>
  </conditionalFormatting>
  <conditionalFormatting sqref="L118:AN118">
    <cfRule type="cellIs" dxfId="14" priority="17" operator="greaterThan">
      <formula>$C$118</formula>
    </cfRule>
  </conditionalFormatting>
  <conditionalFormatting sqref="L120:AN120">
    <cfRule type="cellIs" dxfId="13" priority="16" operator="greaterThan">
      <formula>$C$120</formula>
    </cfRule>
  </conditionalFormatting>
  <conditionalFormatting sqref="L122:AN122">
    <cfRule type="cellIs" dxfId="12" priority="15" operator="greaterThan">
      <formula>$C$122</formula>
    </cfRule>
  </conditionalFormatting>
  <conditionalFormatting sqref="L124:AN124">
    <cfRule type="cellIs" dxfId="11" priority="14" operator="greaterThan">
      <formula>$C$124</formula>
    </cfRule>
  </conditionalFormatting>
  <conditionalFormatting sqref="L78:AN78">
    <cfRule type="cellIs" dxfId="10" priority="13" operator="equal">
      <formula>0</formula>
    </cfRule>
  </conditionalFormatting>
  <conditionalFormatting sqref="M89:AM89 L87:AM87 L85:AM85">
    <cfRule type="cellIs" dxfId="9" priority="12" operator="equal">
      <formula>0</formula>
    </cfRule>
  </conditionalFormatting>
  <conditionalFormatting sqref="D108">
    <cfRule type="cellIs" dxfId="8" priority="9" operator="greaterThan">
      <formula>$B$108</formula>
    </cfRule>
  </conditionalFormatting>
  <conditionalFormatting sqref="D110">
    <cfRule type="cellIs" dxfId="7" priority="8" operator="greaterThan">
      <formula>$B$110</formula>
    </cfRule>
  </conditionalFormatting>
  <conditionalFormatting sqref="D112">
    <cfRule type="cellIs" dxfId="6" priority="7" operator="greaterThan">
      <formula>$B$112</formula>
    </cfRule>
  </conditionalFormatting>
  <conditionalFormatting sqref="D114">
    <cfRule type="cellIs" dxfId="5" priority="6" operator="greaterThan">
      <formula>$B$114</formula>
    </cfRule>
  </conditionalFormatting>
  <conditionalFormatting sqref="D116">
    <cfRule type="cellIs" dxfId="4" priority="5" operator="greaterThan">
      <formula>$B$116</formula>
    </cfRule>
  </conditionalFormatting>
  <conditionalFormatting sqref="D118">
    <cfRule type="cellIs" dxfId="3" priority="4" operator="greaterThan">
      <formula>$B$118</formula>
    </cfRule>
  </conditionalFormatting>
  <conditionalFormatting sqref="D120">
    <cfRule type="cellIs" dxfId="2" priority="3" operator="greaterThan">
      <formula>$B$120</formula>
    </cfRule>
  </conditionalFormatting>
  <conditionalFormatting sqref="D122">
    <cfRule type="cellIs" dxfId="1" priority="2" operator="greaterThan">
      <formula>$B$122</formula>
    </cfRule>
  </conditionalFormatting>
  <conditionalFormatting sqref="D124">
    <cfRule type="cellIs" dxfId="0" priority="1" operator="greaterThan">
      <formula>$B$124</formula>
    </cfRule>
  </conditionalFormatting>
  <hyperlinks>
    <hyperlink ref="E107" r:id="rId1" location="case-fatality-rate-of-covid-19-by-age" xr:uid="{0058192C-B05A-45D2-8597-C1F9B3D9241E}"/>
    <hyperlink ref="E130" r:id="rId2" location="case-fatality-rate-of-covid-19-by-preexisting-health-conditions" xr:uid="{110A2613-24A6-4768-B90C-571B307D13E2}"/>
    <hyperlink ref="B64" r:id="rId3" display="https://cmmid.github.io/topics/covid19/severity/global_cfr_estimates.html" xr:uid="{478D393B-144B-447C-BE80-8DB4A6AAAE87}"/>
  </hyperlinks>
  <pageMargins left="0.7" right="0.7" top="0.75" bottom="0.75" header="0.3" footer="0.3"/>
  <pageSetup paperSize="9" orientation="portrait" horizontalDpi="0"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F5" sqref="F5"/>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119</v>
      </c>
      <c r="C3" s="163">
        <f>Projections!B62</f>
        <v>330565500</v>
      </c>
      <c r="J3" s="2"/>
    </row>
    <row r="4" spans="2:10" x14ac:dyDescent="0.25">
      <c r="B4" s="180" t="s">
        <v>136</v>
      </c>
      <c r="C4" s="163">
        <f>Projections!L76</f>
        <v>31.25</v>
      </c>
      <c r="J4" s="2"/>
    </row>
    <row r="5" spans="2:10" x14ac:dyDescent="0.25">
      <c r="B5" s="180" t="s">
        <v>137</v>
      </c>
      <c r="C5" s="161">
        <f>Projections!L75</f>
        <v>43882</v>
      </c>
      <c r="J5" s="2"/>
    </row>
    <row r="6" spans="2:10" x14ac:dyDescent="0.25">
      <c r="B6" s="180" t="s">
        <v>120</v>
      </c>
      <c r="C6" s="163">
        <v>644089</v>
      </c>
    </row>
    <row r="7" spans="2:10" x14ac:dyDescent="0.25">
      <c r="B7" s="180" t="s">
        <v>122</v>
      </c>
      <c r="C7" s="161">
        <f ca="1">NOW()</f>
        <v>43937.590662615738</v>
      </c>
    </row>
    <row r="8" spans="2:10" x14ac:dyDescent="0.25">
      <c r="B8" s="180" t="s">
        <v>138</v>
      </c>
      <c r="C8" s="162">
        <f ca="1">C7-C5</f>
        <v>55.590662615737529</v>
      </c>
    </row>
    <row r="9" spans="2:10" x14ac:dyDescent="0.25">
      <c r="B9" s="180" t="s">
        <v>121</v>
      </c>
      <c r="C9" s="164">
        <f ca="1">C8/(LOG(C6/C4)/LOG(2))</f>
        <v>3.8790183313798128</v>
      </c>
      <c r="D9" t="s">
        <v>98</v>
      </c>
      <c r="F9" t="s">
        <v>139</v>
      </c>
    </row>
    <row r="10" spans="2:10" x14ac:dyDescent="0.25">
      <c r="B10" s="180" t="s">
        <v>126</v>
      </c>
      <c r="C10" s="163">
        <f>Projections!C66</f>
        <v>793357.2</v>
      </c>
    </row>
    <row r="11" spans="2:10" x14ac:dyDescent="0.25">
      <c r="B11" s="181" t="s">
        <v>127</v>
      </c>
      <c r="C11" s="168">
        <f>Projections!C67</f>
        <v>114706.22850000001</v>
      </c>
    </row>
    <row r="12" spans="2:10" s="69" customFormat="1" x14ac:dyDescent="0.25">
      <c r="B12" s="62" t="s">
        <v>167</v>
      </c>
      <c r="C12" s="169">
        <f>C6/Projections!B64</f>
        <v>5367408.333333334</v>
      </c>
    </row>
    <row r="13" spans="2:10" s="69" customFormat="1" x14ac:dyDescent="0.25">
      <c r="B13" s="48" t="s">
        <v>168</v>
      </c>
      <c r="C13" s="170">
        <f ca="1">(C4/Projections!B64)*(2^(((C7-21)-C5)/C9))</f>
        <v>125911.74748811456</v>
      </c>
    </row>
    <row r="14" spans="2:10" s="69" customFormat="1" x14ac:dyDescent="0.25">
      <c r="B14" s="49" t="s">
        <v>169</v>
      </c>
      <c r="C14" s="151">
        <f ca="1">C12-C13</f>
        <v>5241496.585845219</v>
      </c>
      <c r="E14" s="166"/>
      <c r="F14" s="167" t="s">
        <v>143</v>
      </c>
      <c r="G14" s="165"/>
    </row>
    <row r="15" spans="2:10" x14ac:dyDescent="0.25">
      <c r="B15" s="4" t="s">
        <v>140</v>
      </c>
      <c r="C15" s="64">
        <f>C6*Projections!B68</f>
        <v>521712.09</v>
      </c>
      <c r="I15" s="160"/>
    </row>
    <row r="16" spans="2:10" x14ac:dyDescent="0.25">
      <c r="B16" s="41" t="s">
        <v>150</v>
      </c>
      <c r="C16" s="83">
        <f ca="1">(C4*Projections!B68)*(2^(((C7-21)-C5)/C9))</f>
        <v>12238.621855844734</v>
      </c>
      <c r="I16" s="160"/>
    </row>
    <row r="17" spans="2:9" x14ac:dyDescent="0.25">
      <c r="B17" s="41" t="s">
        <v>141</v>
      </c>
      <c r="C17" s="83">
        <f ca="1">C15-C16</f>
        <v>509473.46814415528</v>
      </c>
      <c r="F17" t="s">
        <v>144</v>
      </c>
      <c r="I17" s="160"/>
    </row>
    <row r="18" spans="2:9" x14ac:dyDescent="0.25">
      <c r="B18" s="4" t="s">
        <v>146</v>
      </c>
      <c r="C18" s="64">
        <f>C6*Projections!B69</f>
        <v>90172.46</v>
      </c>
    </row>
    <row r="19" spans="2:9" x14ac:dyDescent="0.25">
      <c r="B19" s="41" t="s">
        <v>151</v>
      </c>
      <c r="C19" s="83">
        <f ca="1">(C4*Projections!B69)*(2^(((C7-49)-C5)/C9))</f>
        <v>14.205101901084012</v>
      </c>
    </row>
    <row r="20" spans="2:9" x14ac:dyDescent="0.25">
      <c r="B20" s="41" t="s">
        <v>145</v>
      </c>
      <c r="C20" s="83">
        <f ca="1">C18-C19</f>
        <v>90158.254898098923</v>
      </c>
      <c r="F20" t="s">
        <v>149</v>
      </c>
    </row>
    <row r="21" spans="2:9" x14ac:dyDescent="0.25">
      <c r="B21" s="4" t="s">
        <v>147</v>
      </c>
      <c r="C21" s="64">
        <f>C6*Projections!B70</f>
        <v>32204.45</v>
      </c>
      <c r="I21" s="160"/>
    </row>
    <row r="22" spans="2:9" x14ac:dyDescent="0.25">
      <c r="B22" s="41" t="s">
        <v>152</v>
      </c>
      <c r="C22" s="83">
        <f ca="1">(C4*Projections!B70)*(2^(((C7-49)-C5)/C9))</f>
        <v>5.0732506789585754</v>
      </c>
      <c r="I22" s="160"/>
    </row>
    <row r="23" spans="2:9" x14ac:dyDescent="0.25">
      <c r="B23" s="41" t="s">
        <v>148</v>
      </c>
      <c r="C23" s="83">
        <f ca="1">C21-C22</f>
        <v>32199.376749321043</v>
      </c>
      <c r="I23" s="160"/>
    </row>
    <row r="24" spans="2:9" x14ac:dyDescent="0.25">
      <c r="B24" s="4" t="s">
        <v>153</v>
      </c>
      <c r="C24" s="64">
        <f>C6*Projections!B71</f>
        <v>25763.56</v>
      </c>
    </row>
    <row r="25" spans="2:9" x14ac:dyDescent="0.25">
      <c r="B25" s="37" t="s">
        <v>154</v>
      </c>
      <c r="C25" s="61">
        <f ca="1">(C4*Projections!B71)*(2^(((C7-42)-C5)/C9))</f>
        <v>14.177808435750636</v>
      </c>
      <c r="F25" t="s">
        <v>155</v>
      </c>
    </row>
    <row r="26" spans="2:9" x14ac:dyDescent="0.25">
      <c r="B26" s="41" t="s">
        <v>131</v>
      </c>
      <c r="C26" s="173">
        <f ca="1">C9*(LOG(C10/C21)/LOG(2))</f>
        <v>17.9312999106115</v>
      </c>
      <c r="D26" t="s">
        <v>98</v>
      </c>
      <c r="F26" s="69" t="s">
        <v>156</v>
      </c>
    </row>
    <row r="27" spans="2:9" x14ac:dyDescent="0.25">
      <c r="B27" s="37" t="s">
        <v>128</v>
      </c>
      <c r="C27" s="172">
        <f ca="1">C7+C26</f>
        <v>43955.521962526349</v>
      </c>
      <c r="F27" t="s">
        <v>157</v>
      </c>
    </row>
    <row r="28" spans="2:9" x14ac:dyDescent="0.25">
      <c r="B28" s="4" t="s">
        <v>132</v>
      </c>
      <c r="C28" s="171">
        <f ca="1">C9*(LOG(C11/C21)/LOG(2))</f>
        <v>7.1087346612874027</v>
      </c>
      <c r="D28" t="s">
        <v>98</v>
      </c>
    </row>
    <row r="29" spans="2:9" x14ac:dyDescent="0.25">
      <c r="B29" s="37" t="s">
        <v>129</v>
      </c>
      <c r="C29" s="172">
        <f ca="1">C7+C28</f>
        <v>43944.699397277021</v>
      </c>
      <c r="F29" t="s">
        <v>157</v>
      </c>
    </row>
    <row r="30" spans="2:9" x14ac:dyDescent="0.25">
      <c r="B30" s="4" t="s">
        <v>133</v>
      </c>
      <c r="C30" s="171">
        <f ca="1">C9*(LOG((C3*0.6)/C12)/LOG(2))</f>
        <v>20.200380174078646</v>
      </c>
      <c r="D30" t="s">
        <v>98</v>
      </c>
    </row>
    <row r="31" spans="2:9" x14ac:dyDescent="0.25">
      <c r="B31" s="37" t="s">
        <v>130</v>
      </c>
      <c r="C31" s="172">
        <f ca="1">C7+C30</f>
        <v>43957.791042789817</v>
      </c>
    </row>
    <row r="34" spans="2:6" x14ac:dyDescent="0.25">
      <c r="B34" s="4" t="s">
        <v>134</v>
      </c>
      <c r="C34" s="161">
        <f ca="1">C7+30</f>
        <v>43967.590662615738</v>
      </c>
      <c r="F34" t="s">
        <v>170</v>
      </c>
    </row>
    <row r="35" spans="2:6" x14ac:dyDescent="0.25">
      <c r="B35" s="41" t="s">
        <v>135</v>
      </c>
      <c r="C35" s="83">
        <f ca="1">C6*(2^((C34-C7)/C9))</f>
        <v>137115462.14097822</v>
      </c>
      <c r="F35" t="s">
        <v>142</v>
      </c>
    </row>
    <row r="36" spans="2:6" x14ac:dyDescent="0.25">
      <c r="B36" s="41" t="s">
        <v>193</v>
      </c>
      <c r="C36" s="83">
        <f ca="1">C35/Projections!B64</f>
        <v>1142628851.1748185</v>
      </c>
    </row>
    <row r="37" spans="2:6" x14ac:dyDescent="0.25">
      <c r="B37" s="41" t="s">
        <v>74</v>
      </c>
      <c r="C37" s="83">
        <f ca="1">C35*Projections!B68</f>
        <v>111063524.33419237</v>
      </c>
    </row>
    <row r="38" spans="2:6" x14ac:dyDescent="0.25">
      <c r="B38" s="41" t="s">
        <v>123</v>
      </c>
      <c r="C38" s="83">
        <f ca="1">C35*Projections!B69</f>
        <v>19196164.699736953</v>
      </c>
    </row>
    <row r="39" spans="2:6" x14ac:dyDescent="0.25">
      <c r="B39" s="41" t="s">
        <v>124</v>
      </c>
      <c r="C39" s="83">
        <f ca="1">C35*Projections!B70</f>
        <v>6855773.107048911</v>
      </c>
    </row>
    <row r="40" spans="2:6" x14ac:dyDescent="0.25">
      <c r="B40" s="37" t="s">
        <v>125</v>
      </c>
      <c r="C40" s="61">
        <f ca="1">C35*Projections!B71</f>
        <v>5484618.4856391288</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294" t="s">
        <v>188</v>
      </c>
      <c r="B2" s="229"/>
      <c r="C2" s="76"/>
    </row>
    <row r="3" spans="1:4" x14ac:dyDescent="0.25">
      <c r="A3" s="294"/>
      <c r="B3" s="229" t="s">
        <v>189</v>
      </c>
      <c r="C3" s="76"/>
    </row>
    <row r="4" spans="1:4" x14ac:dyDescent="0.25">
      <c r="A4" s="293" t="s">
        <v>47</v>
      </c>
      <c r="B4" s="232">
        <v>308745538</v>
      </c>
      <c r="C4" s="76"/>
    </row>
    <row r="5" spans="1:4" x14ac:dyDescent="0.25">
      <c r="A5" s="293"/>
      <c r="B5" s="230">
        <v>1</v>
      </c>
      <c r="C5" s="76"/>
    </row>
    <row r="6" spans="1:4" x14ac:dyDescent="0.25">
      <c r="A6" s="293" t="s">
        <v>21</v>
      </c>
      <c r="B6" s="232">
        <v>20201362</v>
      </c>
      <c r="C6" s="76"/>
    </row>
    <row r="7" spans="1:4" x14ac:dyDescent="0.25">
      <c r="A7" s="293"/>
      <c r="B7" s="231">
        <f>B6/$B$4</f>
        <v>6.5430458139932701E-2</v>
      </c>
      <c r="C7" s="77"/>
    </row>
    <row r="8" spans="1:4" x14ac:dyDescent="0.25">
      <c r="A8" s="293" t="s">
        <v>22</v>
      </c>
      <c r="B8" s="232">
        <v>20348657</v>
      </c>
      <c r="C8" s="76"/>
    </row>
    <row r="9" spans="1:4" x14ac:dyDescent="0.25">
      <c r="A9" s="293"/>
      <c r="B9" s="231">
        <f>B8/$B$4</f>
        <v>6.590753386045696E-2</v>
      </c>
      <c r="C9" s="232">
        <f>B6+B8</f>
        <v>40550019</v>
      </c>
      <c r="D9" s="1">
        <f>C9/$B$4</f>
        <v>0.13133799200038965</v>
      </c>
    </row>
    <row r="10" spans="1:4" x14ac:dyDescent="0.25">
      <c r="A10" s="293" t="s">
        <v>23</v>
      </c>
      <c r="B10" s="232">
        <v>20677194</v>
      </c>
      <c r="C10" s="76"/>
    </row>
    <row r="11" spans="1:4" x14ac:dyDescent="0.25">
      <c r="A11" s="293"/>
      <c r="B11" s="231">
        <f>B10/$B$4</f>
        <v>6.6971636688074182E-2</v>
      </c>
      <c r="C11" s="76"/>
    </row>
    <row r="12" spans="1:4" x14ac:dyDescent="0.25">
      <c r="A12" s="293" t="s">
        <v>24</v>
      </c>
      <c r="B12" s="232">
        <v>22040343</v>
      </c>
      <c r="C12" s="76"/>
    </row>
    <row r="13" spans="1:4" x14ac:dyDescent="0.25">
      <c r="A13" s="293"/>
      <c r="B13" s="231">
        <f>B12/$B$4</f>
        <v>7.13867579844992E-2</v>
      </c>
      <c r="C13" s="232">
        <f>B10+B12</f>
        <v>42717537</v>
      </c>
      <c r="D13" s="1">
        <f>C13/$B$4</f>
        <v>0.13835839467257338</v>
      </c>
    </row>
    <row r="14" spans="1:4" x14ac:dyDescent="0.25">
      <c r="A14" s="293" t="s">
        <v>25</v>
      </c>
      <c r="B14" s="232">
        <v>21585999</v>
      </c>
      <c r="C14" s="76"/>
    </row>
    <row r="15" spans="1:4" x14ac:dyDescent="0.25">
      <c r="A15" s="293"/>
      <c r="B15" s="231">
        <f>B14/$B$4</f>
        <v>6.9915177203305853E-2</v>
      </c>
      <c r="C15" s="76"/>
    </row>
    <row r="16" spans="1:4" x14ac:dyDescent="0.25">
      <c r="A16" s="293" t="s">
        <v>26</v>
      </c>
      <c r="B16" s="232">
        <v>21101849</v>
      </c>
      <c r="C16" s="76"/>
    </row>
    <row r="17" spans="1:4" x14ac:dyDescent="0.25">
      <c r="A17" s="293"/>
      <c r="B17" s="231">
        <f>B16/$B$4</f>
        <v>6.8347057375125531E-2</v>
      </c>
      <c r="C17" s="232">
        <f>B14+B16</f>
        <v>42687848</v>
      </c>
      <c r="D17" s="1">
        <f>C17/$B$4</f>
        <v>0.13826223457843137</v>
      </c>
    </row>
    <row r="18" spans="1:4" x14ac:dyDescent="0.25">
      <c r="A18" s="293" t="s">
        <v>27</v>
      </c>
      <c r="B18" s="232">
        <v>19962099</v>
      </c>
      <c r="C18" s="76"/>
    </row>
    <row r="19" spans="1:4" x14ac:dyDescent="0.25">
      <c r="A19" s="293"/>
      <c r="B19" s="231">
        <f>B18/$B$4</f>
        <v>6.465550604977488E-2</v>
      </c>
      <c r="C19" s="77"/>
    </row>
    <row r="20" spans="1:4" x14ac:dyDescent="0.25">
      <c r="A20" s="293" t="s">
        <v>28</v>
      </c>
      <c r="B20" s="232">
        <v>20179642</v>
      </c>
      <c r="C20" s="76"/>
    </row>
    <row r="21" spans="1:4" x14ac:dyDescent="0.25">
      <c r="A21" s="293"/>
      <c r="B21" s="231">
        <f>B20/$B$4</f>
        <v>6.5360108945121009E-2</v>
      </c>
      <c r="C21" s="232">
        <f>B18+B20</f>
        <v>40141741</v>
      </c>
      <c r="D21" s="1">
        <f>C21/$B$4</f>
        <v>0.13001561499489589</v>
      </c>
    </row>
    <row r="22" spans="1:4" x14ac:dyDescent="0.25">
      <c r="A22" s="293" t="s">
        <v>29</v>
      </c>
      <c r="B22" s="232">
        <v>20890964</v>
      </c>
      <c r="C22" s="76"/>
    </row>
    <row r="23" spans="1:4" x14ac:dyDescent="0.25">
      <c r="A23" s="293"/>
      <c r="B23" s="231">
        <f>B22/$B$4</f>
        <v>6.7664019163898012E-2</v>
      </c>
      <c r="C23" s="76"/>
    </row>
    <row r="24" spans="1:4" x14ac:dyDescent="0.25">
      <c r="A24" s="293" t="s">
        <v>30</v>
      </c>
      <c r="B24" s="232">
        <v>22708591</v>
      </c>
      <c r="C24" s="76"/>
    </row>
    <row r="25" spans="1:4" x14ac:dyDescent="0.25">
      <c r="A25" s="293"/>
      <c r="B25" s="231">
        <f>B24/$B$4</f>
        <v>7.3551155255885833E-2</v>
      </c>
      <c r="C25" s="232">
        <f>B22+B24</f>
        <v>43599555</v>
      </c>
      <c r="D25" s="1">
        <f>C25/$B$4</f>
        <v>0.14121517441978385</v>
      </c>
    </row>
    <row r="26" spans="1:4" x14ac:dyDescent="0.25">
      <c r="A26" s="293" t="s">
        <v>31</v>
      </c>
      <c r="B26" s="232">
        <v>22298125</v>
      </c>
      <c r="C26" s="76"/>
    </row>
    <row r="27" spans="1:4" x14ac:dyDescent="0.25">
      <c r="A27" s="293"/>
      <c r="B27" s="231">
        <f>B26/$B$4</f>
        <v>7.2221691508299629E-2</v>
      </c>
      <c r="C27" s="76"/>
    </row>
    <row r="28" spans="1:4" x14ac:dyDescent="0.25">
      <c r="A28" s="293" t="s">
        <v>32</v>
      </c>
      <c r="B28" s="232">
        <v>19664805</v>
      </c>
      <c r="C28" s="76"/>
    </row>
    <row r="29" spans="1:4" x14ac:dyDescent="0.25">
      <c r="A29" s="293"/>
      <c r="B29" s="231">
        <f>B28/$B$4</f>
        <v>6.3692596587420158E-2</v>
      </c>
      <c r="C29" s="232">
        <f>B26+B28</f>
        <v>41962930</v>
      </c>
      <c r="D29" s="1">
        <f>C29/$B$4</f>
        <v>0.13591428809571979</v>
      </c>
    </row>
    <row r="30" spans="1:4" x14ac:dyDescent="0.25">
      <c r="A30" s="293" t="s">
        <v>33</v>
      </c>
      <c r="B30" s="232">
        <v>16817924</v>
      </c>
      <c r="C30" s="76"/>
    </row>
    <row r="31" spans="1:4" x14ac:dyDescent="0.25">
      <c r="A31" s="293"/>
      <c r="B31" s="231">
        <f>B30/$B$4</f>
        <v>5.4471796123576693E-2</v>
      </c>
      <c r="C31" s="77"/>
    </row>
    <row r="32" spans="1:4" x14ac:dyDescent="0.25">
      <c r="A32" s="293" t="s">
        <v>34</v>
      </c>
      <c r="B32" s="232">
        <v>12435263</v>
      </c>
      <c r="C32" s="76"/>
    </row>
    <row r="33" spans="1:4" x14ac:dyDescent="0.25">
      <c r="A33" s="293"/>
      <c r="B33" s="231">
        <f>B32/$B$4</f>
        <v>4.027673753782314E-2</v>
      </c>
      <c r="C33" s="232">
        <f>B30+B32</f>
        <v>29253187</v>
      </c>
      <c r="D33" s="1">
        <f>C33/$B$4</f>
        <v>9.4748533661399834E-2</v>
      </c>
    </row>
    <row r="34" spans="1:4" x14ac:dyDescent="0.25">
      <c r="A34" s="293" t="s">
        <v>35</v>
      </c>
      <c r="B34" s="232">
        <v>9278166</v>
      </c>
      <c r="C34" s="76"/>
    </row>
    <row r="35" spans="1:4" x14ac:dyDescent="0.25">
      <c r="A35" s="293"/>
      <c r="B35" s="231">
        <f>B34/$B$4</f>
        <v>3.0051174375190486E-2</v>
      </c>
      <c r="C35" s="76"/>
    </row>
    <row r="36" spans="1:4" x14ac:dyDescent="0.25">
      <c r="A36" s="293" t="s">
        <v>36</v>
      </c>
      <c r="B36" s="232">
        <v>7317795</v>
      </c>
      <c r="C36" s="76"/>
    </row>
    <row r="37" spans="1:4" x14ac:dyDescent="0.25">
      <c r="A37" s="293"/>
      <c r="B37" s="231">
        <f>B36/$B$4</f>
        <v>2.370170285667416E-2</v>
      </c>
      <c r="C37" s="232">
        <f>B34+B36</f>
        <v>16595961</v>
      </c>
      <c r="D37" s="1">
        <f>C37/$B$4</f>
        <v>5.3752877231864643E-2</v>
      </c>
    </row>
    <row r="38" spans="1:4" x14ac:dyDescent="0.25">
      <c r="A38" s="293" t="s">
        <v>37</v>
      </c>
      <c r="B38" s="232">
        <v>5743327</v>
      </c>
      <c r="C38" s="76"/>
    </row>
    <row r="39" spans="1:4" x14ac:dyDescent="0.25">
      <c r="A39" s="293"/>
      <c r="B39" s="231">
        <f>B38/$B$4</f>
        <v>1.8602137660690663E-2</v>
      </c>
      <c r="C39" s="76"/>
    </row>
    <row r="40" spans="1:4" x14ac:dyDescent="0.25">
      <c r="A40" s="293" t="s">
        <v>187</v>
      </c>
      <c r="B40" s="232">
        <v>5493433</v>
      </c>
      <c r="C40" s="76"/>
    </row>
    <row r="41" spans="1:4" x14ac:dyDescent="0.25">
      <c r="A41" s="293"/>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38:A39"/>
    <mergeCell ref="A40:A41"/>
    <mergeCell ref="A26:A27"/>
    <mergeCell ref="A28:A29"/>
    <mergeCell ref="A30:A31"/>
    <mergeCell ref="A32:A33"/>
    <mergeCell ref="A34:A35"/>
    <mergeCell ref="A36:A37"/>
    <mergeCell ref="A24:A25"/>
    <mergeCell ref="A2:A3"/>
    <mergeCell ref="A4:A5"/>
    <mergeCell ref="A6:A7"/>
    <mergeCell ref="A8:A9"/>
    <mergeCell ref="A10:A11"/>
    <mergeCell ref="A12:A13"/>
    <mergeCell ref="A14:A15"/>
    <mergeCell ref="A16:A17"/>
    <mergeCell ref="A18:A19"/>
    <mergeCell ref="A20:A21"/>
    <mergeCell ref="A22:A23"/>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190</v>
      </c>
    </row>
    <row r="2" spans="1:3" x14ac:dyDescent="0.25">
      <c r="A2" t="s">
        <v>191</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2020-04-16T04:10:33Z</dcterms:modified>
</cp:coreProperties>
</file>