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9E58CC22-DB29-44B7-862A-629CCB9A6FDF}"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ABS Population by Age Range" sheetId="2" r:id="rId3"/>
    <sheet name="AU Infection Rate by Ag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7" i="1" l="1"/>
  <c r="Y16" i="1"/>
  <c r="Y17" i="1"/>
  <c r="Z16" i="1"/>
  <c r="O5" i="1"/>
  <c r="Q8" i="1"/>
  <c r="P7" i="1"/>
  <c r="P6" i="1"/>
  <c r="AB32" i="1"/>
  <c r="AB33" i="1"/>
  <c r="AB13" i="1"/>
  <c r="AB24" i="1"/>
  <c r="AB22" i="1"/>
  <c r="G16" i="1"/>
  <c r="G17" i="1" s="1"/>
  <c r="Z18" i="1"/>
  <c r="AB15" i="1"/>
  <c r="AB16" i="1"/>
  <c r="AB17" i="1" s="1"/>
  <c r="H16" i="1"/>
  <c r="H17" i="1" s="1"/>
  <c r="I16" i="1"/>
  <c r="I17" i="1" s="1"/>
  <c r="J16" i="1"/>
  <c r="J17" i="1" s="1"/>
  <c r="K16" i="1"/>
  <c r="K17" i="1" s="1"/>
  <c r="L16" i="1"/>
  <c r="L17" i="1" s="1"/>
  <c r="M16" i="1"/>
  <c r="M17" i="1" s="1"/>
  <c r="N16" i="1"/>
  <c r="N17" i="1" s="1"/>
  <c r="O16" i="1"/>
  <c r="O17" i="1" s="1"/>
  <c r="P16" i="1"/>
  <c r="P17" i="1" s="1"/>
  <c r="Q16" i="1"/>
  <c r="Q17" i="1" s="1"/>
  <c r="R16" i="1"/>
  <c r="R17" i="1" s="1"/>
  <c r="S16" i="1"/>
  <c r="S17" i="1" s="1"/>
  <c r="T16" i="1"/>
  <c r="T17" i="1" s="1"/>
  <c r="U16" i="1"/>
  <c r="U17" i="1" s="1"/>
  <c r="V16" i="1"/>
  <c r="V17" i="1" s="1"/>
  <c r="W16" i="1"/>
  <c r="W17" i="1" s="1"/>
  <c r="X16" i="1"/>
  <c r="X17" i="1" s="1"/>
  <c r="B17" i="4"/>
  <c r="AB14" i="1"/>
  <c r="R23" i="1"/>
  <c r="Q23" i="1"/>
  <c r="P23" i="1"/>
  <c r="AA20" i="1"/>
  <c r="O21" i="1"/>
  <c r="K20" i="1"/>
  <c r="K21" i="1" s="1"/>
  <c r="L20" i="1"/>
  <c r="L21" i="1" s="1"/>
  <c r="M20" i="1"/>
  <c r="N20" i="1"/>
  <c r="N21" i="1" s="1"/>
  <c r="O20" i="1"/>
  <c r="P20" i="1"/>
  <c r="P21" i="1" s="1"/>
  <c r="Q20" i="1"/>
  <c r="R20" i="1"/>
  <c r="S20" i="1"/>
  <c r="T20" i="1"/>
  <c r="U20" i="1"/>
  <c r="V20" i="1"/>
  <c r="W20" i="1"/>
  <c r="X20" i="1"/>
  <c r="Y20" i="1"/>
  <c r="Z20" i="1"/>
  <c r="AA25" i="1"/>
  <c r="Z24" i="1"/>
  <c r="AA18" i="1"/>
  <c r="AA14" i="1"/>
  <c r="AA15" i="1"/>
  <c r="AA22" i="1"/>
  <c r="Z22" i="1"/>
  <c r="L22" i="1"/>
  <c r="L23" i="1" s="1"/>
  <c r="M22" i="1"/>
  <c r="M23" i="1" s="1"/>
  <c r="M21" i="1" s="1"/>
  <c r="N22" i="1"/>
  <c r="N23" i="1" s="1"/>
  <c r="O22" i="1"/>
  <c r="O23" i="1" s="1"/>
  <c r="P22" i="1"/>
  <c r="Q22" i="1"/>
  <c r="R22" i="1"/>
  <c r="S22" i="1"/>
  <c r="T22" i="1"/>
  <c r="U22" i="1"/>
  <c r="V22" i="1"/>
  <c r="V23" i="1" s="1"/>
  <c r="W22" i="1"/>
  <c r="W23" i="1" s="1"/>
  <c r="X22" i="1"/>
  <c r="X23" i="1" s="1"/>
  <c r="Y22" i="1"/>
  <c r="Y23" i="1" s="1"/>
  <c r="K22" i="1"/>
  <c r="K23" i="1" s="1"/>
  <c r="R18" i="1"/>
  <c r="Q25" i="1"/>
  <c r="R25" i="1"/>
  <c r="S25" i="1"/>
  <c r="T25" i="1"/>
  <c r="U25" i="1"/>
  <c r="V25" i="1"/>
  <c r="W25" i="1"/>
  <c r="X25" i="1"/>
  <c r="Y25" i="1"/>
  <c r="Z25" i="1"/>
  <c r="P25" i="1"/>
  <c r="K18" i="1"/>
  <c r="J20" i="1"/>
  <c r="I20" i="1"/>
  <c r="L18" i="1"/>
  <c r="M18" i="1"/>
  <c r="N18" i="1"/>
  <c r="O18" i="1"/>
  <c r="P18" i="1"/>
  <c r="P19" i="1" s="1"/>
  <c r="Q18" i="1"/>
  <c r="S18" i="1"/>
  <c r="T18" i="1"/>
  <c r="U18" i="1"/>
  <c r="V18" i="1"/>
  <c r="W18" i="1"/>
  <c r="X18" i="1"/>
  <c r="Y18" i="1"/>
  <c r="H28" i="1"/>
  <c r="I28" i="1"/>
  <c r="J28" i="1"/>
  <c r="K28" i="1"/>
  <c r="L28" i="1"/>
  <c r="M28" i="1"/>
  <c r="N28" i="1"/>
  <c r="O28" i="1"/>
  <c r="P28" i="1"/>
  <c r="Q28" i="1"/>
  <c r="R28" i="1"/>
  <c r="S28" i="1"/>
  <c r="T28" i="1"/>
  <c r="U28" i="1"/>
  <c r="V28" i="1"/>
  <c r="W28" i="1"/>
  <c r="X28" i="1"/>
  <c r="Y28" i="1"/>
  <c r="Z28" i="1"/>
  <c r="AA28" i="1"/>
  <c r="G28" i="1"/>
  <c r="H26" i="1"/>
  <c r="I26" i="1"/>
  <c r="J26" i="1"/>
  <c r="K26" i="1"/>
  <c r="L26" i="1"/>
  <c r="M26" i="1"/>
  <c r="N26" i="1"/>
  <c r="O26" i="1"/>
  <c r="P26" i="1"/>
  <c r="Q26" i="1"/>
  <c r="R26" i="1"/>
  <c r="S26" i="1"/>
  <c r="T26" i="1"/>
  <c r="U26" i="1"/>
  <c r="V26" i="1"/>
  <c r="W26" i="1"/>
  <c r="X26" i="1"/>
  <c r="Y26" i="1"/>
  <c r="Z26" i="1"/>
  <c r="AA26" i="1"/>
  <c r="G26" i="1"/>
  <c r="G19" i="1"/>
  <c r="H29" i="1"/>
  <c r="I29" i="1"/>
  <c r="J29" i="1"/>
  <c r="K29" i="1"/>
  <c r="L29" i="1"/>
  <c r="M29" i="1"/>
  <c r="N29" i="1"/>
  <c r="O29" i="1"/>
  <c r="P29" i="1"/>
  <c r="Q29" i="1"/>
  <c r="R29" i="1"/>
  <c r="S29" i="1"/>
  <c r="T29" i="1"/>
  <c r="U29" i="1"/>
  <c r="V29" i="1"/>
  <c r="W29" i="1"/>
  <c r="X29" i="1"/>
  <c r="Y29" i="1"/>
  <c r="Z29" i="1"/>
  <c r="AA29" i="1"/>
  <c r="G29" i="1"/>
  <c r="H27" i="1"/>
  <c r="I27" i="1"/>
  <c r="J27" i="1"/>
  <c r="K27" i="1"/>
  <c r="L27" i="1"/>
  <c r="M27" i="1"/>
  <c r="N27" i="1"/>
  <c r="O27" i="1"/>
  <c r="P27" i="1"/>
  <c r="Q27" i="1"/>
  <c r="R27" i="1"/>
  <c r="S27" i="1"/>
  <c r="T27" i="1"/>
  <c r="U27" i="1"/>
  <c r="V27" i="1"/>
  <c r="W27" i="1"/>
  <c r="X27" i="1"/>
  <c r="Y27" i="1"/>
  <c r="Z27" i="1"/>
  <c r="AA27" i="1"/>
  <c r="G27" i="1"/>
  <c r="H32" i="1"/>
  <c r="I32" i="1"/>
  <c r="J32" i="1"/>
  <c r="K32" i="1"/>
  <c r="L32" i="1"/>
  <c r="M32" i="1"/>
  <c r="N32" i="1"/>
  <c r="O32" i="1"/>
  <c r="P32" i="1"/>
  <c r="Q32" i="1"/>
  <c r="R32" i="1"/>
  <c r="S32" i="1"/>
  <c r="T32" i="1"/>
  <c r="U32" i="1"/>
  <c r="V32" i="1"/>
  <c r="W32" i="1"/>
  <c r="X32" i="1"/>
  <c r="Y32" i="1"/>
  <c r="Z32" i="1"/>
  <c r="AA32" i="1"/>
  <c r="G32" i="1"/>
  <c r="G33" i="1"/>
  <c r="H33" i="1" s="1"/>
  <c r="I33" i="1" s="1"/>
  <c r="J33" i="1" s="1"/>
  <c r="K33" i="1" s="1"/>
  <c r="L33" i="1" s="1"/>
  <c r="M33" i="1" s="1"/>
  <c r="N33" i="1" s="1"/>
  <c r="O33" i="1" s="1"/>
  <c r="P33" i="1" s="1"/>
  <c r="Q33" i="1" s="1"/>
  <c r="R33" i="1" s="1"/>
  <c r="S33" i="1" s="1"/>
  <c r="T33" i="1" s="1"/>
  <c r="U33" i="1" s="1"/>
  <c r="V33" i="1" s="1"/>
  <c r="W33" i="1" s="1"/>
  <c r="X33" i="1" s="1"/>
  <c r="Y33" i="1" s="1"/>
  <c r="Z33" i="1" s="1"/>
  <c r="AA33" i="1" s="1"/>
  <c r="P15" i="1"/>
  <c r="U23" i="1" l="1"/>
  <c r="Y21" i="1"/>
  <c r="Y19" i="1" s="1"/>
  <c r="Q21" i="1"/>
  <c r="Q19" i="1" s="1"/>
  <c r="AB18" i="1"/>
  <c r="AB20" i="1"/>
  <c r="AP25" i="4"/>
  <c r="E31" i="4"/>
  <c r="Z23" i="1" l="1"/>
  <c r="Z21" i="1" s="1"/>
  <c r="Z19" i="1" s="1"/>
  <c r="W21" i="1"/>
  <c r="W19" i="1" s="1"/>
  <c r="R21" i="1"/>
  <c r="E17" i="4"/>
  <c r="N20" i="4" s="1"/>
  <c r="K20" i="4"/>
  <c r="B18" i="4"/>
  <c r="H21" i="4" s="1"/>
  <c r="V24"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R19" i="1" l="1"/>
  <c r="AA23" i="1"/>
  <c r="E18" i="4"/>
  <c r="E19" i="4" s="1"/>
  <c r="H17" i="4"/>
  <c r="B19" i="4"/>
  <c r="K21" i="4"/>
  <c r="Y24" i="4" s="1"/>
  <c r="K17" i="4"/>
  <c r="H18" i="4"/>
  <c r="H19" i="4" s="1"/>
  <c r="I19" i="1"/>
  <c r="J19" i="1"/>
  <c r="H19" i="1"/>
  <c r="G64" i="1"/>
  <c r="G63" i="1"/>
  <c r="AA21" i="1" l="1"/>
  <c r="AA19" i="1" s="1"/>
  <c r="N21" i="4"/>
  <c r="AB24" i="4" s="1"/>
  <c r="N22" i="4"/>
  <c r="Q20" i="4"/>
  <c r="T20" i="4"/>
  <c r="N17" i="4"/>
  <c r="K18" i="4"/>
  <c r="K19" i="4" s="1"/>
  <c r="B14" i="3"/>
  <c r="Q21" i="4" l="1"/>
  <c r="AE24" i="4" s="1"/>
  <c r="Q22" i="4"/>
  <c r="W20" i="4"/>
  <c r="Q17" i="4"/>
  <c r="N18" i="4"/>
  <c r="N19" i="4" s="1"/>
  <c r="M75" i="1"/>
  <c r="S14" i="1"/>
  <c r="S15" i="1" s="1"/>
  <c r="S24" i="1"/>
  <c r="P14" i="1"/>
  <c r="Q14" i="1" s="1"/>
  <c r="P24" i="1"/>
  <c r="L13" i="1"/>
  <c r="M13" i="1" s="1"/>
  <c r="N13" i="1" s="1"/>
  <c r="O13" i="1" s="1"/>
  <c r="P13" i="1" s="1"/>
  <c r="Q13" i="1" s="1"/>
  <c r="R13" i="1" s="1"/>
  <c r="S13" i="1" s="1"/>
  <c r="T13" i="1" s="1"/>
  <c r="U13" i="1" s="1"/>
  <c r="V13" i="1" s="1"/>
  <c r="W13" i="1" s="1"/>
  <c r="X13" i="1" s="1"/>
  <c r="Y13" i="1" s="1"/>
  <c r="Z13" i="1" s="1"/>
  <c r="AA13" i="1" s="1"/>
  <c r="T21" i="4" l="1"/>
  <c r="AH24" i="4" s="1"/>
  <c r="Z20" i="4"/>
  <c r="T23" i="4"/>
  <c r="T22" i="4"/>
  <c r="T17" i="4"/>
  <c r="Q18" i="4"/>
  <c r="Q19" i="4" s="1"/>
  <c r="R14" i="1"/>
  <c r="Q15" i="1"/>
  <c r="Q24" i="1"/>
  <c r="B56" i="1"/>
  <c r="B54" i="1"/>
  <c r="B52" i="1"/>
  <c r="B50" i="1"/>
  <c r="B48" i="1"/>
  <c r="B46" i="1"/>
  <c r="B44" i="1"/>
  <c r="B42" i="1"/>
  <c r="B40" i="1"/>
  <c r="W21" i="4" l="1"/>
  <c r="AK24" i="4" s="1"/>
  <c r="W23" i="4"/>
  <c r="AC20" i="4"/>
  <c r="W22" i="4"/>
  <c r="W17" i="4"/>
  <c r="T18" i="4"/>
  <c r="T19" i="4" s="1"/>
  <c r="R15" i="1"/>
  <c r="R24" i="1"/>
  <c r="AF20" i="4" l="1"/>
  <c r="Z21" i="4"/>
  <c r="AN24" i="4" s="1"/>
  <c r="Z23" i="4"/>
  <c r="Z22" i="4"/>
  <c r="Z17" i="4"/>
  <c r="W18" i="4"/>
  <c r="W19" i="4" s="1"/>
  <c r="C73" i="1"/>
  <c r="C71" i="1"/>
  <c r="C69" i="1"/>
  <c r="C67" i="1"/>
  <c r="C65" i="1"/>
  <c r="C63" i="1"/>
  <c r="G24" i="1"/>
  <c r="C5" i="3"/>
  <c r="D42" i="1" s="1"/>
  <c r="AI20" i="4" l="1"/>
  <c r="AC21" i="4"/>
  <c r="AC22" i="4"/>
  <c r="AC23" i="4"/>
  <c r="AC17" i="4"/>
  <c r="Z18" i="4"/>
  <c r="Z19" i="4" s="1"/>
  <c r="AA67" i="1"/>
  <c r="AA68" i="1" s="1"/>
  <c r="AA24" i="1"/>
  <c r="AA63" i="1"/>
  <c r="AA75" i="1" s="1"/>
  <c r="AA69" i="1"/>
  <c r="AA70" i="1" s="1"/>
  <c r="AA65" i="1"/>
  <c r="AA66" i="1" s="1"/>
  <c r="AA64" i="1"/>
  <c r="AA73" i="1"/>
  <c r="AA71" i="1"/>
  <c r="AA72" i="1" s="1"/>
  <c r="AA42" i="1"/>
  <c r="AA43" i="1"/>
  <c r="C7" i="3"/>
  <c r="D46" i="1" s="1"/>
  <c r="C4" i="3"/>
  <c r="D40" i="1" s="1"/>
  <c r="C12" i="3"/>
  <c r="D56" i="1" s="1"/>
  <c r="G57" i="1" s="1"/>
  <c r="C11" i="3"/>
  <c r="D54" i="1" s="1"/>
  <c r="C10" i="3"/>
  <c r="D52" i="1" s="1"/>
  <c r="C9" i="3"/>
  <c r="D50" i="1" s="1"/>
  <c r="C8" i="3"/>
  <c r="D48" i="1" s="1"/>
  <c r="C6" i="3"/>
  <c r="D44" i="1" s="1"/>
  <c r="AA44" i="1" s="1"/>
  <c r="C4" i="1"/>
  <c r="C5" i="1"/>
  <c r="G43" i="1"/>
  <c r="G73" i="1"/>
  <c r="G71" i="1"/>
  <c r="G69" i="1"/>
  <c r="G70" i="1" s="1"/>
  <c r="G67" i="1"/>
  <c r="G68" i="1" s="1"/>
  <c r="G65" i="1"/>
  <c r="G66" i="1" s="1"/>
  <c r="C42" i="1"/>
  <c r="C44" i="1"/>
  <c r="C46" i="1"/>
  <c r="C48" i="1"/>
  <c r="C50" i="1"/>
  <c r="C52" i="1"/>
  <c r="C54" i="1"/>
  <c r="C56" i="1"/>
  <c r="C40" i="1"/>
  <c r="C13" i="2"/>
  <c r="D13" i="2" s="1"/>
  <c r="C25" i="2"/>
  <c r="D25" i="2" s="1"/>
  <c r="C37" i="2"/>
  <c r="D37" i="2" s="1"/>
  <c r="D49" i="2"/>
  <c r="C49" i="2"/>
  <c r="C61" i="2"/>
  <c r="D61" i="2" s="1"/>
  <c r="D73" i="2"/>
  <c r="C73" i="2"/>
  <c r="C85" i="2"/>
  <c r="D85" i="2" s="1"/>
  <c r="C107" i="2"/>
  <c r="D107" i="2" s="1"/>
  <c r="C97" i="2"/>
  <c r="D97" i="2" s="1"/>
  <c r="H13" i="1"/>
  <c r="I13" i="1" s="1"/>
  <c r="J13" i="1" s="1"/>
  <c r="K13" i="1" s="1"/>
  <c r="G15" i="1"/>
  <c r="H14" i="1"/>
  <c r="AF22" i="4" l="1"/>
  <c r="AL20" i="4"/>
  <c r="AF23" i="4"/>
  <c r="AF21" i="4"/>
  <c r="AF17" i="4"/>
  <c r="AC18" i="4"/>
  <c r="AC19" i="4" s="1"/>
  <c r="G41" i="1"/>
  <c r="G40" i="1"/>
  <c r="AA76" i="1"/>
  <c r="G49" i="1"/>
  <c r="G48" i="1"/>
  <c r="AA52" i="1"/>
  <c r="AA53" i="1"/>
  <c r="AA54" i="1"/>
  <c r="AA55" i="1"/>
  <c r="AA48" i="1"/>
  <c r="AA49" i="1"/>
  <c r="AA46" i="1"/>
  <c r="AA47" i="1"/>
  <c r="AA51" i="1"/>
  <c r="AA50" i="1"/>
  <c r="G52" i="1"/>
  <c r="G51" i="1"/>
  <c r="G54" i="1"/>
  <c r="AA40" i="1"/>
  <c r="AA41" i="1"/>
  <c r="AA45" i="1"/>
  <c r="AA57" i="1"/>
  <c r="AA56" i="1"/>
  <c r="G44" i="1"/>
  <c r="I14" i="1"/>
  <c r="J14" i="1" s="1"/>
  <c r="H67" i="1"/>
  <c r="H68" i="1" s="1"/>
  <c r="I43" i="1"/>
  <c r="G45" i="1"/>
  <c r="I71" i="1"/>
  <c r="I72" i="1" s="1"/>
  <c r="H56" i="1"/>
  <c r="H65" i="1"/>
  <c r="H66" i="1" s="1"/>
  <c r="G53" i="1"/>
  <c r="H54" i="1"/>
  <c r="H73" i="1"/>
  <c r="G42" i="1"/>
  <c r="G50" i="1"/>
  <c r="H71" i="1"/>
  <c r="H72" i="1" s="1"/>
  <c r="H69" i="1"/>
  <c r="H70" i="1" s="1"/>
  <c r="I63" i="1"/>
  <c r="I64" i="1" s="1"/>
  <c r="H52" i="1"/>
  <c r="I42" i="1"/>
  <c r="H45" i="1"/>
  <c r="H49" i="1"/>
  <c r="H53" i="1"/>
  <c r="H57" i="1"/>
  <c r="G75" i="1"/>
  <c r="H63" i="1"/>
  <c r="H64" i="1" s="1"/>
  <c r="G46" i="1"/>
  <c r="I56" i="1"/>
  <c r="H42" i="1"/>
  <c r="G47" i="1"/>
  <c r="G55" i="1"/>
  <c r="H46" i="1"/>
  <c r="H43" i="1"/>
  <c r="I46" i="1"/>
  <c r="I50" i="1"/>
  <c r="H50" i="1"/>
  <c r="I51" i="1"/>
  <c r="I55" i="1"/>
  <c r="G56" i="1"/>
  <c r="H40" i="1"/>
  <c r="H47" i="1"/>
  <c r="H51" i="1"/>
  <c r="H55" i="1"/>
  <c r="I65" i="1"/>
  <c r="I66" i="1" s="1"/>
  <c r="H44" i="1"/>
  <c r="I41" i="1"/>
  <c r="H41" i="1"/>
  <c r="I67" i="1"/>
  <c r="I68" i="1" s="1"/>
  <c r="H48" i="1"/>
  <c r="G72" i="1"/>
  <c r="G76" i="1" s="1"/>
  <c r="H15" i="1"/>
  <c r="I24" i="1"/>
  <c r="H24" i="1"/>
  <c r="I15" i="1"/>
  <c r="AO20" i="4" l="1"/>
  <c r="AI23" i="4"/>
  <c r="AI21" i="4"/>
  <c r="AI22" i="4"/>
  <c r="AI17" i="4"/>
  <c r="AF18" i="4"/>
  <c r="AF19" i="4" s="1"/>
  <c r="AA58" i="1"/>
  <c r="AA59" i="1"/>
  <c r="G59" i="1"/>
  <c r="H59" i="1"/>
  <c r="I53" i="1"/>
  <c r="I52" i="1"/>
  <c r="I21" i="1"/>
  <c r="S23" i="1" s="1"/>
  <c r="S21" i="1" s="1"/>
  <c r="S19" i="1" s="1"/>
  <c r="I48" i="1"/>
  <c r="I45" i="1"/>
  <c r="I47" i="1"/>
  <c r="I40" i="1"/>
  <c r="I49" i="1"/>
  <c r="I54" i="1"/>
  <c r="I73" i="1"/>
  <c r="I44" i="1"/>
  <c r="I69" i="1"/>
  <c r="I70" i="1" s="1"/>
  <c r="I76" i="1" s="1"/>
  <c r="I57" i="1"/>
  <c r="J42" i="1"/>
  <c r="J51" i="1"/>
  <c r="J73" i="1"/>
  <c r="J50" i="1"/>
  <c r="J55" i="1"/>
  <c r="J44" i="1"/>
  <c r="J48" i="1"/>
  <c r="J71" i="1"/>
  <c r="J72" i="1" s="1"/>
  <c r="J69" i="1"/>
  <c r="J70" i="1" s="1"/>
  <c r="J65" i="1"/>
  <c r="J66" i="1" s="1"/>
  <c r="J76" i="1" s="1"/>
  <c r="J67" i="1"/>
  <c r="J68" i="1" s="1"/>
  <c r="J56" i="1"/>
  <c r="J63" i="1"/>
  <c r="J64" i="1" s="1"/>
  <c r="J46" i="1"/>
  <c r="J52" i="1"/>
  <c r="J49" i="1"/>
  <c r="J53" i="1"/>
  <c r="J57" i="1"/>
  <c r="J21" i="1"/>
  <c r="T23" i="1" s="1"/>
  <c r="T21" i="1" s="1"/>
  <c r="T19" i="1" s="1"/>
  <c r="J15" i="1"/>
  <c r="J43" i="1"/>
  <c r="J41" i="1"/>
  <c r="J45" i="1"/>
  <c r="J47" i="1"/>
  <c r="J40" i="1"/>
  <c r="J24" i="1"/>
  <c r="J54" i="1"/>
  <c r="K14" i="1"/>
  <c r="H75" i="1"/>
  <c r="G58" i="1"/>
  <c r="H58" i="1"/>
  <c r="H76" i="1"/>
  <c r="I75" i="1"/>
  <c r="AL22" i="4" l="1"/>
  <c r="AL21" i="4"/>
  <c r="AL23" i="4"/>
  <c r="AL17" i="4"/>
  <c r="AI18" i="4"/>
  <c r="AI19" i="4" s="1"/>
  <c r="J58" i="1"/>
  <c r="I58" i="1"/>
  <c r="I59" i="1"/>
  <c r="J59" i="1"/>
  <c r="J75" i="1"/>
  <c r="L14" i="1"/>
  <c r="K55" i="1"/>
  <c r="K67" i="1"/>
  <c r="K68" i="1" s="1"/>
  <c r="K15" i="1"/>
  <c r="K48" i="1"/>
  <c r="K71" i="1"/>
  <c r="K72" i="1" s="1"/>
  <c r="K41" i="1"/>
  <c r="K19" i="1"/>
  <c r="K49" i="1"/>
  <c r="K54" i="1"/>
  <c r="K52" i="1"/>
  <c r="K73" i="1"/>
  <c r="K50" i="1"/>
  <c r="K46" i="1"/>
  <c r="K65" i="1"/>
  <c r="K66" i="1" s="1"/>
  <c r="K44" i="1"/>
  <c r="K53" i="1"/>
  <c r="K56" i="1"/>
  <c r="K69" i="1"/>
  <c r="K70" i="1" s="1"/>
  <c r="K47" i="1"/>
  <c r="K63" i="1"/>
  <c r="K42" i="1"/>
  <c r="K40" i="1"/>
  <c r="K45" i="1"/>
  <c r="K57" i="1"/>
  <c r="K24" i="1"/>
  <c r="K51" i="1"/>
  <c r="K43" i="1"/>
  <c r="AO21" i="4" l="1"/>
  <c r="AO22" i="4"/>
  <c r="AO23" i="4"/>
  <c r="AO17" i="4"/>
  <c r="AO18" i="4" s="1"/>
  <c r="AO19" i="4" s="1"/>
  <c r="AL18" i="4"/>
  <c r="AL19" i="4" s="1"/>
  <c r="K59" i="1"/>
  <c r="K58" i="1"/>
  <c r="M14" i="1"/>
  <c r="L53" i="1"/>
  <c r="L42" i="1"/>
  <c r="L54" i="1"/>
  <c r="L47" i="1"/>
  <c r="L69" i="1"/>
  <c r="L70" i="1" s="1"/>
  <c r="L15" i="1"/>
  <c r="L46" i="1"/>
  <c r="L24" i="1"/>
  <c r="L50" i="1"/>
  <c r="L40" i="1"/>
  <c r="L43" i="1"/>
  <c r="L48" i="1"/>
  <c r="L57" i="1"/>
  <c r="L67" i="1"/>
  <c r="L68" i="1" s="1"/>
  <c r="L44" i="1"/>
  <c r="L65" i="1"/>
  <c r="L66" i="1" s="1"/>
  <c r="L73" i="1"/>
  <c r="L63" i="1"/>
  <c r="L55" i="1"/>
  <c r="L52" i="1"/>
  <c r="L19" i="1"/>
  <c r="U21" i="1" s="1"/>
  <c r="U19" i="1" s="1"/>
  <c r="L51" i="1"/>
  <c r="L71" i="1"/>
  <c r="L72" i="1" s="1"/>
  <c r="L45" i="1"/>
  <c r="L56" i="1"/>
  <c r="L41" i="1"/>
  <c r="L49" i="1"/>
  <c r="K64" i="1"/>
  <c r="K76" i="1" s="1"/>
  <c r="K75" i="1"/>
  <c r="L58" i="1" l="1"/>
  <c r="L64" i="1"/>
  <c r="L76" i="1" s="1"/>
  <c r="L75" i="1"/>
  <c r="L59" i="1"/>
  <c r="N14" i="1"/>
  <c r="M50" i="1"/>
  <c r="M42" i="1"/>
  <c r="M40" i="1"/>
  <c r="M41" i="1"/>
  <c r="M49" i="1"/>
  <c r="M48" i="1"/>
  <c r="M63" i="1"/>
  <c r="M73" i="1"/>
  <c r="M54" i="1"/>
  <c r="M71" i="1"/>
  <c r="M72" i="1" s="1"/>
  <c r="M46" i="1"/>
  <c r="M47" i="1"/>
  <c r="M67" i="1"/>
  <c r="M68" i="1" s="1"/>
  <c r="M43" i="1"/>
  <c r="M69" i="1"/>
  <c r="M70" i="1" s="1"/>
  <c r="M51" i="1"/>
  <c r="M65" i="1"/>
  <c r="M66" i="1" s="1"/>
  <c r="M15" i="1"/>
  <c r="M53" i="1"/>
  <c r="M52" i="1"/>
  <c r="M44" i="1"/>
  <c r="M56" i="1"/>
  <c r="M57" i="1"/>
  <c r="M45" i="1"/>
  <c r="M55" i="1"/>
  <c r="M24" i="1"/>
  <c r="M64" i="1" l="1"/>
  <c r="M76" i="1" s="1"/>
  <c r="M59" i="1"/>
  <c r="M58" i="1"/>
  <c r="O14" i="1"/>
  <c r="N48" i="1"/>
  <c r="N54" i="1"/>
  <c r="N41" i="1"/>
  <c r="N57" i="1"/>
  <c r="N47" i="1"/>
  <c r="N52" i="1"/>
  <c r="N50" i="1"/>
  <c r="N46" i="1"/>
  <c r="N42" i="1"/>
  <c r="N44" i="1"/>
  <c r="N67" i="1"/>
  <c r="N68" i="1" s="1"/>
  <c r="N45" i="1"/>
  <c r="N56" i="1"/>
  <c r="N51" i="1"/>
  <c r="N73" i="1"/>
  <c r="N24" i="1"/>
  <c r="N40" i="1"/>
  <c r="N49" i="1"/>
  <c r="N43" i="1"/>
  <c r="N71" i="1"/>
  <c r="N72" i="1" s="1"/>
  <c r="N55" i="1"/>
  <c r="N15" i="1"/>
  <c r="N69" i="1"/>
  <c r="N70" i="1" s="1"/>
  <c r="N65" i="1"/>
  <c r="N66" i="1" s="1"/>
  <c r="N63" i="1"/>
  <c r="N53" i="1"/>
  <c r="M19" i="1"/>
  <c r="V21" i="1" s="1"/>
  <c r="V19" i="1" s="1"/>
  <c r="N19" i="1" l="1"/>
  <c r="N58" i="1"/>
  <c r="N59" i="1"/>
  <c r="N64" i="1"/>
  <c r="N76" i="1" s="1"/>
  <c r="N75" i="1"/>
  <c r="O65" i="1"/>
  <c r="O66" i="1" s="1"/>
  <c r="O55" i="1"/>
  <c r="O40" i="1"/>
  <c r="O19" i="1"/>
  <c r="X21" i="1" s="1"/>
  <c r="X19" i="1" s="1"/>
  <c r="O71" i="1"/>
  <c r="O72" i="1" s="1"/>
  <c r="O69" i="1"/>
  <c r="O70" i="1" s="1"/>
  <c r="O15" i="1"/>
  <c r="O46" i="1"/>
  <c r="O47" i="1"/>
  <c r="O41" i="1"/>
  <c r="O73" i="1"/>
  <c r="O45" i="1"/>
  <c r="O50" i="1"/>
  <c r="O51" i="1"/>
  <c r="O49" i="1"/>
  <c r="O48" i="1"/>
  <c r="O67" i="1"/>
  <c r="O68" i="1" s="1"/>
  <c r="O43" i="1"/>
  <c r="O56" i="1"/>
  <c r="O53" i="1"/>
  <c r="O57" i="1"/>
  <c r="O52" i="1"/>
  <c r="O44" i="1"/>
  <c r="O63" i="1"/>
  <c r="O54" i="1"/>
  <c r="O42" i="1"/>
  <c r="O24" i="1"/>
  <c r="O58" i="1" l="1"/>
  <c r="O64" i="1"/>
  <c r="O76" i="1" s="1"/>
  <c r="O75" i="1"/>
  <c r="P48" i="1"/>
  <c r="P41" i="1"/>
  <c r="P52" i="1"/>
  <c r="P56" i="1"/>
  <c r="P47" i="1"/>
  <c r="P51" i="1"/>
  <c r="P45" i="1"/>
  <c r="P73" i="1"/>
  <c r="P44" i="1"/>
  <c r="P71" i="1"/>
  <c r="P72" i="1" s="1"/>
  <c r="P69" i="1"/>
  <c r="P70" i="1" s="1"/>
  <c r="P49" i="1"/>
  <c r="P50" i="1"/>
  <c r="P46" i="1"/>
  <c r="P42" i="1"/>
  <c r="P65" i="1"/>
  <c r="P66" i="1" s="1"/>
  <c r="P63" i="1"/>
  <c r="P67" i="1"/>
  <c r="P68" i="1" s="1"/>
  <c r="P53" i="1"/>
  <c r="P40" i="1"/>
  <c r="P55" i="1"/>
  <c r="P43" i="1"/>
  <c r="P54" i="1"/>
  <c r="P57" i="1"/>
  <c r="O59" i="1"/>
  <c r="P58" i="1" l="1"/>
  <c r="P64" i="1"/>
  <c r="P76" i="1" s="1"/>
  <c r="P75" i="1"/>
  <c r="P59" i="1"/>
  <c r="Q47" i="1"/>
  <c r="Q43" i="1"/>
  <c r="Q57" i="1"/>
  <c r="Q51" i="1"/>
  <c r="Q67" i="1"/>
  <c r="Q68" i="1" s="1"/>
  <c r="Q52" i="1"/>
  <c r="Q65" i="1"/>
  <c r="Q66" i="1" s="1"/>
  <c r="Q45" i="1"/>
  <c r="Q48" i="1"/>
  <c r="Q73" i="1"/>
  <c r="Q71" i="1"/>
  <c r="Q72" i="1" s="1"/>
  <c r="Q46" i="1"/>
  <c r="Q40" i="1"/>
  <c r="Q55" i="1"/>
  <c r="Q69" i="1"/>
  <c r="Q70" i="1" s="1"/>
  <c r="Q49" i="1"/>
  <c r="Q42" i="1"/>
  <c r="Q54" i="1"/>
  <c r="Q63" i="1"/>
  <c r="Q56" i="1"/>
  <c r="Q50" i="1"/>
  <c r="Q44" i="1"/>
  <c r="Q41" i="1"/>
  <c r="Q53" i="1"/>
  <c r="Q58" i="1" l="1"/>
  <c r="Q59" i="1"/>
  <c r="Q64" i="1"/>
  <c r="Q76" i="1" s="1"/>
  <c r="Q75" i="1"/>
  <c r="R57" i="1"/>
  <c r="R73" i="1"/>
  <c r="R49" i="1"/>
  <c r="R51" i="1"/>
  <c r="R55" i="1"/>
  <c r="R63" i="1"/>
  <c r="R48" i="1"/>
  <c r="R46" i="1"/>
  <c r="R40" i="1"/>
  <c r="R44" i="1"/>
  <c r="R43" i="1"/>
  <c r="R71" i="1"/>
  <c r="R72" i="1" s="1"/>
  <c r="R45" i="1"/>
  <c r="R52" i="1"/>
  <c r="R67" i="1"/>
  <c r="R68" i="1" s="1"/>
  <c r="R69" i="1"/>
  <c r="R70" i="1" s="1"/>
  <c r="R53" i="1"/>
  <c r="R65" i="1"/>
  <c r="R66" i="1" s="1"/>
  <c r="R50" i="1"/>
  <c r="R41" i="1"/>
  <c r="R42" i="1"/>
  <c r="R56" i="1"/>
  <c r="R47" i="1"/>
  <c r="R54" i="1"/>
  <c r="R64" i="1" l="1"/>
  <c r="R76" i="1" s="1"/>
  <c r="R75" i="1"/>
  <c r="T14" i="1"/>
  <c r="S43" i="1"/>
  <c r="S55" i="1"/>
  <c r="S52" i="1"/>
  <c r="S45" i="1"/>
  <c r="S41" i="1"/>
  <c r="S67" i="1"/>
  <c r="S68" i="1" s="1"/>
  <c r="S73" i="1"/>
  <c r="S50" i="1"/>
  <c r="S44" i="1"/>
  <c r="S57" i="1"/>
  <c r="S71" i="1"/>
  <c r="S72" i="1" s="1"/>
  <c r="S46" i="1"/>
  <c r="S47" i="1"/>
  <c r="S54" i="1"/>
  <c r="S65" i="1"/>
  <c r="S66" i="1" s="1"/>
  <c r="S48" i="1"/>
  <c r="S69" i="1"/>
  <c r="S70" i="1" s="1"/>
  <c r="S42" i="1"/>
  <c r="S49" i="1"/>
  <c r="S40" i="1"/>
  <c r="S51" i="1"/>
  <c r="S53" i="1"/>
  <c r="S63" i="1"/>
  <c r="S56" i="1"/>
  <c r="R59" i="1"/>
  <c r="R58" i="1"/>
  <c r="T24" i="1" l="1"/>
  <c r="S58" i="1"/>
  <c r="S59" i="1"/>
  <c r="S64" i="1"/>
  <c r="S76" i="1" s="1"/>
  <c r="S75" i="1"/>
  <c r="U14" i="1"/>
  <c r="T45" i="1"/>
  <c r="T50" i="1"/>
  <c r="T44" i="1"/>
  <c r="T43" i="1"/>
  <c r="T49" i="1"/>
  <c r="T73" i="1"/>
  <c r="T40" i="1"/>
  <c r="T54" i="1"/>
  <c r="T69" i="1"/>
  <c r="T70" i="1" s="1"/>
  <c r="T48" i="1"/>
  <c r="T55" i="1"/>
  <c r="T56" i="1"/>
  <c r="T52" i="1"/>
  <c r="T67" i="1"/>
  <c r="T68" i="1" s="1"/>
  <c r="T15" i="1"/>
  <c r="T65" i="1"/>
  <c r="T66" i="1" s="1"/>
  <c r="T47" i="1"/>
  <c r="T53" i="1"/>
  <c r="T46" i="1"/>
  <c r="T41" i="1"/>
  <c r="T71" i="1"/>
  <c r="T72" i="1" s="1"/>
  <c r="T63" i="1"/>
  <c r="T51" i="1"/>
  <c r="T57" i="1"/>
  <c r="T42" i="1"/>
  <c r="U24" i="1" l="1"/>
  <c r="T58" i="1"/>
  <c r="T64" i="1"/>
  <c r="T76" i="1" s="1"/>
  <c r="T75" i="1"/>
  <c r="V14" i="1"/>
  <c r="U43" i="1"/>
  <c r="U46" i="1"/>
  <c r="U48" i="1"/>
  <c r="U47" i="1"/>
  <c r="U57" i="1"/>
  <c r="U69" i="1"/>
  <c r="U70" i="1" s="1"/>
  <c r="U44" i="1"/>
  <c r="U50" i="1"/>
  <c r="U54" i="1"/>
  <c r="U65" i="1"/>
  <c r="U66" i="1" s="1"/>
  <c r="U49" i="1"/>
  <c r="U67" i="1"/>
  <c r="U68" i="1" s="1"/>
  <c r="U53" i="1"/>
  <c r="U73" i="1"/>
  <c r="U41" i="1"/>
  <c r="U51" i="1"/>
  <c r="U71" i="1"/>
  <c r="U72" i="1" s="1"/>
  <c r="U63" i="1"/>
  <c r="U42" i="1"/>
  <c r="U45" i="1"/>
  <c r="U40" i="1"/>
  <c r="U56" i="1"/>
  <c r="U55" i="1"/>
  <c r="U15" i="1"/>
  <c r="U52" i="1"/>
  <c r="T59" i="1"/>
  <c r="V24" i="1" l="1"/>
  <c r="U59" i="1"/>
  <c r="U64" i="1"/>
  <c r="U76" i="1" s="1"/>
  <c r="U75" i="1"/>
  <c r="U58" i="1"/>
  <c r="W14" i="1"/>
  <c r="V67" i="1"/>
  <c r="V68" i="1" s="1"/>
  <c r="V45" i="1"/>
  <c r="V41" i="1"/>
  <c r="V50" i="1"/>
  <c r="V71" i="1"/>
  <c r="V72" i="1" s="1"/>
  <c r="V43" i="1"/>
  <c r="V69" i="1"/>
  <c r="V70" i="1" s="1"/>
  <c r="V49" i="1"/>
  <c r="V42" i="1"/>
  <c r="V47" i="1"/>
  <c r="V63" i="1"/>
  <c r="V46" i="1"/>
  <c r="V51" i="1"/>
  <c r="V53" i="1"/>
  <c r="V15" i="1"/>
  <c r="V65" i="1"/>
  <c r="V66" i="1" s="1"/>
  <c r="V56" i="1"/>
  <c r="V44" i="1"/>
  <c r="V57" i="1"/>
  <c r="V40" i="1"/>
  <c r="V55" i="1"/>
  <c r="V54" i="1"/>
  <c r="V48" i="1"/>
  <c r="V73" i="1"/>
  <c r="V52" i="1"/>
  <c r="W24" i="1" l="1"/>
  <c r="X14" i="1"/>
  <c r="V58" i="1"/>
  <c r="V59" i="1"/>
  <c r="V64" i="1"/>
  <c r="V76" i="1" s="1"/>
  <c r="V75" i="1"/>
  <c r="W46" i="1"/>
  <c r="W52" i="1"/>
  <c r="W49" i="1"/>
  <c r="W41" i="1"/>
  <c r="W43" i="1"/>
  <c r="W40" i="1"/>
  <c r="W73" i="1"/>
  <c r="W50" i="1"/>
  <c r="W71" i="1"/>
  <c r="W72" i="1" s="1"/>
  <c r="W44" i="1"/>
  <c r="W53" i="1"/>
  <c r="W47" i="1"/>
  <c r="W55" i="1"/>
  <c r="W69" i="1"/>
  <c r="W70" i="1" s="1"/>
  <c r="W65" i="1"/>
  <c r="W66" i="1" s="1"/>
  <c r="W63" i="1"/>
  <c r="W42" i="1"/>
  <c r="W56" i="1"/>
  <c r="W57" i="1"/>
  <c r="W54" i="1"/>
  <c r="W67" i="1"/>
  <c r="W68" i="1" s="1"/>
  <c r="W48" i="1"/>
  <c r="W51" i="1"/>
  <c r="W45" i="1"/>
  <c r="W15" i="1"/>
  <c r="X24" i="1" l="1"/>
  <c r="Y14" i="1"/>
  <c r="X63" i="1"/>
  <c r="X69" i="1"/>
  <c r="X70" i="1" s="1"/>
  <c r="X65" i="1"/>
  <c r="X66" i="1" s="1"/>
  <c r="X15" i="1"/>
  <c r="X71" i="1"/>
  <c r="X72" i="1" s="1"/>
  <c r="X67" i="1"/>
  <c r="X68" i="1" s="1"/>
  <c r="X73" i="1"/>
  <c r="X42" i="1"/>
  <c r="X43" i="1"/>
  <c r="X49" i="1"/>
  <c r="X44" i="1"/>
  <c r="X57" i="1"/>
  <c r="X48" i="1"/>
  <c r="X56" i="1"/>
  <c r="X54" i="1"/>
  <c r="X40" i="1"/>
  <c r="X45" i="1"/>
  <c r="X55" i="1"/>
  <c r="X50" i="1"/>
  <c r="X41" i="1"/>
  <c r="X51" i="1"/>
  <c r="X52" i="1"/>
  <c r="X46" i="1"/>
  <c r="X53" i="1"/>
  <c r="X47" i="1"/>
  <c r="W58" i="1"/>
  <c r="W64" i="1"/>
  <c r="W76" i="1" s="1"/>
  <c r="W75" i="1"/>
  <c r="W59" i="1"/>
  <c r="Y24" i="1" l="1"/>
  <c r="X64" i="1"/>
  <c r="X76" i="1" s="1"/>
  <c r="X75" i="1"/>
  <c r="X58" i="1"/>
  <c r="X59" i="1"/>
  <c r="Y63" i="1"/>
  <c r="Y69" i="1"/>
  <c r="Y70" i="1" s="1"/>
  <c r="Y71" i="1"/>
  <c r="Y72" i="1" s="1"/>
  <c r="Y67" i="1"/>
  <c r="Y68" i="1" s="1"/>
  <c r="Y73" i="1"/>
  <c r="Y65" i="1"/>
  <c r="Y66" i="1" s="1"/>
  <c r="Y43" i="1"/>
  <c r="Z14" i="1"/>
  <c r="Y15" i="1"/>
  <c r="Y42" i="1"/>
  <c r="Y48" i="1"/>
  <c r="Y44" i="1"/>
  <c r="Y57" i="1"/>
  <c r="Y41" i="1"/>
  <c r="Y49" i="1"/>
  <c r="Y45" i="1"/>
  <c r="Y51" i="1"/>
  <c r="Y56" i="1"/>
  <c r="Y47" i="1"/>
  <c r="Y40" i="1"/>
  <c r="Y50" i="1"/>
  <c r="Y52" i="1"/>
  <c r="Y46" i="1"/>
  <c r="Y55" i="1"/>
  <c r="Y54" i="1"/>
  <c r="Y53" i="1"/>
  <c r="Y59" i="1" l="1"/>
  <c r="Y75" i="1"/>
  <c r="Y64" i="1"/>
  <c r="Y76" i="1" s="1"/>
  <c r="Y58" i="1"/>
  <c r="Z67" i="1"/>
  <c r="Z68" i="1" s="1"/>
  <c r="Z63" i="1"/>
  <c r="Z69" i="1"/>
  <c r="Z70" i="1" s="1"/>
  <c r="Z65" i="1"/>
  <c r="Z66" i="1" s="1"/>
  <c r="Z71" i="1"/>
  <c r="Z72" i="1" s="1"/>
  <c r="Z73" i="1"/>
  <c r="Z43" i="1"/>
  <c r="Z42" i="1"/>
  <c r="Z53" i="1"/>
  <c r="Z47" i="1"/>
  <c r="Z50" i="1"/>
  <c r="Z41" i="1"/>
  <c r="Z48" i="1"/>
  <c r="Z46" i="1"/>
  <c r="Z54" i="1"/>
  <c r="Z51" i="1"/>
  <c r="Z56" i="1"/>
  <c r="Z49" i="1"/>
  <c r="Z44" i="1"/>
  <c r="Z15" i="1"/>
  <c r="Z40" i="1"/>
  <c r="Z57" i="1"/>
  <c r="Z45" i="1"/>
  <c r="Z52" i="1"/>
  <c r="Z55" i="1"/>
  <c r="Z59" i="1" l="1"/>
  <c r="Z58" i="1"/>
  <c r="Z64" i="1"/>
  <c r="Z76" i="1" s="1"/>
  <c r="Z75" i="1"/>
</calcChain>
</file>

<file path=xl/sharedStrings.xml><?xml version="1.0" encoding="utf-8"?>
<sst xmlns="http://schemas.openxmlformats.org/spreadsheetml/2006/main" count="295" uniqueCount="237">
  <si>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</si>
  <si>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</si>
  <si>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</si>
  <si>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</si>
  <si>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</si>
  <si>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</si>
  <si>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</si>
  <si>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</si>
  <si>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</si>
  <si>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</si>
  <si>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</si>
  <si>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</si>
  <si>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</si>
  <si>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</si>
  <si>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</si>
  <si>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</si>
  <si>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</si>
  <si>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</si>
  <si>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</si>
  <si>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</si>
  <si>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</si>
  <si>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</si>
  <si>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</si>
  <si>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</si>
  <si>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</si>
  <si>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</si>
  <si>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</si>
  <si>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</si>
  <si>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</si>
  <si>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</si>
  <si>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</si>
  <si>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</si>
  <si>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</si>
  <si>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</si>
  <si>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</si>
  <si>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</si>
  <si>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</si>
  <si>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</si>
  <si>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</si>
  <si>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</si>
  <si>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</si>
  <si>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</si>
  <si>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</si>
  <si>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</si>
  <si>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</si>
  <si>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</si>
  <si>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</si>
  <si>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</si>
  <si>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</si>
  <si>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</si>
  <si>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</si>
  <si>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</si>
  <si>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</si>
  <si>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</si>
  <si>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</si>
  <si>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</si>
  <si>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</si>
  <si>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</si>
  <si>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</si>
  <si>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</si>
  <si>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</si>
  <si>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</si>
  <si>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</si>
  <si>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</si>
  <si>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</si>
  <si>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</si>
  <si>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</si>
  <si>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</si>
  <si>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</si>
  <si>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</si>
  <si>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</si>
  <si>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</si>
  <si>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</si>
  <si>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</si>
  <si>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</si>
  <si>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</si>
  <si>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</si>
  <si>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</si>
  <si>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</si>
  <si>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</si>
  <si>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</si>
  <si>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</si>
  <si>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</si>
  <si>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</si>
  <si>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</si>
  <si>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</si>
  <si>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</si>
  <si>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</si>
  <si>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</si>
  <si>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</si>
  <si>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</si>
  <si>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</si>
  <si>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</si>
  <si>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</si>
  <si>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</si>
  <si>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</si>
  <si>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</si>
  <si>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</si>
  <si>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</si>
  <si>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</si>
  <si>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</si>
  <si>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</si>
  <si>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</si>
  <si>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</si>
  <si>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</si>
  <si>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</si>
  <si>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</si>
  <si>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</si>
  <si>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</si>
  <si>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</si>
  <si>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</si>
  <si>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</si>
  <si>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</si>
  <si>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</si>
  <si>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</si>
  <si>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</si>
  <si>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</si>
  <si>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</si>
  <si>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</si>
  <si>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</si>
  <si>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</si>
  <si>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</si>
  <si>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</si>
  <si>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</si>
  <si>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</si>
  <si>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</si>
  <si>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</si>
  <si>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</si>
  <si>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</si>
  <si>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</si>
  <si>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</si>
  <si>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</si>
  <si>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Six Weeks</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</si>
  <si>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</si>
  <si>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</si>
  <si>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</si>
  <si>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</si>
  <si>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</si>
  <si>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</si>
  <si>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</si>
  <si>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</si>
  <si>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</si>
  <si>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active infections</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</si>
  <si>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</si>
  <si>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</si>
  <si>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</si>
  <si>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</si>
  <si>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</si>
  <si>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</si>
  <si>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</si>
  <si>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</si>
  <si>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</si>
  <si>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</si>
  <si>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</si>
  <si>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AU border closed 9pm 20/3</t>
  </si>
  <si>
    <t>SA, WA, NT borders closed 24/3</t>
  </si>
  <si>
    <t>QLD border closed 25/3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</si>
  <si>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</si>
  <si>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</si>
  <si>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</si>
  <si>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</si>
  <si>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</si>
  <si>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</si>
  <si>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</si>
  <si>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</si>
  <si>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</si>
  <si>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Tas border closed 19/3</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</si>
  <si>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</si>
  <si>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</si>
  <si>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</si>
  <si>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</si>
  <si>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</si>
  <si>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</si>
  <si>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</si>
  <si>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</si>
  <si>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</si>
  <si>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</si>
  <si>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</si>
  <si>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</si>
  <si>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</si>
  <si>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</si>
  <si>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</si>
  <si>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</si>
  <si>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</si>
  <si>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</si>
  <si>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</si>
  <si>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</si>
  <si>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</si>
  <si>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</si>
  <si>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</si>
  <si>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</si>
  <si>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</si>
  <si>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</si>
  <si>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Figures ceased being supplied by most States mid to late March</t>
  </si>
  <si>
    <t>Feb CFR</t>
  </si>
  <si>
    <t>Mar CFR</t>
  </si>
  <si>
    <t>Case Fatality Rates (CFR)</t>
  </si>
  <si>
    <t>Asymptomatic Cases</t>
  </si>
  <si>
    <t>Infections (cumulative)</t>
  </si>
  <si>
    <t>Detected Infections (cumulative)</t>
  </si>
  <si>
    <t xml:space="preserve">Asymptomatic </t>
  </si>
  <si>
    <t>Asymptomatic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</si>
  <si>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</si>
  <si>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</si>
  <si>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</si>
  <si>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</si>
  <si>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</si>
  <si>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</si>
  <si>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</si>
  <si>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</si>
  <si>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Projected numbers recovered at 2 wks from signs of infection</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</si>
  <si>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</si>
  <si>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</si>
  <si>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</si>
  <si>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</si>
  <si>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</si>
  <si>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</si>
  <si>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</si>
  <si>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</si>
  <si>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</si>
  <si>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</si>
  <si>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</si>
  <si>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Number Severe</t>
  </si>
  <si>
    <t>Cumulative Critical</t>
  </si>
  <si>
    <t>Number Critical</t>
  </si>
  <si>
    <t>% of Pop. of all infected</t>
  </si>
  <si>
    <t>Projected all infection numbers</t>
  </si>
  <si>
    <t>Totally speculative at this stage</t>
  </si>
  <si>
    <t>Proportion of confirmed cases to total infections</t>
  </si>
  <si>
    <t>Projected Case Mortality Rate</t>
  </si>
  <si>
    <t>Numbers probably meaningless after 18/5</t>
  </si>
  <si>
    <t>Final confirmed infection rate</t>
  </si>
  <si>
    <t>Stage 1 Shutdown</t>
  </si>
  <si>
    <t>Stage 2 Shutdown</t>
  </si>
  <si>
    <t>Stage 3 Shutdown</t>
  </si>
  <si>
    <t>AU borders closed</t>
  </si>
  <si>
    <t>Lead time before expect to begin seeing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</si>
</sst>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
    <numFmt numFmtId="167" formatCode="0.0000%"/>
    <numFmt numFmtId="168" formatCode="[$$-C09]#,##0.00;[Red]&quot;-&quot;[$$-C09]#,##0.00"/>
    <numFmt numFmtId="170" formatCode="0.00000%"/>
  </numFmts>
  <fonts count="9"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bottom/>
      <diagonal/>
    </border>
    <border>
      <left style="dashed">
        <color indexed="64"/>
      </left>
      <right style="dashed">
        <color indexed="64"/>
      </right>
      <top/>
      <bottom style="dashed">
        <color indexed="64"/>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31">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5" xfId="0" applyNumberFormat="1" applyBorder="1"/>
    <xf numFmtId="3" fontId="0" fillId="0" borderId="8" xfId="0" applyNumberFormat="1" applyBorder="1"/>
    <xf numFmtId="3" fontId="0" fillId="0" borderId="1"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3" fontId="0" fillId="0" borderId="3" xfId="0" applyNumberFormat="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3" fontId="0" fillId="6" borderId="15"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3" xfId="0" applyNumberFormat="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9" fontId="0" fillId="4" borderId="4" xfId="0" applyNumberFormat="1" applyFill="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14" fontId="0" fillId="0" borderId="0" xfId="0" applyNumberFormat="1" applyBorder="1"/>
    <xf numFmtId="3" fontId="0" fillId="5" borderId="4" xfId="0" applyNumberFormat="1" applyFill="1" applyBorder="1"/>
    <xf numFmtId="164" fontId="0" fillId="5" borderId="3" xfId="0" applyNumberFormat="1" applyFill="1" applyBorder="1"/>
    <xf numFmtId="3" fontId="0" fillId="4" borderId="3" xfId="0" applyNumberFormat="1" applyFill="1" applyBorder="1"/>
    <xf numFmtId="3" fontId="0" fillId="4" borderId="0" xfId="0" applyNumberFormat="1" applyFill="1" applyBorder="1"/>
    <xf numFmtId="16" fontId="0" fillId="0" borderId="7" xfId="0" applyNumberFormat="1" applyBorder="1"/>
    <xf numFmtId="16" fontId="0" fillId="4" borderId="2" xfId="0" applyNumberFormat="1" applyFill="1" applyBorder="1"/>
    <xf numFmtId="3" fontId="0" fillId="4" borderId="4" xfId="0" applyNumberFormat="1" applyFill="1" applyBorder="1"/>
    <xf numFmtId="3" fontId="0" fillId="0" borderId="4" xfId="0" applyNumberFormat="1" applyBorder="1"/>
    <xf numFmtId="3" fontId="0" fillId="8" borderId="0" xfId="0" applyNumberFormat="1" applyFill="1" applyBorder="1"/>
    <xf numFmtId="3" fontId="0" fillId="8" borderId="3" xfId="0" applyNumberFormat="1" applyFill="1" applyBorder="1"/>
    <xf numFmtId="0" fontId="0" fillId="4" borderId="7" xfId="0" applyFill="1" applyBorder="1"/>
    <xf numFmtId="164" fontId="0" fillId="0" borderId="7" xfId="0" applyNumberFormat="1" applyBorder="1"/>
    <xf numFmtId="3" fontId="0" fillId="2" borderId="7" xfId="0" applyNumberFormat="1" applyFill="1" applyBorder="1"/>
    <xf numFmtId="3" fontId="0" fillId="2" borderId="1" xfId="0" applyNumberFormat="1" applyFill="1" applyBorder="1"/>
    <xf numFmtId="3" fontId="0" fillId="2" borderId="9" xfId="0" applyNumberFormat="1" applyFill="1" applyBorder="1"/>
    <xf numFmtId="3" fontId="0" fillId="2" borderId="11" xfId="0" applyNumberFormat="1" applyFill="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3" fontId="0" fillId="9" borderId="1" xfId="0" applyNumberFormat="1" applyFill="1" applyBorder="1"/>
    <xf numFmtId="0" fontId="0" fillId="0" borderId="12" xfId="0" applyBorder="1"/>
    <xf numFmtId="165" fontId="0" fillId="0" borderId="3" xfId="0" applyNumberFormat="1" applyBorder="1"/>
    <xf numFmtId="3" fontId="0" fillId="8" borderId="4" xfId="0" applyNumberFormat="1" applyFill="1" applyBorder="1"/>
    <xf numFmtId="3" fontId="0" fillId="2" borderId="2"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3" fontId="0" fillId="0" borderId="0" xfId="0" applyNumberFormat="1" applyFill="1" applyBorder="1" applyAlignment="1">
      <alignment horizontal="center"/>
    </xf>
    <xf numFmtId="3" fontId="0" fillId="0" borderId="0" xfId="0" applyNumberFormat="1" applyFill="1" applyBorder="1" applyAlignment="1"/>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3" fontId="0" fillId="0" borderId="3"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7" borderId="15" xfId="0" applyNumberFormat="1" applyFill="1" applyBorder="1"/>
    <xf numFmtId="0" fontId="0" fillId="4" borderId="13" xfId="0" applyFill="1" applyBorder="1"/>
    <xf numFmtId="0" fontId="0" fillId="4" borderId="14" xfId="0" applyFill="1" applyBorder="1"/>
    <xf numFmtId="3" fontId="0" fillId="9" borderId="14" xfId="0" applyNumberFormat="1" applyFill="1" applyBorder="1"/>
    <xf numFmtId="3" fontId="0" fillId="9" borderId="15" xfId="0" applyNumberFormat="1" applyFill="1" applyBorder="1"/>
    <xf numFmtId="14" fontId="0" fillId="0" borderId="0" xfId="0" applyNumberFormat="1" applyFill="1" applyBorder="1"/>
    <xf numFmtId="16" fontId="0" fillId="10" borderId="1" xfId="0" applyNumberFormat="1" applyFill="1" applyBorder="1"/>
    <xf numFmtId="16" fontId="0" fillId="10" borderId="7" xfId="0" applyNumberFormat="1" applyFill="1" applyBorder="1"/>
    <xf numFmtId="16" fontId="0" fillId="15" borderId="1" xfId="0" applyNumberFormat="1" applyFill="1" applyBorder="1"/>
    <xf numFmtId="16" fontId="0" fillId="15" borderId="7" xfId="0" applyNumberFormat="1" applyFill="1" applyBorder="1"/>
    <xf numFmtId="16" fontId="0" fillId="0" borderId="1" xfId="0" applyNumberFormat="1" applyBorder="1"/>
    <xf numFmtId="16" fontId="0" fillId="0" borderId="2" xfId="0" applyNumberFormat="1" applyBorder="1"/>
    <xf numFmtId="9" fontId="0" fillId="4" borderId="0" xfId="0" applyNumberFormat="1" applyFill="1" applyBorder="1"/>
    <xf numFmtId="3" fontId="0" fillId="0" borderId="8" xfId="0" applyNumberFormat="1" applyFill="1" applyBorder="1"/>
    <xf numFmtId="3" fontId="0" fillId="0" borderId="3" xfId="0" applyNumberFormat="1" applyFill="1" applyBorder="1"/>
    <xf numFmtId="3" fontId="0" fillId="0" borderId="5" xfId="0" applyNumberFormat="1" applyFill="1" applyBorder="1"/>
    <xf numFmtId="3" fontId="0" fillId="0" borderId="6" xfId="0" applyNumberFormat="1" applyFill="1" applyBorder="1"/>
    <xf numFmtId="16" fontId="0" fillId="0" borderId="0" xfId="0" applyNumberFormat="1" applyFill="1"/>
    <xf numFmtId="16" fontId="0" fillId="4" borderId="7" xfId="0" applyNumberFormat="1" applyFill="1" applyBorder="1"/>
    <xf numFmtId="3" fontId="0" fillId="0" borderId="17" xfId="0" applyNumberFormat="1" applyFill="1" applyBorder="1"/>
    <xf numFmtId="9" fontId="0" fillId="0" borderId="17" xfId="0" applyNumberFormat="1" applyFill="1" applyBorder="1"/>
    <xf numFmtId="3" fontId="0" fillId="0" borderId="18" xfId="0" applyNumberFormat="1" applyFill="1" applyBorder="1"/>
    <xf numFmtId="16" fontId="0" fillId="0" borderId="16" xfId="0" applyNumberFormat="1" applyFill="1" applyBorder="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6" xfId="1" applyNumberFormat="1" applyFill="1" applyBorder="1"/>
    <xf numFmtId="9" fontId="5" fillId="9" borderId="2" xfId="1" applyNumberFormat="1" applyFill="1" applyBorder="1"/>
    <xf numFmtId="10" fontId="0" fillId="0" borderId="4" xfId="0" applyNumberFormat="1" applyBorder="1"/>
    <xf numFmtId="164" fontId="0" fillId="0" borderId="4" xfId="0" applyNumberFormat="1" applyBorder="1"/>
    <xf numFmtId="170" fontId="0" fillId="0" borderId="0" xfId="0" applyNumberFormat="1"/>
    <xf numFmtId="3" fontId="0" fillId="4" borderId="9" xfId="0" applyNumberFormat="1" applyFill="1" applyBorder="1" applyAlignment="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0"/>
  <tableStyles count="0" defaultTableStyle="TableStyleMedium2" defaultPivotStyle="PivotStyleLight16"/>
  <colors>
    <mruColors>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41.428571428571423</c:v>
                </c:pt>
                <c:pt idx="1">
                  <c:v>82.857142857142847</c:v>
                </c:pt>
                <c:pt idx="2">
                  <c:v>165.71428571428569</c:v>
                </c:pt>
                <c:pt idx="3">
                  <c:v>331.42857142857139</c:v>
                </c:pt>
                <c:pt idx="4">
                  <c:v>662.85714285714278</c:v>
                </c:pt>
                <c:pt idx="5">
                  <c:v>1325.7142857142856</c:v>
                </c:pt>
                <c:pt idx="6">
                  <c:v>2651.4285714285711</c:v>
                </c:pt>
                <c:pt idx="7">
                  <c:v>5302.8571428571422</c:v>
                </c:pt>
                <c:pt idx="8">
                  <c:v>10605.714285714284</c:v>
                </c:pt>
                <c:pt idx="9">
                  <c:v>21211.428571428569</c:v>
                </c:pt>
                <c:pt idx="10">
                  <c:v>42422.857142857138</c:v>
                </c:pt>
                <c:pt idx="11">
                  <c:v>84845.714285714275</c:v>
                </c:pt>
                <c:pt idx="12">
                  <c:v>169691.42857142855</c:v>
                </c:pt>
                <c:pt idx="13">
                  <c:v>339382.8571428571</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12.428571428571427</c:v>
                </c:pt>
                <c:pt idx="1">
                  <c:v>24.857142857142854</c:v>
                </c:pt>
                <c:pt idx="2">
                  <c:v>49.714285714285708</c:v>
                </c:pt>
                <c:pt idx="3">
                  <c:v>99.428571428571416</c:v>
                </c:pt>
                <c:pt idx="4">
                  <c:v>198.85714285714283</c:v>
                </c:pt>
                <c:pt idx="5">
                  <c:v>397.71428571428567</c:v>
                </c:pt>
                <c:pt idx="6">
                  <c:v>795.42857142857133</c:v>
                </c:pt>
                <c:pt idx="7">
                  <c:v>1590.8571428571427</c:v>
                </c:pt>
                <c:pt idx="8">
                  <c:v>3181.7142857142853</c:v>
                </c:pt>
                <c:pt idx="9">
                  <c:v>6363.4285714285706</c:v>
                </c:pt>
                <c:pt idx="10">
                  <c:v>12726.857142857141</c:v>
                </c:pt>
                <c:pt idx="11">
                  <c:v>25453.714285714283</c:v>
                </c:pt>
                <c:pt idx="12">
                  <c:v>50907.428571428565</c:v>
                </c:pt>
                <c:pt idx="13">
                  <c:v>101814.85714285713</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28.999999999999993</c:v>
                </c:pt>
                <c:pt idx="4">
                  <c:v>57.999999999999986</c:v>
                </c:pt>
                <c:pt idx="5">
                  <c:v>115.99999999999997</c:v>
                </c:pt>
                <c:pt idx="6">
                  <c:v>231.99999999999994</c:v>
                </c:pt>
                <c:pt idx="7">
                  <c:v>463.99999999999989</c:v>
                </c:pt>
                <c:pt idx="8">
                  <c:v>927.99999999999977</c:v>
                </c:pt>
                <c:pt idx="9">
                  <c:v>1855.9999999999995</c:v>
                </c:pt>
                <c:pt idx="10">
                  <c:v>3711.9999999999991</c:v>
                </c:pt>
                <c:pt idx="11">
                  <c:v>7423.9999999999982</c:v>
                </c:pt>
                <c:pt idx="12">
                  <c:v>14847.999999999996</c:v>
                </c:pt>
                <c:pt idx="13">
                  <c:v>29695.999999999993</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43924</c:v>
                </c:pt>
              </c:numCache>
            </c:numRef>
          </c:cat>
          <c:val>
            <c:numRef>
              <c:extLst>
                <c:ext xmlns:c15="http://schemas.microsoft.com/office/drawing/2012/chart" uri="{02D57815-91ED-43cb-92C2-25804820EDAC}">
                  <c15:fullRef>
                    <c15:sqref>Projections!$G$14:$AA$14</c15:sqref>
                  </c15:fullRef>
                </c:ext>
              </c:extLst>
              <c:f>Projections!$G$14:$O$14</c:f>
              <c:numCache>
                <c:formatCode>#,##0</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Projections!$A$34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43924</c:v>
                </c:pt>
              </c:numCache>
            </c:numRef>
          </c:cat>
          <c:val>
            <c:numRef>
              <c:extLst>
                <c:ext xmlns:c15="http://schemas.microsoft.com/office/drawing/2012/chart" uri="{02D57815-91ED-43cb-92C2-25804820EDAC}">
                  <c15:fullRef>
                    <c15:sqref>Projections!$G$34:$AA$34</c15:sqref>
                  </c15:fullRef>
                </c:ext>
              </c:extLst>
              <c:f>Projections!$G$34:$O$34</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43924</c:v>
                </c:pt>
              </c:numCache>
            </c:numRef>
          </c:cat>
          <c:val>
            <c:numRef>
              <c:extLst>
                <c:ext xmlns:c15="http://schemas.microsoft.com/office/drawing/2012/chart" uri="{02D57815-91ED-43cb-92C2-25804820EDAC}">
                  <c15:fullRef>
                    <c15:sqref>Projections!$G$24:$AA$24</c15:sqref>
                  </c15:fullRef>
                </c:ext>
              </c:extLst>
              <c:f>Projections!$G$24:$O$24</c:f>
              <c:numCache>
                <c:formatCode>#,##0</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50BE-40C1-B679-81AF0BCE3FCD}"/>
            </c:ext>
          </c:extLst>
        </c:ser>
        <c:ser>
          <c:idx val="1"/>
          <c:order val="1"/>
          <c:tx>
            <c:strRef>
              <c:f>Projections!$A$36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43924</c:v>
                </c:pt>
              </c:numCache>
            </c:numRef>
          </c:cat>
          <c:val>
            <c:numRef>
              <c:extLst>
                <c:ext xmlns:c15="http://schemas.microsoft.com/office/drawing/2012/chart" uri="{02D57815-91ED-43cb-92C2-25804820EDAC}">
                  <c15:fullRef>
                    <c15:sqref>Projections!$G$36:$AA$36</c15:sqref>
                  </c15:fullRef>
                </c:ext>
              </c:extLst>
              <c:f>Projections!$G$36:$O$36</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Projections!$G$20:$AA$20</c15:sqref>
                  </c15:fullRef>
                </c:ext>
              </c:extLst>
              <c:f>Projections!$G$20:$Z$20</c:f>
              <c:numCache>
                <c:formatCode>#,##0</c:formatCode>
                <c:ptCount val="20"/>
                <c:pt idx="2">
                  <c:v>5.9375</c:v>
                </c:pt>
                <c:pt idx="3">
                  <c:v>11.875</c:v>
                </c:pt>
                <c:pt idx="4">
                  <c:v>23.75</c:v>
                </c:pt>
                <c:pt idx="5">
                  <c:v>47.5</c:v>
                </c:pt>
                <c:pt idx="6">
                  <c:v>47.5</c:v>
                </c:pt>
                <c:pt idx="7">
                  <c:v>190</c:v>
                </c:pt>
                <c:pt idx="8">
                  <c:v>380</c:v>
                </c:pt>
                <c:pt idx="9">
                  <c:v>760</c:v>
                </c:pt>
                <c:pt idx="10">
                  <c:v>1520</c:v>
                </c:pt>
                <c:pt idx="11">
                  <c:v>3040</c:v>
                </c:pt>
                <c:pt idx="12">
                  <c:v>6080</c:v>
                </c:pt>
                <c:pt idx="13">
                  <c:v>12160</c:v>
                </c:pt>
                <c:pt idx="14">
                  <c:v>24320</c:v>
                </c:pt>
                <c:pt idx="15">
                  <c:v>48640</c:v>
                </c:pt>
                <c:pt idx="16">
                  <c:v>97280</c:v>
                </c:pt>
                <c:pt idx="17">
                  <c:v>194560</c:v>
                </c:pt>
                <c:pt idx="18">
                  <c:v>389120</c:v>
                </c:pt>
                <c:pt idx="19">
                  <c:v>778240</c:v>
                </c:pt>
              </c:numCache>
            </c:numRef>
          </c:val>
          <c:smooth val="0"/>
          <c:extLst>
            <c:ext xmlns:c16="http://schemas.microsoft.com/office/drawing/2014/chart" uri="{C3380CC4-5D6E-409C-BE32-E72D297353CC}">
              <c16:uniqueId val="{00000000-A3C2-4B4C-996C-CDB1A252886F}"/>
            </c:ext>
          </c:extLst>
        </c:ser>
        <c:ser>
          <c:idx val="2"/>
          <c:order val="1"/>
          <c:tx>
            <c:strRef>
              <c:f>Projections!$A$21</c:f>
              <c:strCache>
                <c:ptCount val="1"/>
                <c:pt idx="0">
                  <c:v>Number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Projections!$G$21:$AA$21</c15:sqref>
                  </c15:fullRef>
                </c:ext>
              </c:extLst>
              <c:f>Projections!$G$21:$Z$21</c:f>
              <c:numCache>
                <c:formatCode>#,##0</c:formatCode>
                <c:ptCount val="20"/>
                <c:pt idx="2">
                  <c:v>5.9375</c:v>
                </c:pt>
                <c:pt idx="3">
                  <c:v>11.875</c:v>
                </c:pt>
                <c:pt idx="4">
                  <c:v>22.1875</c:v>
                </c:pt>
                <c:pt idx="5">
                  <c:v>44.375</c:v>
                </c:pt>
                <c:pt idx="6">
                  <c:v>41.25</c:v>
                </c:pt>
                <c:pt idx="7">
                  <c:v>177.5</c:v>
                </c:pt>
                <c:pt idx="8">
                  <c:v>355</c:v>
                </c:pt>
                <c:pt idx="9">
                  <c:v>661.09375</c:v>
                </c:pt>
                <c:pt idx="10">
                  <c:v>1321.09375</c:v>
                </c:pt>
                <c:pt idx="11">
                  <c:v>2646.5625</c:v>
                </c:pt>
                <c:pt idx="12">
                  <c:v>5294.6875</c:v>
                </c:pt>
                <c:pt idx="13">
                  <c:v>10624.375</c:v>
                </c:pt>
                <c:pt idx="14">
                  <c:v>21186.875</c:v>
                </c:pt>
                <c:pt idx="15">
                  <c:v>42326.25</c:v>
                </c:pt>
                <c:pt idx="16">
                  <c:v>84747.5</c:v>
                </c:pt>
                <c:pt idx="17">
                  <c:v>169495</c:v>
                </c:pt>
                <c:pt idx="18">
                  <c:v>338180</c:v>
                </c:pt>
                <c:pt idx="19">
                  <c:v>676360</c:v>
                </c:pt>
              </c:numCache>
            </c:numRef>
          </c:val>
          <c:smooth val="0"/>
          <c:extLst>
            <c:ext xmlns:c16="http://schemas.microsoft.com/office/drawing/2014/chart" uri="{C3380CC4-5D6E-409C-BE32-E72D297353CC}">
              <c16:uniqueId val="{00000001-A3C2-4B4C-996C-CDB1A252886F}"/>
            </c:ext>
          </c:extLst>
        </c:ser>
        <c:ser>
          <c:idx val="0"/>
          <c:order val="2"/>
          <c:tx>
            <c:strRef>
              <c:f>Projections!$A$22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Projections!$G$22:$AA$22</c15:sqref>
                  </c15:fullRef>
                </c:ext>
              </c:extLst>
              <c:f>Projections!$G$22:$Z$22</c:f>
              <c:numCache>
                <c:formatCode>#,##0</c:formatCode>
                <c:ptCount val="20"/>
                <c:pt idx="4">
                  <c:v>1.5625</c:v>
                </c:pt>
                <c:pt idx="5">
                  <c:v>3.125</c:v>
                </c:pt>
                <c:pt idx="6">
                  <c:v>6.25</c:v>
                </c:pt>
                <c:pt idx="7">
                  <c:v>12.5</c:v>
                </c:pt>
                <c:pt idx="8">
                  <c:v>25</c:v>
                </c:pt>
                <c:pt idx="9">
                  <c:v>100</c:v>
                </c:pt>
                <c:pt idx="10">
                  <c:v>200</c:v>
                </c:pt>
                <c:pt idx="11">
                  <c:v>400</c:v>
                </c:pt>
                <c:pt idx="12">
                  <c:v>800</c:v>
                </c:pt>
                <c:pt idx="13">
                  <c:v>1600</c:v>
                </c:pt>
                <c:pt idx="14">
                  <c:v>3200</c:v>
                </c:pt>
                <c:pt idx="15">
                  <c:v>6400</c:v>
                </c:pt>
                <c:pt idx="16">
                  <c:v>12800</c:v>
                </c:pt>
                <c:pt idx="17">
                  <c:v>25600</c:v>
                </c:pt>
                <c:pt idx="18">
                  <c:v>51200</c:v>
                </c:pt>
                <c:pt idx="19">
                  <c:v>102400</c:v>
                </c:pt>
              </c:numCache>
            </c:numRef>
          </c:val>
          <c:smooth val="0"/>
          <c:extLst>
            <c:ext xmlns:c16="http://schemas.microsoft.com/office/drawing/2014/chart" uri="{C3380CC4-5D6E-409C-BE32-E72D297353CC}">
              <c16:uniqueId val="{00000002-A3C2-4B4C-996C-CDB1A252886F}"/>
            </c:ext>
          </c:extLst>
        </c:ser>
        <c:ser>
          <c:idx val="4"/>
          <c:order val="3"/>
          <c:tx>
            <c:strRef>
              <c:f>Projections!$A$23</c:f>
              <c:strCache>
                <c:ptCount val="1"/>
                <c:pt idx="0">
                  <c:v>Number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Projections!$G$23:$AA$23</c15:sqref>
                  </c15:fullRef>
                </c:ext>
              </c:extLst>
              <c:f>Projections!$G$23:$Z$23</c:f>
              <c:numCache>
                <c:formatCode>#,##0</c:formatCode>
                <c:ptCount val="20"/>
                <c:pt idx="4">
                  <c:v>1.5625</c:v>
                </c:pt>
                <c:pt idx="5">
                  <c:v>3.125</c:v>
                </c:pt>
                <c:pt idx="6">
                  <c:v>6.25</c:v>
                </c:pt>
                <c:pt idx="7">
                  <c:v>12.5</c:v>
                </c:pt>
                <c:pt idx="8">
                  <c:v>25</c:v>
                </c:pt>
                <c:pt idx="9">
                  <c:v>98.90625</c:v>
                </c:pt>
                <c:pt idx="10">
                  <c:v>198.90625</c:v>
                </c:pt>
                <c:pt idx="11">
                  <c:v>393.4375</c:v>
                </c:pt>
                <c:pt idx="12">
                  <c:v>785.3125</c:v>
                </c:pt>
                <c:pt idx="13">
                  <c:v>1535.625</c:v>
                </c:pt>
                <c:pt idx="14">
                  <c:v>3082.5</c:v>
                </c:pt>
                <c:pt idx="15">
                  <c:v>6212.5</c:v>
                </c:pt>
                <c:pt idx="16">
                  <c:v>12330</c:v>
                </c:pt>
                <c:pt idx="17">
                  <c:v>24660</c:v>
                </c:pt>
                <c:pt idx="18">
                  <c:v>49320</c:v>
                </c:pt>
                <c:pt idx="19">
                  <c:v>98640</c:v>
                </c:pt>
              </c:numCache>
            </c:numRef>
          </c:val>
          <c:smooth val="0"/>
          <c:extLst>
            <c:ext xmlns:c16="http://schemas.microsoft.com/office/drawing/2014/chart" uri="{C3380CC4-5D6E-409C-BE32-E72D297353CC}">
              <c16:uniqueId val="{00000003-A3C2-4B4C-996C-CDB1A252886F}"/>
            </c:ext>
          </c:extLst>
        </c:ser>
        <c:ser>
          <c:idx val="1"/>
          <c:order val="4"/>
          <c:tx>
            <c:strRef>
              <c:f>Projections!$A$24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Projections!$G$24:$AA$24</c15:sqref>
                  </c15:fullRef>
                </c:ext>
              </c:extLst>
              <c:f>Projections!$G$24:$Z$24</c:f>
              <c:numCache>
                <c:formatCode>#,##0</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Projections!$G$40:$AA$40</c15:sqref>
                  </c15:fullRef>
                </c:ext>
              </c:extLst>
              <c:f>Projections!$G$40:$Z$40</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0-7972-43AB-83E8-C2C99B4277B0}"/>
            </c:ext>
          </c:extLst>
        </c:ser>
        <c:ser>
          <c:idx val="2"/>
          <c:order val="1"/>
          <c:tx>
            <c:strRef>
              <c:f>Projections!$A$42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Projections!$G$42:$AA$42</c15:sqref>
                  </c15:fullRef>
                </c:ext>
              </c:extLst>
              <c:f>Projections!$G$42:$Z$42</c:f>
              <c:numCache>
                <c:formatCode>#,##0</c:formatCode>
                <c:ptCount val="20"/>
                <c:pt idx="0">
                  <c:v>2.7980382293762576</c:v>
                </c:pt>
                <c:pt idx="1">
                  <c:v>5.5960764587525151</c:v>
                </c:pt>
                <c:pt idx="2">
                  <c:v>11.19215291750503</c:v>
                </c:pt>
                <c:pt idx="3">
                  <c:v>22.384305835010061</c:v>
                </c:pt>
                <c:pt idx="4">
                  <c:v>44.768611670020121</c:v>
                </c:pt>
                <c:pt idx="5">
                  <c:v>89.537223340040242</c:v>
                </c:pt>
                <c:pt idx="6">
                  <c:v>179.07444668008048</c:v>
                </c:pt>
                <c:pt idx="7">
                  <c:v>358.14889336016097</c:v>
                </c:pt>
                <c:pt idx="8">
                  <c:v>716.29778672032194</c:v>
                </c:pt>
                <c:pt idx="9">
                  <c:v>1432.5955734406439</c:v>
                </c:pt>
                <c:pt idx="10">
                  <c:v>2865.1911468812878</c:v>
                </c:pt>
                <c:pt idx="11">
                  <c:v>5730.3822937625755</c:v>
                </c:pt>
                <c:pt idx="12">
                  <c:v>11460.764587525151</c:v>
                </c:pt>
                <c:pt idx="13">
                  <c:v>22921.529175050302</c:v>
                </c:pt>
                <c:pt idx="14">
                  <c:v>45843.058350100604</c:v>
                </c:pt>
                <c:pt idx="15">
                  <c:v>91686.116700201208</c:v>
                </c:pt>
                <c:pt idx="16">
                  <c:v>183372.23340040242</c:v>
                </c:pt>
                <c:pt idx="17">
                  <c:v>366744.46680080483</c:v>
                </c:pt>
                <c:pt idx="18">
                  <c:v>733488.93360160966</c:v>
                </c:pt>
                <c:pt idx="19">
                  <c:v>1466977.8672032193</c:v>
                </c:pt>
              </c:numCache>
            </c:numRef>
          </c:val>
          <c:smooth val="0"/>
          <c:extLst>
            <c:ext xmlns:c16="http://schemas.microsoft.com/office/drawing/2014/chart" uri="{C3380CC4-5D6E-409C-BE32-E72D297353CC}">
              <c16:uniqueId val="{00000001-7972-43AB-83E8-C2C99B4277B0}"/>
            </c:ext>
          </c:extLst>
        </c:ser>
        <c:ser>
          <c:idx val="4"/>
          <c:order val="2"/>
          <c:tx>
            <c:strRef>
              <c:f>Projections!$A$44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5.1559356136820922</c:v>
                </c:pt>
                <c:pt idx="1">
                  <c:v>10.311871227364184</c:v>
                </c:pt>
                <c:pt idx="2">
                  <c:v>20.623742454728369</c:v>
                </c:pt>
                <c:pt idx="3">
                  <c:v>41.247484909456738</c:v>
                </c:pt>
                <c:pt idx="4">
                  <c:v>82.494969818913475</c:v>
                </c:pt>
                <c:pt idx="5">
                  <c:v>164.98993963782695</c:v>
                </c:pt>
                <c:pt idx="6">
                  <c:v>329.9798792756539</c:v>
                </c:pt>
                <c:pt idx="7">
                  <c:v>659.9597585513078</c:v>
                </c:pt>
                <c:pt idx="8">
                  <c:v>1319.9195171026156</c:v>
                </c:pt>
                <c:pt idx="9">
                  <c:v>2639.8390342052312</c:v>
                </c:pt>
                <c:pt idx="10">
                  <c:v>5279.6780684104624</c:v>
                </c:pt>
                <c:pt idx="11">
                  <c:v>10559.356136820925</c:v>
                </c:pt>
                <c:pt idx="12">
                  <c:v>21118.71227364185</c:v>
                </c:pt>
                <c:pt idx="13">
                  <c:v>42237.424547283699</c:v>
                </c:pt>
                <c:pt idx="14">
                  <c:v>84474.849094567398</c:v>
                </c:pt>
                <c:pt idx="15">
                  <c:v>168949.6981891348</c:v>
                </c:pt>
                <c:pt idx="16">
                  <c:v>337899.39637826959</c:v>
                </c:pt>
                <c:pt idx="17">
                  <c:v>675798.79275653919</c:v>
                </c:pt>
                <c:pt idx="18">
                  <c:v>1351597.5855130784</c:v>
                </c:pt>
                <c:pt idx="19">
                  <c:v>2703195.1710261567</c:v>
                </c:pt>
              </c:numCache>
            </c:numRef>
          </c:val>
          <c:smooth val="0"/>
          <c:extLst>
            <c:ext xmlns:c16="http://schemas.microsoft.com/office/drawing/2014/chart" uri="{C3380CC4-5D6E-409C-BE32-E72D297353CC}">
              <c16:uniqueId val="{00000002-7972-43AB-83E8-C2C99B4277B0}"/>
            </c:ext>
          </c:extLst>
        </c:ser>
        <c:ser>
          <c:idx val="6"/>
          <c:order val="3"/>
          <c:tx>
            <c:strRef>
              <c:f>Projections!$A$46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5.3445674044265594</c:v>
                </c:pt>
                <c:pt idx="1">
                  <c:v>10.689134808853119</c:v>
                </c:pt>
                <c:pt idx="2">
                  <c:v>21.378269617706238</c:v>
                </c:pt>
                <c:pt idx="3">
                  <c:v>42.756539235412475</c:v>
                </c:pt>
                <c:pt idx="4">
                  <c:v>85.513078470824951</c:v>
                </c:pt>
                <c:pt idx="5">
                  <c:v>171.0261569416499</c:v>
                </c:pt>
                <c:pt idx="6">
                  <c:v>342.0523138832998</c:v>
                </c:pt>
                <c:pt idx="7">
                  <c:v>684.10462776659961</c:v>
                </c:pt>
                <c:pt idx="8">
                  <c:v>1368.2092555331992</c:v>
                </c:pt>
                <c:pt idx="9">
                  <c:v>2736.4185110663984</c:v>
                </c:pt>
                <c:pt idx="10">
                  <c:v>5472.8370221327968</c:v>
                </c:pt>
                <c:pt idx="11">
                  <c:v>10945.674044265594</c:v>
                </c:pt>
                <c:pt idx="12">
                  <c:v>21891.348088531187</c:v>
                </c:pt>
                <c:pt idx="13">
                  <c:v>43782.696177062375</c:v>
                </c:pt>
                <c:pt idx="14">
                  <c:v>87565.39235412475</c:v>
                </c:pt>
                <c:pt idx="15">
                  <c:v>175130.7847082495</c:v>
                </c:pt>
                <c:pt idx="16">
                  <c:v>350261.569416499</c:v>
                </c:pt>
                <c:pt idx="17">
                  <c:v>700523.138832998</c:v>
                </c:pt>
                <c:pt idx="18">
                  <c:v>1401046.277665996</c:v>
                </c:pt>
                <c:pt idx="19">
                  <c:v>2802092.555331992</c:v>
                </c:pt>
              </c:numCache>
            </c:numRef>
          </c:val>
          <c:smooth val="0"/>
          <c:extLst>
            <c:ext xmlns:c16="http://schemas.microsoft.com/office/drawing/2014/chart" uri="{C3380CC4-5D6E-409C-BE32-E72D297353CC}">
              <c16:uniqueId val="{00000003-7972-43AB-83E8-C2C99B4277B0}"/>
            </c:ext>
          </c:extLst>
        </c:ser>
        <c:ser>
          <c:idx val="8"/>
          <c:order val="4"/>
          <c:tx>
            <c:strRef>
              <c:f>Projections!$A$48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Projections!$G$48:$AA$48</c15:sqref>
                  </c15:fullRef>
                </c:ext>
              </c:extLst>
              <c:f>Projections!$G$48:$Z$48</c:f>
              <c:numCache>
                <c:formatCode>#,##0</c:formatCode>
                <c:ptCount val="20"/>
                <c:pt idx="0">
                  <c:v>4.5900402414486923</c:v>
                </c:pt>
                <c:pt idx="1">
                  <c:v>9.1800804828973845</c:v>
                </c:pt>
                <c:pt idx="2">
                  <c:v>18.360160965794769</c:v>
                </c:pt>
                <c:pt idx="3">
                  <c:v>36.720321931589538</c:v>
                </c:pt>
                <c:pt idx="4">
                  <c:v>73.440643863179076</c:v>
                </c:pt>
                <c:pt idx="5">
                  <c:v>146.88128772635815</c:v>
                </c:pt>
                <c:pt idx="6">
                  <c:v>293.76257545271631</c:v>
                </c:pt>
                <c:pt idx="7">
                  <c:v>587.52515090543261</c:v>
                </c:pt>
                <c:pt idx="8">
                  <c:v>1175.0503018108652</c:v>
                </c:pt>
                <c:pt idx="9">
                  <c:v>2350.1006036217304</c:v>
                </c:pt>
                <c:pt idx="10">
                  <c:v>4700.2012072434609</c:v>
                </c:pt>
                <c:pt idx="11">
                  <c:v>9400.4024144869218</c:v>
                </c:pt>
                <c:pt idx="12">
                  <c:v>18800.804828973844</c:v>
                </c:pt>
                <c:pt idx="13">
                  <c:v>37601.609657947687</c:v>
                </c:pt>
                <c:pt idx="14">
                  <c:v>75203.219315895374</c:v>
                </c:pt>
                <c:pt idx="15">
                  <c:v>150406.43863179075</c:v>
                </c:pt>
                <c:pt idx="16">
                  <c:v>300812.8772635815</c:v>
                </c:pt>
                <c:pt idx="17">
                  <c:v>601625.75452716299</c:v>
                </c:pt>
                <c:pt idx="18">
                  <c:v>1203251.509054326</c:v>
                </c:pt>
                <c:pt idx="19">
                  <c:v>2406503.018108652</c:v>
                </c:pt>
              </c:numCache>
            </c:numRef>
          </c:val>
          <c:smooth val="0"/>
          <c:extLst>
            <c:ext xmlns:c16="http://schemas.microsoft.com/office/drawing/2014/chart" uri="{C3380CC4-5D6E-409C-BE32-E72D297353CC}">
              <c16:uniqueId val="{00000004-7972-43AB-83E8-C2C99B4277B0}"/>
            </c:ext>
          </c:extLst>
        </c:ser>
        <c:ser>
          <c:idx val="10"/>
          <c:order val="5"/>
          <c:tx>
            <c:strRef>
              <c:f>Projections!$A$50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5.4703219315895373</c:v>
                </c:pt>
                <c:pt idx="1">
                  <c:v>10.940643863179075</c:v>
                </c:pt>
                <c:pt idx="2">
                  <c:v>21.881287726358149</c:v>
                </c:pt>
                <c:pt idx="3">
                  <c:v>43.762575452716298</c:v>
                </c:pt>
                <c:pt idx="4">
                  <c:v>87.525150905432596</c:v>
                </c:pt>
                <c:pt idx="5">
                  <c:v>175.05030181086519</c:v>
                </c:pt>
                <c:pt idx="6">
                  <c:v>350.10060362173039</c:v>
                </c:pt>
                <c:pt idx="7">
                  <c:v>700.20120724346077</c:v>
                </c:pt>
                <c:pt idx="8">
                  <c:v>1400.4024144869215</c:v>
                </c:pt>
                <c:pt idx="9">
                  <c:v>2800.8048289738431</c:v>
                </c:pt>
                <c:pt idx="10">
                  <c:v>5601.6096579476862</c:v>
                </c:pt>
                <c:pt idx="11">
                  <c:v>11203.219315895372</c:v>
                </c:pt>
                <c:pt idx="12">
                  <c:v>22406.438631790745</c:v>
                </c:pt>
                <c:pt idx="13">
                  <c:v>44812.877263581489</c:v>
                </c:pt>
                <c:pt idx="14">
                  <c:v>89625.754527162979</c:v>
                </c:pt>
                <c:pt idx="15">
                  <c:v>179251.50905432596</c:v>
                </c:pt>
                <c:pt idx="16">
                  <c:v>358503.01810865192</c:v>
                </c:pt>
                <c:pt idx="17">
                  <c:v>717006.03621730383</c:v>
                </c:pt>
                <c:pt idx="18">
                  <c:v>1434012.0724346077</c:v>
                </c:pt>
                <c:pt idx="19">
                  <c:v>2868024.1448692153</c:v>
                </c:pt>
              </c:numCache>
            </c:numRef>
          </c:val>
          <c:smooth val="0"/>
          <c:extLst>
            <c:ext xmlns:c16="http://schemas.microsoft.com/office/drawing/2014/chart" uri="{C3380CC4-5D6E-409C-BE32-E72D297353CC}">
              <c16:uniqueId val="{00000005-7972-43AB-83E8-C2C99B4277B0}"/>
            </c:ext>
          </c:extLst>
        </c:ser>
        <c:ser>
          <c:idx val="12"/>
          <c:order val="6"/>
          <c:tx>
            <c:strRef>
              <c:f>Projections!$A$52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5.6275150905432598</c:v>
                </c:pt>
                <c:pt idx="1">
                  <c:v>11.25503018108652</c:v>
                </c:pt>
                <c:pt idx="2">
                  <c:v>22.510060362173039</c:v>
                </c:pt>
                <c:pt idx="3">
                  <c:v>45.020120724346079</c:v>
                </c:pt>
                <c:pt idx="4">
                  <c:v>90.040241448692157</c:v>
                </c:pt>
                <c:pt idx="5">
                  <c:v>180.08048289738431</c:v>
                </c:pt>
                <c:pt idx="6">
                  <c:v>360.16096579476863</c:v>
                </c:pt>
                <c:pt idx="7">
                  <c:v>720.32193158953726</c:v>
                </c:pt>
                <c:pt idx="8">
                  <c:v>1440.6438631790745</c:v>
                </c:pt>
                <c:pt idx="9">
                  <c:v>2881.287726358149</c:v>
                </c:pt>
                <c:pt idx="10">
                  <c:v>5762.5754527162981</c:v>
                </c:pt>
                <c:pt idx="11">
                  <c:v>11525.150905432596</c:v>
                </c:pt>
                <c:pt idx="12">
                  <c:v>23050.301810865192</c:v>
                </c:pt>
                <c:pt idx="13">
                  <c:v>46100.603621730384</c:v>
                </c:pt>
                <c:pt idx="14">
                  <c:v>92201.207243460769</c:v>
                </c:pt>
                <c:pt idx="15">
                  <c:v>184402.41448692154</c:v>
                </c:pt>
                <c:pt idx="16">
                  <c:v>368804.82897384308</c:v>
                </c:pt>
                <c:pt idx="17">
                  <c:v>737609.65794768615</c:v>
                </c:pt>
                <c:pt idx="18">
                  <c:v>1475219.3158953723</c:v>
                </c:pt>
                <c:pt idx="19">
                  <c:v>2950438.6317907446</c:v>
                </c:pt>
              </c:numCache>
            </c:numRef>
          </c:val>
          <c:smooth val="0"/>
          <c:extLst>
            <c:ext xmlns:c16="http://schemas.microsoft.com/office/drawing/2014/chart" uri="{C3380CC4-5D6E-409C-BE32-E72D297353CC}">
              <c16:uniqueId val="{00000006-7972-43AB-83E8-C2C99B4277B0}"/>
            </c:ext>
          </c:extLst>
        </c:ser>
        <c:ser>
          <c:idx val="14"/>
          <c:order val="7"/>
          <c:tx>
            <c:strRef>
              <c:f>Projections!$A$54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7-7972-43AB-83E8-C2C99B4277B0}"/>
            </c:ext>
          </c:extLst>
        </c:ser>
        <c:ser>
          <c:idx val="16"/>
          <c:order val="8"/>
          <c:tx>
            <c:strRef>
              <c:f>Projections!$A$56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0.18863179074446679</c:v>
                </c:pt>
                <c:pt idx="1">
                  <c:v>0.37726358148893357</c:v>
                </c:pt>
                <c:pt idx="2">
                  <c:v>0.75452716297786715</c:v>
                </c:pt>
                <c:pt idx="3">
                  <c:v>1.5090543259557343</c:v>
                </c:pt>
                <c:pt idx="4">
                  <c:v>3.0181086519114686</c:v>
                </c:pt>
                <c:pt idx="5">
                  <c:v>6.0362173038229372</c:v>
                </c:pt>
                <c:pt idx="6">
                  <c:v>12.072434607645874</c:v>
                </c:pt>
                <c:pt idx="7">
                  <c:v>24.144869215291749</c:v>
                </c:pt>
                <c:pt idx="8">
                  <c:v>48.289738430583498</c:v>
                </c:pt>
                <c:pt idx="9">
                  <c:v>96.579476861166995</c:v>
                </c:pt>
                <c:pt idx="10">
                  <c:v>193.15895372233399</c:v>
                </c:pt>
                <c:pt idx="11">
                  <c:v>386.31790744466798</c:v>
                </c:pt>
                <c:pt idx="12">
                  <c:v>772.63581488933596</c:v>
                </c:pt>
                <c:pt idx="13">
                  <c:v>1545.2716297786719</c:v>
                </c:pt>
                <c:pt idx="14">
                  <c:v>3090.5432595573438</c:v>
                </c:pt>
                <c:pt idx="15">
                  <c:v>6181.0865191146877</c:v>
                </c:pt>
                <c:pt idx="16">
                  <c:v>12362.173038229375</c:v>
                </c:pt>
                <c:pt idx="17">
                  <c:v>24724.346076458751</c:v>
                </c:pt>
                <c:pt idx="18">
                  <c:v>49448.692152917502</c:v>
                </c:pt>
                <c:pt idx="19">
                  <c:v>98897.384305835003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Projections!$G$41:$AA$41</c15:sqref>
                  </c15:fullRef>
                </c:ext>
              </c:extLst>
              <c:f>Projections!$G$41:$Z$41</c:f>
              <c:numCache>
                <c:formatCode>#,##0</c:formatCode>
                <c:ptCount val="20"/>
                <c:pt idx="0">
                  <c:v>0.15354627766599599</c:v>
                </c:pt>
                <c:pt idx="1">
                  <c:v>0.30709255533199198</c:v>
                </c:pt>
                <c:pt idx="2">
                  <c:v>0.61418511066398396</c:v>
                </c:pt>
                <c:pt idx="3">
                  <c:v>1.2283702213279679</c:v>
                </c:pt>
                <c:pt idx="4">
                  <c:v>2.4567404426559358</c:v>
                </c:pt>
                <c:pt idx="5">
                  <c:v>4.9134808853118717</c:v>
                </c:pt>
                <c:pt idx="6">
                  <c:v>9.8269617706237433</c:v>
                </c:pt>
                <c:pt idx="7">
                  <c:v>19.653923541247487</c:v>
                </c:pt>
                <c:pt idx="8">
                  <c:v>39.307847082494973</c:v>
                </c:pt>
                <c:pt idx="9">
                  <c:v>78.615694164989947</c:v>
                </c:pt>
                <c:pt idx="10">
                  <c:v>157.23138832997989</c:v>
                </c:pt>
                <c:pt idx="11">
                  <c:v>314.46277665995979</c:v>
                </c:pt>
                <c:pt idx="12">
                  <c:v>628.92555331991957</c:v>
                </c:pt>
                <c:pt idx="13">
                  <c:v>1257.8511066398391</c:v>
                </c:pt>
                <c:pt idx="14">
                  <c:v>2515.7022132796783</c:v>
                </c:pt>
                <c:pt idx="15">
                  <c:v>5031.4044265593566</c:v>
                </c:pt>
                <c:pt idx="16">
                  <c:v>10062.808853118713</c:v>
                </c:pt>
                <c:pt idx="17">
                  <c:v>20125.617706237426</c:v>
                </c:pt>
                <c:pt idx="18">
                  <c:v>40251.235412474853</c:v>
                </c:pt>
                <c:pt idx="19">
                  <c:v>80502.470824949705</c:v>
                </c:pt>
              </c:numCache>
            </c:numRef>
          </c:val>
          <c:smooth val="0"/>
          <c:extLst>
            <c:ext xmlns:c16="http://schemas.microsoft.com/office/drawing/2014/chart" uri="{C3380CC4-5D6E-409C-BE32-E72D297353CC}">
              <c16:uniqueId val="{00000000-FE50-482D-905D-7C3B099138E4}"/>
            </c:ext>
          </c:extLst>
        </c:ser>
        <c:ser>
          <c:idx val="3"/>
          <c:order val="1"/>
          <c:tx>
            <c:strRef>
              <c:f>Projections!$A$42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Projections!$G$43:$AA$43</c15:sqref>
                  </c15:fullRef>
                </c:ext>
              </c:extLst>
              <c:f>Projections!$G$43:$Z$43</c:f>
              <c:numCache>
                <c:formatCode>#,##0</c:formatCode>
                <c:ptCount val="20"/>
                <c:pt idx="0">
                  <c:v>0.2238430583501006</c:v>
                </c:pt>
                <c:pt idx="1">
                  <c:v>0.4476861167002012</c:v>
                </c:pt>
                <c:pt idx="2">
                  <c:v>0.8953722334004024</c:v>
                </c:pt>
                <c:pt idx="3">
                  <c:v>1.7907444668008048</c:v>
                </c:pt>
                <c:pt idx="4">
                  <c:v>3.5814889336016096</c:v>
                </c:pt>
                <c:pt idx="5">
                  <c:v>7.1629778672032192</c:v>
                </c:pt>
                <c:pt idx="6">
                  <c:v>14.325955734406438</c:v>
                </c:pt>
                <c:pt idx="7">
                  <c:v>28.651911468812877</c:v>
                </c:pt>
                <c:pt idx="8">
                  <c:v>57.303822937625753</c:v>
                </c:pt>
                <c:pt idx="9">
                  <c:v>114.60764587525151</c:v>
                </c:pt>
                <c:pt idx="10">
                  <c:v>229.21529175050301</c:v>
                </c:pt>
                <c:pt idx="11">
                  <c:v>458.43058350100603</c:v>
                </c:pt>
                <c:pt idx="12">
                  <c:v>916.86116700201205</c:v>
                </c:pt>
                <c:pt idx="13">
                  <c:v>1833.7223340040241</c:v>
                </c:pt>
                <c:pt idx="14">
                  <c:v>3667.4446680080482</c:v>
                </c:pt>
                <c:pt idx="15">
                  <c:v>7334.8893360160964</c:v>
                </c:pt>
                <c:pt idx="16">
                  <c:v>14669.778672032193</c:v>
                </c:pt>
                <c:pt idx="17">
                  <c:v>29339.557344064386</c:v>
                </c:pt>
                <c:pt idx="18">
                  <c:v>58679.114688128771</c:v>
                </c:pt>
                <c:pt idx="19">
                  <c:v>117358.22937625754</c:v>
                </c:pt>
              </c:numCache>
            </c:numRef>
          </c:val>
          <c:smooth val="0"/>
          <c:extLst>
            <c:ext xmlns:c16="http://schemas.microsoft.com/office/drawing/2014/chart" uri="{C3380CC4-5D6E-409C-BE32-E72D297353CC}">
              <c16:uniqueId val="{00000001-FE50-482D-905D-7C3B099138E4}"/>
            </c:ext>
          </c:extLst>
        </c:ser>
        <c:ser>
          <c:idx val="5"/>
          <c:order val="2"/>
          <c:tx>
            <c:strRef>
              <c:f>Projections!$A$44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0.1856136820925553</c:v>
                </c:pt>
                <c:pt idx="1">
                  <c:v>0.3712273641851106</c:v>
                </c:pt>
                <c:pt idx="2">
                  <c:v>0.7424547283702212</c:v>
                </c:pt>
                <c:pt idx="3">
                  <c:v>1.4849094567404424</c:v>
                </c:pt>
                <c:pt idx="4">
                  <c:v>2.9698189134808848</c:v>
                </c:pt>
                <c:pt idx="5">
                  <c:v>5.9396378269617696</c:v>
                </c:pt>
                <c:pt idx="6">
                  <c:v>11.879275653923539</c:v>
                </c:pt>
                <c:pt idx="7">
                  <c:v>23.758551307847078</c:v>
                </c:pt>
                <c:pt idx="8">
                  <c:v>47.517102615694156</c:v>
                </c:pt>
                <c:pt idx="9">
                  <c:v>95.034205231388313</c:v>
                </c:pt>
                <c:pt idx="10">
                  <c:v>190.06841046277663</c:v>
                </c:pt>
                <c:pt idx="11">
                  <c:v>380.13682092555325</c:v>
                </c:pt>
                <c:pt idx="12">
                  <c:v>760.2736418511065</c:v>
                </c:pt>
                <c:pt idx="13">
                  <c:v>1520.547283702213</c:v>
                </c:pt>
                <c:pt idx="14">
                  <c:v>3041.094567404426</c:v>
                </c:pt>
                <c:pt idx="15">
                  <c:v>6082.189134808852</c:v>
                </c:pt>
                <c:pt idx="16">
                  <c:v>12164.378269617704</c:v>
                </c:pt>
                <c:pt idx="17">
                  <c:v>24328.756539235408</c:v>
                </c:pt>
                <c:pt idx="18">
                  <c:v>48657.513078470816</c:v>
                </c:pt>
                <c:pt idx="19">
                  <c:v>97315.026156941633</c:v>
                </c:pt>
              </c:numCache>
            </c:numRef>
          </c:val>
          <c:smooth val="0"/>
          <c:extLst>
            <c:ext xmlns:c16="http://schemas.microsoft.com/office/drawing/2014/chart" uri="{C3380CC4-5D6E-409C-BE32-E72D297353CC}">
              <c16:uniqueId val="{00000002-FE50-482D-905D-7C3B099138E4}"/>
            </c:ext>
          </c:extLst>
        </c:ser>
        <c:ser>
          <c:idx val="7"/>
          <c:order val="3"/>
          <c:tx>
            <c:strRef>
              <c:f>Projections!$A$46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Projections!$G$47:$AA$47</c15:sqref>
                  </c15:fullRef>
                </c:ext>
              </c:extLst>
              <c:f>Projections!$G$47:$Z$47</c:f>
              <c:numCache>
                <c:formatCode>#,##0</c:formatCode>
                <c:ptCount val="20"/>
                <c:pt idx="0">
                  <c:v>6.9479376257545272E-2</c:v>
                </c:pt>
                <c:pt idx="1">
                  <c:v>0.13895875251509054</c:v>
                </c:pt>
                <c:pt idx="2">
                  <c:v>0.27791750503018109</c:v>
                </c:pt>
                <c:pt idx="3">
                  <c:v>0.55583501006036218</c:v>
                </c:pt>
                <c:pt idx="4">
                  <c:v>1.1116700201207244</c:v>
                </c:pt>
                <c:pt idx="5">
                  <c:v>2.2233400402414487</c:v>
                </c:pt>
                <c:pt idx="6">
                  <c:v>4.4466800804828974</c:v>
                </c:pt>
                <c:pt idx="7">
                  <c:v>8.8933601609657948</c:v>
                </c:pt>
                <c:pt idx="8">
                  <c:v>17.78672032193159</c:v>
                </c:pt>
                <c:pt idx="9">
                  <c:v>35.573440643863179</c:v>
                </c:pt>
                <c:pt idx="10">
                  <c:v>71.146881287726359</c:v>
                </c:pt>
                <c:pt idx="11">
                  <c:v>142.29376257545272</c:v>
                </c:pt>
                <c:pt idx="12">
                  <c:v>284.58752515090544</c:v>
                </c:pt>
                <c:pt idx="13">
                  <c:v>569.17505030181087</c:v>
                </c:pt>
                <c:pt idx="14">
                  <c:v>1138.3501006036217</c:v>
                </c:pt>
                <c:pt idx="15">
                  <c:v>2276.7002012072435</c:v>
                </c:pt>
                <c:pt idx="16">
                  <c:v>4553.400402414487</c:v>
                </c:pt>
                <c:pt idx="17">
                  <c:v>9106.8008048289739</c:v>
                </c:pt>
                <c:pt idx="18">
                  <c:v>18213.601609657948</c:v>
                </c:pt>
                <c:pt idx="19">
                  <c:v>36427.203219315896</c:v>
                </c:pt>
              </c:numCache>
            </c:numRef>
          </c:val>
          <c:smooth val="0"/>
          <c:extLst>
            <c:ext xmlns:c16="http://schemas.microsoft.com/office/drawing/2014/chart" uri="{C3380CC4-5D6E-409C-BE32-E72D297353CC}">
              <c16:uniqueId val="{00000003-FE50-482D-905D-7C3B099138E4}"/>
            </c:ext>
          </c:extLst>
        </c:ser>
        <c:ser>
          <c:idx val="9"/>
          <c:order val="4"/>
          <c:tx>
            <c:strRef>
              <c:f>Projections!$A$48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1.8360160965794771E-2</c:v>
                </c:pt>
                <c:pt idx="1">
                  <c:v>3.6720321931589542E-2</c:v>
                </c:pt>
                <c:pt idx="2">
                  <c:v>7.3440643863179084E-2</c:v>
                </c:pt>
                <c:pt idx="3">
                  <c:v>0.14688128772635817</c:v>
                </c:pt>
                <c:pt idx="4">
                  <c:v>0.29376257545271633</c:v>
                </c:pt>
                <c:pt idx="5">
                  <c:v>0.58752515090543267</c:v>
                </c:pt>
                <c:pt idx="6">
                  <c:v>1.1750503018108653</c:v>
                </c:pt>
                <c:pt idx="7">
                  <c:v>2.3501006036217307</c:v>
                </c:pt>
                <c:pt idx="8">
                  <c:v>4.7002012072434614</c:v>
                </c:pt>
                <c:pt idx="9">
                  <c:v>9.4004024144869227</c:v>
                </c:pt>
                <c:pt idx="10">
                  <c:v>18.800804828973845</c:v>
                </c:pt>
                <c:pt idx="11">
                  <c:v>37.601609657947691</c:v>
                </c:pt>
                <c:pt idx="12">
                  <c:v>75.203219315895382</c:v>
                </c:pt>
                <c:pt idx="13">
                  <c:v>150.40643863179076</c:v>
                </c:pt>
                <c:pt idx="14">
                  <c:v>300.81287726358153</c:v>
                </c:pt>
                <c:pt idx="15">
                  <c:v>601.62575452716305</c:v>
                </c:pt>
                <c:pt idx="16">
                  <c:v>1203.2515090543261</c:v>
                </c:pt>
                <c:pt idx="17">
                  <c:v>2406.5030181086522</c:v>
                </c:pt>
                <c:pt idx="18">
                  <c:v>4813.0060362173044</c:v>
                </c:pt>
                <c:pt idx="19">
                  <c:v>9626.0120724346089</c:v>
                </c:pt>
              </c:numCache>
            </c:numRef>
          </c:val>
          <c:smooth val="0"/>
          <c:extLst>
            <c:ext xmlns:c16="http://schemas.microsoft.com/office/drawing/2014/chart" uri="{C3380CC4-5D6E-409C-BE32-E72D297353CC}">
              <c16:uniqueId val="{00000004-FE50-482D-905D-7C3B099138E4}"/>
            </c:ext>
          </c:extLst>
        </c:ser>
        <c:ser>
          <c:idx val="11"/>
          <c:order val="5"/>
          <c:tx>
            <c:strRef>
              <c:f>Projections!$A$50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1.0940643863179075E-2</c:v>
                </c:pt>
                <c:pt idx="1">
                  <c:v>2.188128772635815E-2</c:v>
                </c:pt>
                <c:pt idx="2">
                  <c:v>4.37625754527163E-2</c:v>
                </c:pt>
                <c:pt idx="3">
                  <c:v>8.75251509054326E-2</c:v>
                </c:pt>
                <c:pt idx="4">
                  <c:v>0.1750503018108652</c:v>
                </c:pt>
                <c:pt idx="5">
                  <c:v>0.3501006036217304</c:v>
                </c:pt>
                <c:pt idx="6">
                  <c:v>0.7002012072434608</c:v>
                </c:pt>
                <c:pt idx="7">
                  <c:v>1.4004024144869216</c:v>
                </c:pt>
                <c:pt idx="8">
                  <c:v>2.8008048289738432</c:v>
                </c:pt>
                <c:pt idx="9">
                  <c:v>5.6016096579476864</c:v>
                </c:pt>
                <c:pt idx="10">
                  <c:v>11.203219315895373</c:v>
                </c:pt>
                <c:pt idx="11">
                  <c:v>22.406438631790746</c:v>
                </c:pt>
                <c:pt idx="12">
                  <c:v>44.812877263581491</c:v>
                </c:pt>
                <c:pt idx="13">
                  <c:v>89.625754527162982</c:v>
                </c:pt>
                <c:pt idx="14">
                  <c:v>179.25150905432596</c:v>
                </c:pt>
                <c:pt idx="15">
                  <c:v>358.50301810865193</c:v>
                </c:pt>
                <c:pt idx="16">
                  <c:v>717.00603621730386</c:v>
                </c:pt>
                <c:pt idx="17">
                  <c:v>1434.0120724346077</c:v>
                </c:pt>
                <c:pt idx="18">
                  <c:v>2868.0241448692154</c:v>
                </c:pt>
                <c:pt idx="19">
                  <c:v>5736.0482897384309</c:v>
                </c:pt>
              </c:numCache>
            </c:numRef>
          </c:val>
          <c:smooth val="0"/>
          <c:extLst>
            <c:ext xmlns:c16="http://schemas.microsoft.com/office/drawing/2014/chart" uri="{C3380CC4-5D6E-409C-BE32-E72D297353CC}">
              <c16:uniqueId val="{00000005-FE50-482D-905D-7C3B099138E4}"/>
            </c:ext>
          </c:extLst>
        </c:ser>
        <c:ser>
          <c:idx val="13"/>
          <c:order val="6"/>
          <c:tx>
            <c:strRef>
              <c:f>Projections!$A$52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1.125503018108652E-2</c:v>
                </c:pt>
                <c:pt idx="1">
                  <c:v>2.251006036217304E-2</c:v>
                </c:pt>
                <c:pt idx="2">
                  <c:v>4.502012072434608E-2</c:v>
                </c:pt>
                <c:pt idx="3">
                  <c:v>9.004024144869216E-2</c:v>
                </c:pt>
                <c:pt idx="4">
                  <c:v>0.18008048289738432</c:v>
                </c:pt>
                <c:pt idx="5">
                  <c:v>0.36016096579476864</c:v>
                </c:pt>
                <c:pt idx="6">
                  <c:v>0.72032193158953728</c:v>
                </c:pt>
                <c:pt idx="7">
                  <c:v>1.4406438631790746</c:v>
                </c:pt>
                <c:pt idx="8">
                  <c:v>2.8812877263581491</c:v>
                </c:pt>
                <c:pt idx="9">
                  <c:v>5.7625754527162982</c:v>
                </c:pt>
                <c:pt idx="10">
                  <c:v>11.525150905432596</c:v>
                </c:pt>
                <c:pt idx="11">
                  <c:v>23.050301810865193</c:v>
                </c:pt>
                <c:pt idx="12">
                  <c:v>46.100603621730386</c:v>
                </c:pt>
                <c:pt idx="13">
                  <c:v>92.201207243460772</c:v>
                </c:pt>
                <c:pt idx="14">
                  <c:v>184.40241448692154</c:v>
                </c:pt>
                <c:pt idx="15">
                  <c:v>368.80482897384309</c:v>
                </c:pt>
                <c:pt idx="16">
                  <c:v>737.60965794768617</c:v>
                </c:pt>
                <c:pt idx="17">
                  <c:v>1475.2193158953723</c:v>
                </c:pt>
                <c:pt idx="18">
                  <c:v>2950.4386317907447</c:v>
                </c:pt>
                <c:pt idx="19">
                  <c:v>5900.8772635814894</c:v>
                </c:pt>
              </c:numCache>
            </c:numRef>
          </c:val>
          <c:smooth val="0"/>
          <c:extLst>
            <c:ext xmlns:c16="http://schemas.microsoft.com/office/drawing/2014/chart" uri="{C3380CC4-5D6E-409C-BE32-E72D297353CC}">
              <c16:uniqueId val="{00000006-FE50-482D-905D-7C3B099138E4}"/>
            </c:ext>
          </c:extLst>
        </c:ser>
        <c:ser>
          <c:idx val="15"/>
          <c:order val="7"/>
          <c:tx>
            <c:strRef>
              <c:f>Projections!$A$54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2.074949698189135E-3</c:v>
                </c:pt>
                <c:pt idx="1">
                  <c:v>4.1498993963782699E-3</c:v>
                </c:pt>
                <c:pt idx="2">
                  <c:v>8.2997987927565398E-3</c:v>
                </c:pt>
                <c:pt idx="3">
                  <c:v>1.659959758551308E-2</c:v>
                </c:pt>
                <c:pt idx="4">
                  <c:v>3.3199195171026159E-2</c:v>
                </c:pt>
                <c:pt idx="5">
                  <c:v>6.6398390342052319E-2</c:v>
                </c:pt>
                <c:pt idx="6">
                  <c:v>0.13279678068410464</c:v>
                </c:pt>
                <c:pt idx="7">
                  <c:v>0.26559356136820927</c:v>
                </c:pt>
                <c:pt idx="8">
                  <c:v>0.53118712273641855</c:v>
                </c:pt>
                <c:pt idx="9">
                  <c:v>1.0623742454728371</c:v>
                </c:pt>
                <c:pt idx="10">
                  <c:v>2.1247484909456742</c:v>
                </c:pt>
                <c:pt idx="11">
                  <c:v>4.2494969818913484</c:v>
                </c:pt>
                <c:pt idx="12">
                  <c:v>8.4989939637826968</c:v>
                </c:pt>
                <c:pt idx="13">
                  <c:v>16.997987927565394</c:v>
                </c:pt>
                <c:pt idx="14">
                  <c:v>33.995975855130787</c:v>
                </c:pt>
                <c:pt idx="15">
                  <c:v>67.991951710261574</c:v>
                </c:pt>
                <c:pt idx="16">
                  <c:v>135.98390342052315</c:v>
                </c:pt>
                <c:pt idx="17">
                  <c:v>271.9678068410463</c:v>
                </c:pt>
                <c:pt idx="18">
                  <c:v>543.93561368209259</c:v>
                </c:pt>
                <c:pt idx="19">
                  <c:v>1087.8712273641852</c:v>
                </c:pt>
              </c:numCache>
            </c:numRef>
          </c:val>
          <c:smooth val="0"/>
          <c:extLst>
            <c:ext xmlns:c16="http://schemas.microsoft.com/office/drawing/2014/chart" uri="{C3380CC4-5D6E-409C-BE32-E72D297353CC}">
              <c16:uniqueId val="{00000007-FE50-482D-905D-7C3B099138E4}"/>
            </c:ext>
          </c:extLst>
        </c:ser>
        <c:ser>
          <c:idx val="17"/>
          <c:order val="8"/>
          <c:tx>
            <c:strRef>
              <c:f>Projections!$A$56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Projections!$A$69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Projections!$G$69:$AA$69</c15:sqref>
                  </c15:fullRef>
                </c:ext>
              </c:extLst>
              <c:f>Projections!$G$69:$Z$69</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00-C5BA-4495-93D4-AC4CA8674604}"/>
            </c:ext>
          </c:extLst>
        </c:ser>
        <c:ser>
          <c:idx val="4"/>
          <c:order val="1"/>
          <c:tx>
            <c:strRef>
              <c:f>Projections!$A$67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Projections!$G$67:$AA$67</c15:sqref>
                  </c15:fullRef>
                </c:ext>
              </c:extLst>
              <c:f>Projections!$G$67:$Z$67</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01-C5BA-4495-93D4-AC4CA8674604}"/>
            </c:ext>
          </c:extLst>
        </c:ser>
        <c:ser>
          <c:idx val="10"/>
          <c:order val="2"/>
          <c:tx>
            <c:strRef>
              <c:f>Projections!$A$73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02-C5BA-4495-93D4-AC4CA8674604}"/>
            </c:ext>
          </c:extLst>
        </c:ser>
        <c:ser>
          <c:idx val="0"/>
          <c:order val="3"/>
          <c:tx>
            <c:strRef>
              <c:f>Projections!$A$63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Projections!$G$63:$AA$63</c15:sqref>
                  </c15:fullRef>
                </c:ext>
              </c:extLst>
              <c:f>Projections!$G$63:$Z$63</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3-C5BA-4495-93D4-AC4CA8674604}"/>
            </c:ext>
          </c:extLst>
        </c:ser>
        <c:ser>
          <c:idx val="2"/>
          <c:order val="4"/>
          <c:tx>
            <c:strRef>
              <c:f>Projections!$A$65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Projections!$G$65:$AA$65</c15:sqref>
                  </c15:fullRef>
                </c:ext>
              </c:extLst>
              <c:f>Projections!$G$65:$Z$65</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04-C5BA-4495-93D4-AC4CA8674604}"/>
            </c:ext>
          </c:extLst>
        </c:ser>
        <c:ser>
          <c:idx val="8"/>
          <c:order val="5"/>
          <c:tx>
            <c:strRef>
              <c:f>Projections!$A$71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Projections!$G$71:$AA$71</c15:sqref>
                  </c15:fullRef>
                </c:ext>
              </c:extLst>
              <c:f>Projections!$G$71:$Z$71</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Projections!$A$69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Projections!$G$70:$AA$70</c15:sqref>
                  </c15:fullRef>
                </c:ext>
              </c:extLst>
              <c:f>Projections!$G$70:$Z$70</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0-5E66-4AF0-A3CA-7CF12153AA8E}"/>
            </c:ext>
          </c:extLst>
        </c:ser>
        <c:ser>
          <c:idx val="5"/>
          <c:order val="1"/>
          <c:tx>
            <c:strRef>
              <c:f>Projections!$A$67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Projections!$G$68:$AA$68</c15:sqref>
                  </c15:fullRef>
                </c:ext>
              </c:extLst>
              <c:f>Projections!$G$68:$Z$68</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1-5E66-4AF0-A3CA-7CF12153AA8E}"/>
            </c:ext>
          </c:extLst>
        </c:ser>
        <c:ser>
          <c:idx val="1"/>
          <c:order val="2"/>
          <c:tx>
            <c:strRef>
              <c:f>Projections!$A$63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Projections!$G$64:$AA$64</c15:sqref>
                  </c15:fullRef>
                </c:ext>
              </c:extLst>
              <c:f>Projections!$G$64:$Z$64</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2-5E66-4AF0-A3CA-7CF12153AA8E}"/>
            </c:ext>
          </c:extLst>
        </c:ser>
        <c:ser>
          <c:idx val="3"/>
          <c:order val="3"/>
          <c:tx>
            <c:strRef>
              <c:f>Projections!$A$65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Projections!$G$66:$AA$66</c15:sqref>
                  </c15:fullRef>
                </c:ext>
              </c:extLst>
              <c:f>Projections!$G$66:$Z$66</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5E66-4AF0-A3CA-7CF12153AA8E}"/>
            </c:ext>
          </c:extLst>
        </c:ser>
        <c:ser>
          <c:idx val="9"/>
          <c:order val="4"/>
          <c:tx>
            <c:strRef>
              <c:f>Projections!$A$71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43924</c:v>
                </c:pt>
              </c:numCache>
            </c:numRef>
          </c:cat>
          <c:val>
            <c:numRef>
              <c:extLst>
                <c:ext xmlns:c15="http://schemas.microsoft.com/office/drawing/2012/chart" uri="{02D57815-91ED-43cb-92C2-25804820EDAC}">
                  <c15:fullRef>
                    <c15:sqref>Projections!$G$14:$AA$14</c15:sqref>
                  </c15:fullRef>
                </c:ext>
              </c:extLst>
              <c:f>Projections!$G$14:$O$14</c:f>
              <c:numCache>
                <c:formatCode>#,##0</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Projections!$A$34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43924</c:v>
                </c:pt>
              </c:numCache>
            </c:numRef>
          </c:cat>
          <c:val>
            <c:numRef>
              <c:extLst>
                <c:ext xmlns:c15="http://schemas.microsoft.com/office/drawing/2012/chart" uri="{02D57815-91ED-43cb-92C2-25804820EDAC}">
                  <c15:fullRef>
                    <c15:sqref>Projections!$G$34:$AA$34</c15:sqref>
                  </c15:fullRef>
                </c:ext>
              </c:extLst>
              <c:f>Projections!$G$34:$O$34</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43924</c:v>
                </c:pt>
              </c:numCache>
            </c:numRef>
          </c:cat>
          <c:val>
            <c:numRef>
              <c:extLst>
                <c:ext xmlns:c15="http://schemas.microsoft.com/office/drawing/2012/chart" uri="{02D57815-91ED-43cb-92C2-25804820EDAC}">
                  <c15:fullRef>
                    <c15:sqref>Projections!$G$24:$AA$24</c15:sqref>
                  </c15:fullRef>
                </c:ext>
              </c:extLst>
              <c:f>Projections!$G$24:$O$24</c:f>
              <c:numCache>
                <c:formatCode>#,##0</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FE1B-4946-A476-7952C5C71231}"/>
            </c:ext>
          </c:extLst>
        </c:ser>
        <c:ser>
          <c:idx val="1"/>
          <c:order val="1"/>
          <c:tx>
            <c:strRef>
              <c:f>Projections!$A$36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43924</c:v>
                </c:pt>
              </c:numCache>
            </c:numRef>
          </c:cat>
          <c:val>
            <c:numRef>
              <c:extLst>
                <c:ext xmlns:c15="http://schemas.microsoft.com/office/drawing/2012/chart" uri="{02D57815-91ED-43cb-92C2-25804820EDAC}">
                  <c15:fullRef>
                    <c15:sqref>Projections!$G$36:$AA$36</c15:sqref>
                  </c15:fullRef>
                </c:ext>
              </c:extLst>
              <c:f>Projections!$G$36:$O$36</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28.999999999999993</c:v>
                </c:pt>
                <c:pt idx="4">
                  <c:v>57.999999999999986</c:v>
                </c:pt>
                <c:pt idx="5">
                  <c:v>115.99999999999997</c:v>
                </c:pt>
                <c:pt idx="6">
                  <c:v>231.99999999999994</c:v>
                </c:pt>
                <c:pt idx="7">
                  <c:v>463.99999999999989</c:v>
                </c:pt>
                <c:pt idx="8">
                  <c:v>927.99999999999977</c:v>
                </c:pt>
                <c:pt idx="9">
                  <c:v>1855.9999999999995</c:v>
                </c:pt>
                <c:pt idx="10">
                  <c:v>3711.9999999999991</c:v>
                </c:pt>
                <c:pt idx="11">
                  <c:v>7423.9999999999982</c:v>
                </c:pt>
                <c:pt idx="12">
                  <c:v>14847.999999999996</c:v>
                </c:pt>
                <c:pt idx="13">
                  <c:v>29695.999999999993</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28.999999999999996</c:v>
                </c:pt>
                <c:pt idx="3">
                  <c:v>57.999999999999993</c:v>
                </c:pt>
                <c:pt idx="4">
                  <c:v>93.96</c:v>
                </c:pt>
                <c:pt idx="5">
                  <c:v>187.92</c:v>
                </c:pt>
                <c:pt idx="6">
                  <c:v>375.84</c:v>
                </c:pt>
                <c:pt idx="7">
                  <c:v>728.18999999999994</c:v>
                </c:pt>
                <c:pt idx="8">
                  <c:v>1456.3799999999999</c:v>
                </c:pt>
                <c:pt idx="9">
                  <c:v>2912.7599999999998</c:v>
                </c:pt>
                <c:pt idx="10">
                  <c:v>5825.5199999999995</c:v>
                </c:pt>
                <c:pt idx="11">
                  <c:v>11651.039999999999</c:v>
                </c:pt>
                <c:pt idx="12">
                  <c:v>23325.57</c:v>
                </c:pt>
                <c:pt idx="13">
                  <c:v>46651.14</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22.04</c:v>
                </c:pt>
                <c:pt idx="5">
                  <c:v>44.08</c:v>
                </c:pt>
                <c:pt idx="6">
                  <c:v>64.959999999999994</c:v>
                </c:pt>
                <c:pt idx="7">
                  <c:v>129.91999999999999</c:v>
                </c:pt>
                <c:pt idx="8">
                  <c:v>259.83999999999997</c:v>
                </c:pt>
                <c:pt idx="9">
                  <c:v>519.67999999999995</c:v>
                </c:pt>
                <c:pt idx="10">
                  <c:v>1039.3599999999999</c:v>
                </c:pt>
                <c:pt idx="11">
                  <c:v>2078.7199999999998</c:v>
                </c:pt>
                <c:pt idx="12">
                  <c:v>4157.4399999999996</c:v>
                </c:pt>
                <c:pt idx="13">
                  <c:v>8314.8799999999992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23.2</c:v>
                </c:pt>
                <c:pt idx="7">
                  <c:v>46.4</c:v>
                </c:pt>
                <c:pt idx="8">
                  <c:v>92.8</c:v>
                </c:pt>
                <c:pt idx="9">
                  <c:v>185.6</c:v>
                </c:pt>
                <c:pt idx="10">
                  <c:v>371.2</c:v>
                </c:pt>
                <c:pt idx="11">
                  <c:v>742.4</c:v>
                </c:pt>
                <c:pt idx="12">
                  <c:v>1484.8</c:v>
                </c:pt>
                <c:pt idx="13">
                  <c:v>2969.6</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41.428571428571423</c:v>
                </c:pt>
                <c:pt idx="1">
                  <c:v>82.857142857142847</c:v>
                </c:pt>
                <c:pt idx="2">
                  <c:v>165.71428571428569</c:v>
                </c:pt>
                <c:pt idx="3">
                  <c:v>331.42857142857139</c:v>
                </c:pt>
                <c:pt idx="4">
                  <c:v>662.85714285714278</c:v>
                </c:pt>
                <c:pt idx="5">
                  <c:v>1325.7142857142856</c:v>
                </c:pt>
                <c:pt idx="6">
                  <c:v>2651.4285714285711</c:v>
                </c:pt>
                <c:pt idx="7">
                  <c:v>5302.8571428571422</c:v>
                </c:pt>
                <c:pt idx="8">
                  <c:v>10605.714285714284</c:v>
                </c:pt>
                <c:pt idx="9">
                  <c:v>21211.428571428569</c:v>
                </c:pt>
                <c:pt idx="10">
                  <c:v>42422.857142857138</c:v>
                </c:pt>
                <c:pt idx="11">
                  <c:v>84845.714285714275</c:v>
                </c:pt>
                <c:pt idx="12">
                  <c:v>169691.42857142855</c:v>
                </c:pt>
                <c:pt idx="13">
                  <c:v>339382.8571428571</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12.428571428571427</c:v>
                </c:pt>
                <c:pt idx="1">
                  <c:v>24.857142857142854</c:v>
                </c:pt>
                <c:pt idx="2">
                  <c:v>49.714285714285708</c:v>
                </c:pt>
                <c:pt idx="3">
                  <c:v>99.428571428571416</c:v>
                </c:pt>
                <c:pt idx="4">
                  <c:v>198.85714285714283</c:v>
                </c:pt>
                <c:pt idx="5">
                  <c:v>397.71428571428567</c:v>
                </c:pt>
                <c:pt idx="6">
                  <c:v>795.42857142857133</c:v>
                </c:pt>
                <c:pt idx="7">
                  <c:v>1590.8571428571427</c:v>
                </c:pt>
                <c:pt idx="8">
                  <c:v>3181.7142857142853</c:v>
                </c:pt>
                <c:pt idx="9">
                  <c:v>6363.4285714285706</c:v>
                </c:pt>
                <c:pt idx="10">
                  <c:v>12726.857142857141</c:v>
                </c:pt>
                <c:pt idx="11">
                  <c:v>25453.714285714283</c:v>
                </c:pt>
                <c:pt idx="12">
                  <c:v>50907.428571428565</c:v>
                </c:pt>
                <c:pt idx="13">
                  <c:v>101814.85714285713</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28.999999999999993</c:v>
                </c:pt>
                <c:pt idx="4">
                  <c:v>57.999999999999986</c:v>
                </c:pt>
                <c:pt idx="5">
                  <c:v>115.99999999999997</c:v>
                </c:pt>
                <c:pt idx="6">
                  <c:v>231.99999999999994</c:v>
                </c:pt>
                <c:pt idx="7">
                  <c:v>463.99999999999989</c:v>
                </c:pt>
                <c:pt idx="8">
                  <c:v>927.99999999999977</c:v>
                </c:pt>
                <c:pt idx="9">
                  <c:v>1855.9999999999995</c:v>
                </c:pt>
                <c:pt idx="10">
                  <c:v>3711.9999999999991</c:v>
                </c:pt>
                <c:pt idx="11">
                  <c:v>7423.9999999999982</c:v>
                </c:pt>
                <c:pt idx="12">
                  <c:v>14847.999999999996</c:v>
                </c:pt>
                <c:pt idx="13">
                  <c:v>29695.999999999993</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28.999999999999993</c:v>
                </c:pt>
                <c:pt idx="4">
                  <c:v>57.999999999999986</c:v>
                </c:pt>
                <c:pt idx="5">
                  <c:v>115.99999999999997</c:v>
                </c:pt>
                <c:pt idx="6">
                  <c:v>231.99999999999994</c:v>
                </c:pt>
                <c:pt idx="7">
                  <c:v>463.99999999999989</c:v>
                </c:pt>
                <c:pt idx="8">
                  <c:v>927.99999999999977</c:v>
                </c:pt>
                <c:pt idx="9">
                  <c:v>1855.9999999999995</c:v>
                </c:pt>
                <c:pt idx="10">
                  <c:v>3711.9999999999991</c:v>
                </c:pt>
                <c:pt idx="11">
                  <c:v>7423.9999999999982</c:v>
                </c:pt>
                <c:pt idx="12">
                  <c:v>14847.999999999996</c:v>
                </c:pt>
                <c:pt idx="13">
                  <c:v>29695.999999999993</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28.999999999999996</c:v>
                </c:pt>
                <c:pt idx="3">
                  <c:v>57.999999999999993</c:v>
                </c:pt>
                <c:pt idx="4">
                  <c:v>93.96</c:v>
                </c:pt>
                <c:pt idx="5">
                  <c:v>187.92</c:v>
                </c:pt>
                <c:pt idx="6">
                  <c:v>375.84</c:v>
                </c:pt>
                <c:pt idx="7">
                  <c:v>728.18999999999994</c:v>
                </c:pt>
                <c:pt idx="8">
                  <c:v>1456.3799999999999</c:v>
                </c:pt>
                <c:pt idx="9">
                  <c:v>2912.7599999999998</c:v>
                </c:pt>
                <c:pt idx="10">
                  <c:v>5825.5199999999995</c:v>
                </c:pt>
                <c:pt idx="11">
                  <c:v>11651.039999999999</c:v>
                </c:pt>
                <c:pt idx="12">
                  <c:v>23325.57</c:v>
                </c:pt>
                <c:pt idx="13">
                  <c:v>46651.14</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22.04</c:v>
                </c:pt>
                <c:pt idx="5">
                  <c:v>44.08</c:v>
                </c:pt>
                <c:pt idx="6">
                  <c:v>64.959999999999994</c:v>
                </c:pt>
                <c:pt idx="7">
                  <c:v>129.91999999999999</c:v>
                </c:pt>
                <c:pt idx="8">
                  <c:v>259.83999999999997</c:v>
                </c:pt>
                <c:pt idx="9">
                  <c:v>519.67999999999995</c:v>
                </c:pt>
                <c:pt idx="10">
                  <c:v>1039.3599999999999</c:v>
                </c:pt>
                <c:pt idx="11">
                  <c:v>2078.7199999999998</c:v>
                </c:pt>
                <c:pt idx="12">
                  <c:v>4157.4399999999996</c:v>
                </c:pt>
                <c:pt idx="13">
                  <c:v>8314.8799999999992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43880.009424537035</c:v>
                </c:pt>
                <c:pt idx="1">
                  <c:v>43883.009424537035</c:v>
                </c:pt>
                <c:pt idx="2">
                  <c:v>43886.009424537035</c:v>
                </c:pt>
                <c:pt idx="3">
                  <c:v>43889.009424537035</c:v>
                </c:pt>
                <c:pt idx="4">
                  <c:v>43892.009424537035</c:v>
                </c:pt>
                <c:pt idx="5">
                  <c:v>43895.009424537035</c:v>
                </c:pt>
                <c:pt idx="6">
                  <c:v>43898.009424537035</c:v>
                </c:pt>
                <c:pt idx="7">
                  <c:v>43901.009424537035</c:v>
                </c:pt>
                <c:pt idx="8">
                  <c:v>43904.009424537035</c:v>
                </c:pt>
                <c:pt idx="9">
                  <c:v>43907.009424537035</c:v>
                </c:pt>
                <c:pt idx="10">
                  <c:v>43910.009424537035</c:v>
                </c:pt>
                <c:pt idx="11">
                  <c:v>43913.009424537035</c:v>
                </c:pt>
                <c:pt idx="12">
                  <c:v>43916.009424537035</c:v>
                </c:pt>
                <c:pt idx="13">
                  <c:v>43919.009424537035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23.2</c:v>
                </c:pt>
                <c:pt idx="7">
                  <c:v>46.4</c:v>
                </c:pt>
                <c:pt idx="8">
                  <c:v>92.8</c:v>
                </c:pt>
                <c:pt idx="9">
                  <c:v>185.6</c:v>
                </c:pt>
                <c:pt idx="10">
                  <c:v>371.2</c:v>
                </c:pt>
                <c:pt idx="11">
                  <c:v>742.4</c:v>
                </c:pt>
                <c:pt idx="12">
                  <c:v>1484.8</c:v>
                </c:pt>
                <c:pt idx="13">
                  <c:v>2969.6</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Projections!$G$20:$AA$20</c15:sqref>
                  </c15:fullRef>
                </c:ext>
              </c:extLst>
              <c:f>Projections!$G$20:$Z$20</c:f>
              <c:numCache>
                <c:formatCode>#,##0</c:formatCode>
                <c:ptCount val="20"/>
                <c:pt idx="2">
                  <c:v>5.9375</c:v>
                </c:pt>
                <c:pt idx="3">
                  <c:v>11.875</c:v>
                </c:pt>
                <c:pt idx="4">
                  <c:v>23.75</c:v>
                </c:pt>
                <c:pt idx="5">
                  <c:v>47.5</c:v>
                </c:pt>
                <c:pt idx="6">
                  <c:v>47.5</c:v>
                </c:pt>
                <c:pt idx="7">
                  <c:v>190</c:v>
                </c:pt>
                <c:pt idx="8">
                  <c:v>380</c:v>
                </c:pt>
                <c:pt idx="9">
                  <c:v>760</c:v>
                </c:pt>
                <c:pt idx="10">
                  <c:v>1520</c:v>
                </c:pt>
                <c:pt idx="11">
                  <c:v>3040</c:v>
                </c:pt>
                <c:pt idx="12">
                  <c:v>6080</c:v>
                </c:pt>
                <c:pt idx="13">
                  <c:v>12160</c:v>
                </c:pt>
                <c:pt idx="14">
                  <c:v>24320</c:v>
                </c:pt>
                <c:pt idx="15">
                  <c:v>48640</c:v>
                </c:pt>
                <c:pt idx="16">
                  <c:v>97280</c:v>
                </c:pt>
                <c:pt idx="17">
                  <c:v>194560</c:v>
                </c:pt>
                <c:pt idx="18">
                  <c:v>389120</c:v>
                </c:pt>
                <c:pt idx="19">
                  <c:v>778240</c:v>
                </c:pt>
              </c:numCache>
            </c:numRef>
          </c:val>
          <c:smooth val="0"/>
          <c:extLst>
            <c:ext xmlns:c16="http://schemas.microsoft.com/office/drawing/2014/chart" uri="{C3380CC4-5D6E-409C-BE32-E72D297353CC}">
              <c16:uniqueId val="{00000003-5231-4BE2-97ED-54F0C3DB105C}"/>
            </c:ext>
          </c:extLst>
        </c:ser>
        <c:ser>
          <c:idx val="2"/>
          <c:order val="1"/>
          <c:tx>
            <c:strRef>
              <c:f>Projections!$A$21</c:f>
              <c:strCache>
                <c:ptCount val="1"/>
                <c:pt idx="0">
                  <c:v>Number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Projections!$G$21:$AA$21</c15:sqref>
                  </c15:fullRef>
                </c:ext>
              </c:extLst>
              <c:f>Projections!$G$21:$Z$21</c:f>
              <c:numCache>
                <c:formatCode>#,##0</c:formatCode>
                <c:ptCount val="20"/>
                <c:pt idx="2">
                  <c:v>5.9375</c:v>
                </c:pt>
                <c:pt idx="3">
                  <c:v>11.875</c:v>
                </c:pt>
                <c:pt idx="4">
                  <c:v>22.1875</c:v>
                </c:pt>
                <c:pt idx="5">
                  <c:v>44.375</c:v>
                </c:pt>
                <c:pt idx="6">
                  <c:v>41.25</c:v>
                </c:pt>
                <c:pt idx="7">
                  <c:v>177.5</c:v>
                </c:pt>
                <c:pt idx="8">
                  <c:v>355</c:v>
                </c:pt>
                <c:pt idx="9">
                  <c:v>661.09375</c:v>
                </c:pt>
                <c:pt idx="10">
                  <c:v>1321.09375</c:v>
                </c:pt>
                <c:pt idx="11">
                  <c:v>2646.5625</c:v>
                </c:pt>
                <c:pt idx="12">
                  <c:v>5294.6875</c:v>
                </c:pt>
                <c:pt idx="13">
                  <c:v>10624.375</c:v>
                </c:pt>
                <c:pt idx="14">
                  <c:v>21186.875</c:v>
                </c:pt>
                <c:pt idx="15">
                  <c:v>42326.25</c:v>
                </c:pt>
                <c:pt idx="16">
                  <c:v>84747.5</c:v>
                </c:pt>
                <c:pt idx="17">
                  <c:v>169495</c:v>
                </c:pt>
                <c:pt idx="18">
                  <c:v>338180</c:v>
                </c:pt>
                <c:pt idx="19">
                  <c:v>676360</c:v>
                </c:pt>
              </c:numCache>
            </c:numRef>
          </c:val>
          <c:smooth val="0"/>
          <c:extLst>
            <c:ext xmlns:c16="http://schemas.microsoft.com/office/drawing/2014/chart" uri="{C3380CC4-5D6E-409C-BE32-E72D297353CC}">
              <c16:uniqueId val="{00000002-9381-4A4E-BB43-DCD8EC2F4E00}"/>
            </c:ext>
          </c:extLst>
        </c:ser>
        <c:ser>
          <c:idx val="0"/>
          <c:order val="2"/>
          <c:tx>
            <c:strRef>
              <c:f>Projections!$A$22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Projections!$G$22:$AA$22</c15:sqref>
                  </c15:fullRef>
                </c:ext>
              </c:extLst>
              <c:f>Projections!$G$22:$Z$22</c:f>
              <c:numCache>
                <c:formatCode>#,##0</c:formatCode>
                <c:ptCount val="20"/>
                <c:pt idx="4">
                  <c:v>1.5625</c:v>
                </c:pt>
                <c:pt idx="5">
                  <c:v>3.125</c:v>
                </c:pt>
                <c:pt idx="6">
                  <c:v>6.25</c:v>
                </c:pt>
                <c:pt idx="7">
                  <c:v>12.5</c:v>
                </c:pt>
                <c:pt idx="8">
                  <c:v>25</c:v>
                </c:pt>
                <c:pt idx="9">
                  <c:v>100</c:v>
                </c:pt>
                <c:pt idx="10">
                  <c:v>200</c:v>
                </c:pt>
                <c:pt idx="11">
                  <c:v>400</c:v>
                </c:pt>
                <c:pt idx="12">
                  <c:v>800</c:v>
                </c:pt>
                <c:pt idx="13">
                  <c:v>1600</c:v>
                </c:pt>
                <c:pt idx="14">
                  <c:v>3200</c:v>
                </c:pt>
                <c:pt idx="15">
                  <c:v>6400</c:v>
                </c:pt>
                <c:pt idx="16">
                  <c:v>12800</c:v>
                </c:pt>
                <c:pt idx="17">
                  <c:v>25600</c:v>
                </c:pt>
                <c:pt idx="18">
                  <c:v>51200</c:v>
                </c:pt>
                <c:pt idx="19">
                  <c:v>102400</c:v>
                </c:pt>
              </c:numCache>
            </c:numRef>
          </c:val>
          <c:smooth val="0"/>
          <c:extLst>
            <c:ext xmlns:c16="http://schemas.microsoft.com/office/drawing/2014/chart" uri="{C3380CC4-5D6E-409C-BE32-E72D297353CC}">
              <c16:uniqueId val="{00000000-9381-4A4E-BB43-DCD8EC2F4E00}"/>
            </c:ext>
          </c:extLst>
        </c:ser>
        <c:ser>
          <c:idx val="4"/>
          <c:order val="3"/>
          <c:tx>
            <c:strRef>
              <c:f>Projections!$A$23</c:f>
              <c:strCache>
                <c:ptCount val="1"/>
                <c:pt idx="0">
                  <c:v>Number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Projections!$G$23:$AA$23</c15:sqref>
                  </c15:fullRef>
                </c:ext>
              </c:extLst>
              <c:f>Projections!$G$23:$Z$23</c:f>
              <c:numCache>
                <c:formatCode>#,##0</c:formatCode>
                <c:ptCount val="20"/>
                <c:pt idx="4">
                  <c:v>1.5625</c:v>
                </c:pt>
                <c:pt idx="5">
                  <c:v>3.125</c:v>
                </c:pt>
                <c:pt idx="6">
                  <c:v>6.25</c:v>
                </c:pt>
                <c:pt idx="7">
                  <c:v>12.5</c:v>
                </c:pt>
                <c:pt idx="8">
                  <c:v>25</c:v>
                </c:pt>
                <c:pt idx="9">
                  <c:v>98.90625</c:v>
                </c:pt>
                <c:pt idx="10">
                  <c:v>198.90625</c:v>
                </c:pt>
                <c:pt idx="11">
                  <c:v>393.4375</c:v>
                </c:pt>
                <c:pt idx="12">
                  <c:v>785.3125</c:v>
                </c:pt>
                <c:pt idx="13">
                  <c:v>1535.625</c:v>
                </c:pt>
                <c:pt idx="14">
                  <c:v>3082.5</c:v>
                </c:pt>
                <c:pt idx="15">
                  <c:v>6212.5</c:v>
                </c:pt>
                <c:pt idx="16">
                  <c:v>12330</c:v>
                </c:pt>
                <c:pt idx="17">
                  <c:v>24660</c:v>
                </c:pt>
                <c:pt idx="18">
                  <c:v>49320</c:v>
                </c:pt>
                <c:pt idx="19">
                  <c:v>98640</c:v>
                </c:pt>
              </c:numCache>
            </c:numRef>
          </c:val>
          <c:smooth val="0"/>
          <c:extLst>
            <c:ext xmlns:c16="http://schemas.microsoft.com/office/drawing/2014/chart" uri="{C3380CC4-5D6E-409C-BE32-E72D297353CC}">
              <c16:uniqueId val="{00000003-9381-4A4E-BB43-DCD8EC2F4E00}"/>
            </c:ext>
          </c:extLst>
        </c:ser>
        <c:ser>
          <c:idx val="1"/>
          <c:order val="4"/>
          <c:tx>
            <c:strRef>
              <c:f>Projections!$A$24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Projections!$G$24:$AA$24</c15:sqref>
                  </c15:fullRef>
                </c:ext>
              </c:extLst>
              <c:f>Projections!$G$24:$Z$24</c:f>
              <c:numCache>
                <c:formatCode>#,##0</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Projections!$G$40:$AA$40</c15:sqref>
                  </c15:fullRef>
                </c:ext>
              </c:extLst>
              <c:f>Projections!$G$40:$Z$40</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0-04B6-450D-AD81-6BF382C059D1}"/>
            </c:ext>
          </c:extLst>
        </c:ser>
        <c:ser>
          <c:idx val="2"/>
          <c:order val="1"/>
          <c:tx>
            <c:strRef>
              <c:f>Projections!$A$42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Projections!$G$42:$AA$42</c15:sqref>
                  </c15:fullRef>
                </c:ext>
              </c:extLst>
              <c:f>Projections!$G$42:$Z$42</c:f>
              <c:numCache>
                <c:formatCode>#,##0</c:formatCode>
                <c:ptCount val="20"/>
                <c:pt idx="0">
                  <c:v>2.7980382293762576</c:v>
                </c:pt>
                <c:pt idx="1">
                  <c:v>5.5960764587525151</c:v>
                </c:pt>
                <c:pt idx="2">
                  <c:v>11.19215291750503</c:v>
                </c:pt>
                <c:pt idx="3">
                  <c:v>22.384305835010061</c:v>
                </c:pt>
                <c:pt idx="4">
                  <c:v>44.768611670020121</c:v>
                </c:pt>
                <c:pt idx="5">
                  <c:v>89.537223340040242</c:v>
                </c:pt>
                <c:pt idx="6">
                  <c:v>179.07444668008048</c:v>
                </c:pt>
                <c:pt idx="7">
                  <c:v>358.14889336016097</c:v>
                </c:pt>
                <c:pt idx="8">
                  <c:v>716.29778672032194</c:v>
                </c:pt>
                <c:pt idx="9">
                  <c:v>1432.5955734406439</c:v>
                </c:pt>
                <c:pt idx="10">
                  <c:v>2865.1911468812878</c:v>
                </c:pt>
                <c:pt idx="11">
                  <c:v>5730.3822937625755</c:v>
                </c:pt>
                <c:pt idx="12">
                  <c:v>11460.764587525151</c:v>
                </c:pt>
                <c:pt idx="13">
                  <c:v>22921.529175050302</c:v>
                </c:pt>
                <c:pt idx="14">
                  <c:v>45843.058350100604</c:v>
                </c:pt>
                <c:pt idx="15">
                  <c:v>91686.116700201208</c:v>
                </c:pt>
                <c:pt idx="16">
                  <c:v>183372.23340040242</c:v>
                </c:pt>
                <c:pt idx="17">
                  <c:v>366744.46680080483</c:v>
                </c:pt>
                <c:pt idx="18">
                  <c:v>733488.93360160966</c:v>
                </c:pt>
                <c:pt idx="19">
                  <c:v>1466977.8672032193</c:v>
                </c:pt>
              </c:numCache>
            </c:numRef>
          </c:val>
          <c:smooth val="0"/>
          <c:extLst>
            <c:ext xmlns:c16="http://schemas.microsoft.com/office/drawing/2014/chart" uri="{C3380CC4-5D6E-409C-BE32-E72D297353CC}">
              <c16:uniqueId val="{00000002-04B6-450D-AD81-6BF382C059D1}"/>
            </c:ext>
          </c:extLst>
        </c:ser>
        <c:ser>
          <c:idx val="4"/>
          <c:order val="2"/>
          <c:tx>
            <c:strRef>
              <c:f>Projections!$A$44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5.1559356136820922</c:v>
                </c:pt>
                <c:pt idx="1">
                  <c:v>10.311871227364184</c:v>
                </c:pt>
                <c:pt idx="2">
                  <c:v>20.623742454728369</c:v>
                </c:pt>
                <c:pt idx="3">
                  <c:v>41.247484909456738</c:v>
                </c:pt>
                <c:pt idx="4">
                  <c:v>82.494969818913475</c:v>
                </c:pt>
                <c:pt idx="5">
                  <c:v>164.98993963782695</c:v>
                </c:pt>
                <c:pt idx="6">
                  <c:v>329.9798792756539</c:v>
                </c:pt>
                <c:pt idx="7">
                  <c:v>659.9597585513078</c:v>
                </c:pt>
                <c:pt idx="8">
                  <c:v>1319.9195171026156</c:v>
                </c:pt>
                <c:pt idx="9">
                  <c:v>2639.8390342052312</c:v>
                </c:pt>
                <c:pt idx="10">
                  <c:v>5279.6780684104624</c:v>
                </c:pt>
                <c:pt idx="11">
                  <c:v>10559.356136820925</c:v>
                </c:pt>
                <c:pt idx="12">
                  <c:v>21118.71227364185</c:v>
                </c:pt>
                <c:pt idx="13">
                  <c:v>42237.424547283699</c:v>
                </c:pt>
                <c:pt idx="14">
                  <c:v>84474.849094567398</c:v>
                </c:pt>
                <c:pt idx="15">
                  <c:v>168949.6981891348</c:v>
                </c:pt>
                <c:pt idx="16">
                  <c:v>337899.39637826959</c:v>
                </c:pt>
                <c:pt idx="17">
                  <c:v>675798.79275653919</c:v>
                </c:pt>
                <c:pt idx="18">
                  <c:v>1351597.5855130784</c:v>
                </c:pt>
                <c:pt idx="19">
                  <c:v>2703195.1710261567</c:v>
                </c:pt>
              </c:numCache>
            </c:numRef>
          </c:val>
          <c:smooth val="0"/>
          <c:extLst>
            <c:ext xmlns:c16="http://schemas.microsoft.com/office/drawing/2014/chart" uri="{C3380CC4-5D6E-409C-BE32-E72D297353CC}">
              <c16:uniqueId val="{00000004-04B6-450D-AD81-6BF382C059D1}"/>
            </c:ext>
          </c:extLst>
        </c:ser>
        <c:ser>
          <c:idx val="6"/>
          <c:order val="3"/>
          <c:tx>
            <c:strRef>
              <c:f>Projections!$A$46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5.3445674044265594</c:v>
                </c:pt>
                <c:pt idx="1">
                  <c:v>10.689134808853119</c:v>
                </c:pt>
                <c:pt idx="2">
                  <c:v>21.378269617706238</c:v>
                </c:pt>
                <c:pt idx="3">
                  <c:v>42.756539235412475</c:v>
                </c:pt>
                <c:pt idx="4">
                  <c:v>85.513078470824951</c:v>
                </c:pt>
                <c:pt idx="5">
                  <c:v>171.0261569416499</c:v>
                </c:pt>
                <c:pt idx="6">
                  <c:v>342.0523138832998</c:v>
                </c:pt>
                <c:pt idx="7">
                  <c:v>684.10462776659961</c:v>
                </c:pt>
                <c:pt idx="8">
                  <c:v>1368.2092555331992</c:v>
                </c:pt>
                <c:pt idx="9">
                  <c:v>2736.4185110663984</c:v>
                </c:pt>
                <c:pt idx="10">
                  <c:v>5472.8370221327968</c:v>
                </c:pt>
                <c:pt idx="11">
                  <c:v>10945.674044265594</c:v>
                </c:pt>
                <c:pt idx="12">
                  <c:v>21891.348088531187</c:v>
                </c:pt>
                <c:pt idx="13">
                  <c:v>43782.696177062375</c:v>
                </c:pt>
                <c:pt idx="14">
                  <c:v>87565.39235412475</c:v>
                </c:pt>
                <c:pt idx="15">
                  <c:v>175130.7847082495</c:v>
                </c:pt>
                <c:pt idx="16">
                  <c:v>350261.569416499</c:v>
                </c:pt>
                <c:pt idx="17">
                  <c:v>700523.138832998</c:v>
                </c:pt>
                <c:pt idx="18">
                  <c:v>1401046.277665996</c:v>
                </c:pt>
                <c:pt idx="19">
                  <c:v>2802092.555331992</c:v>
                </c:pt>
              </c:numCache>
            </c:numRef>
          </c:val>
          <c:smooth val="0"/>
          <c:extLst>
            <c:ext xmlns:c16="http://schemas.microsoft.com/office/drawing/2014/chart" uri="{C3380CC4-5D6E-409C-BE32-E72D297353CC}">
              <c16:uniqueId val="{00000006-04B6-450D-AD81-6BF382C059D1}"/>
            </c:ext>
          </c:extLst>
        </c:ser>
        <c:ser>
          <c:idx val="8"/>
          <c:order val="4"/>
          <c:tx>
            <c:strRef>
              <c:f>Projections!$A$48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Projections!$G$48:$AA$48</c15:sqref>
                  </c15:fullRef>
                </c:ext>
              </c:extLst>
              <c:f>Projections!$G$48:$Z$48</c:f>
              <c:numCache>
                <c:formatCode>#,##0</c:formatCode>
                <c:ptCount val="20"/>
                <c:pt idx="0">
                  <c:v>4.5900402414486923</c:v>
                </c:pt>
                <c:pt idx="1">
                  <c:v>9.1800804828973845</c:v>
                </c:pt>
                <c:pt idx="2">
                  <c:v>18.360160965794769</c:v>
                </c:pt>
                <c:pt idx="3">
                  <c:v>36.720321931589538</c:v>
                </c:pt>
                <c:pt idx="4">
                  <c:v>73.440643863179076</c:v>
                </c:pt>
                <c:pt idx="5">
                  <c:v>146.88128772635815</c:v>
                </c:pt>
                <c:pt idx="6">
                  <c:v>293.76257545271631</c:v>
                </c:pt>
                <c:pt idx="7">
                  <c:v>587.52515090543261</c:v>
                </c:pt>
                <c:pt idx="8">
                  <c:v>1175.0503018108652</c:v>
                </c:pt>
                <c:pt idx="9">
                  <c:v>2350.1006036217304</c:v>
                </c:pt>
                <c:pt idx="10">
                  <c:v>4700.2012072434609</c:v>
                </c:pt>
                <c:pt idx="11">
                  <c:v>9400.4024144869218</c:v>
                </c:pt>
                <c:pt idx="12">
                  <c:v>18800.804828973844</c:v>
                </c:pt>
                <c:pt idx="13">
                  <c:v>37601.609657947687</c:v>
                </c:pt>
                <c:pt idx="14">
                  <c:v>75203.219315895374</c:v>
                </c:pt>
                <c:pt idx="15">
                  <c:v>150406.43863179075</c:v>
                </c:pt>
                <c:pt idx="16">
                  <c:v>300812.8772635815</c:v>
                </c:pt>
                <c:pt idx="17">
                  <c:v>601625.75452716299</c:v>
                </c:pt>
                <c:pt idx="18">
                  <c:v>1203251.509054326</c:v>
                </c:pt>
                <c:pt idx="19">
                  <c:v>2406503.018108652</c:v>
                </c:pt>
              </c:numCache>
            </c:numRef>
          </c:val>
          <c:smooth val="0"/>
          <c:extLst>
            <c:ext xmlns:c16="http://schemas.microsoft.com/office/drawing/2014/chart" uri="{C3380CC4-5D6E-409C-BE32-E72D297353CC}">
              <c16:uniqueId val="{00000008-04B6-450D-AD81-6BF382C059D1}"/>
            </c:ext>
          </c:extLst>
        </c:ser>
        <c:ser>
          <c:idx val="10"/>
          <c:order val="5"/>
          <c:tx>
            <c:strRef>
              <c:f>Projections!$A$50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5.4703219315895373</c:v>
                </c:pt>
                <c:pt idx="1">
                  <c:v>10.940643863179075</c:v>
                </c:pt>
                <c:pt idx="2">
                  <c:v>21.881287726358149</c:v>
                </c:pt>
                <c:pt idx="3">
                  <c:v>43.762575452716298</c:v>
                </c:pt>
                <c:pt idx="4">
                  <c:v>87.525150905432596</c:v>
                </c:pt>
                <c:pt idx="5">
                  <c:v>175.05030181086519</c:v>
                </c:pt>
                <c:pt idx="6">
                  <c:v>350.10060362173039</c:v>
                </c:pt>
                <c:pt idx="7">
                  <c:v>700.20120724346077</c:v>
                </c:pt>
                <c:pt idx="8">
                  <c:v>1400.4024144869215</c:v>
                </c:pt>
                <c:pt idx="9">
                  <c:v>2800.8048289738431</c:v>
                </c:pt>
                <c:pt idx="10">
                  <c:v>5601.6096579476862</c:v>
                </c:pt>
                <c:pt idx="11">
                  <c:v>11203.219315895372</c:v>
                </c:pt>
                <c:pt idx="12">
                  <c:v>22406.438631790745</c:v>
                </c:pt>
                <c:pt idx="13">
                  <c:v>44812.877263581489</c:v>
                </c:pt>
                <c:pt idx="14">
                  <c:v>89625.754527162979</c:v>
                </c:pt>
                <c:pt idx="15">
                  <c:v>179251.50905432596</c:v>
                </c:pt>
                <c:pt idx="16">
                  <c:v>358503.01810865192</c:v>
                </c:pt>
                <c:pt idx="17">
                  <c:v>717006.03621730383</c:v>
                </c:pt>
                <c:pt idx="18">
                  <c:v>1434012.0724346077</c:v>
                </c:pt>
                <c:pt idx="19">
                  <c:v>2868024.1448692153</c:v>
                </c:pt>
              </c:numCache>
            </c:numRef>
          </c:val>
          <c:smooth val="0"/>
          <c:extLst>
            <c:ext xmlns:c16="http://schemas.microsoft.com/office/drawing/2014/chart" uri="{C3380CC4-5D6E-409C-BE32-E72D297353CC}">
              <c16:uniqueId val="{0000000A-04B6-450D-AD81-6BF382C059D1}"/>
            </c:ext>
          </c:extLst>
        </c:ser>
        <c:ser>
          <c:idx val="12"/>
          <c:order val="6"/>
          <c:tx>
            <c:strRef>
              <c:f>Projections!$A$52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5.6275150905432598</c:v>
                </c:pt>
                <c:pt idx="1">
                  <c:v>11.25503018108652</c:v>
                </c:pt>
                <c:pt idx="2">
                  <c:v>22.510060362173039</c:v>
                </c:pt>
                <c:pt idx="3">
                  <c:v>45.020120724346079</c:v>
                </c:pt>
                <c:pt idx="4">
                  <c:v>90.040241448692157</c:v>
                </c:pt>
                <c:pt idx="5">
                  <c:v>180.08048289738431</c:v>
                </c:pt>
                <c:pt idx="6">
                  <c:v>360.16096579476863</c:v>
                </c:pt>
                <c:pt idx="7">
                  <c:v>720.32193158953726</c:v>
                </c:pt>
                <c:pt idx="8">
                  <c:v>1440.6438631790745</c:v>
                </c:pt>
                <c:pt idx="9">
                  <c:v>2881.287726358149</c:v>
                </c:pt>
                <c:pt idx="10">
                  <c:v>5762.5754527162981</c:v>
                </c:pt>
                <c:pt idx="11">
                  <c:v>11525.150905432596</c:v>
                </c:pt>
                <c:pt idx="12">
                  <c:v>23050.301810865192</c:v>
                </c:pt>
                <c:pt idx="13">
                  <c:v>46100.603621730384</c:v>
                </c:pt>
                <c:pt idx="14">
                  <c:v>92201.207243460769</c:v>
                </c:pt>
                <c:pt idx="15">
                  <c:v>184402.41448692154</c:v>
                </c:pt>
                <c:pt idx="16">
                  <c:v>368804.82897384308</c:v>
                </c:pt>
                <c:pt idx="17">
                  <c:v>737609.65794768615</c:v>
                </c:pt>
                <c:pt idx="18">
                  <c:v>1475219.3158953723</c:v>
                </c:pt>
                <c:pt idx="19">
                  <c:v>2950438.6317907446</c:v>
                </c:pt>
              </c:numCache>
            </c:numRef>
          </c:val>
          <c:smooth val="0"/>
          <c:extLst>
            <c:ext xmlns:c16="http://schemas.microsoft.com/office/drawing/2014/chart" uri="{C3380CC4-5D6E-409C-BE32-E72D297353CC}">
              <c16:uniqueId val="{0000000C-04B6-450D-AD81-6BF382C059D1}"/>
            </c:ext>
          </c:extLst>
        </c:ser>
        <c:ser>
          <c:idx val="14"/>
          <c:order val="7"/>
          <c:tx>
            <c:strRef>
              <c:f>Projections!$A$54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E-04B6-450D-AD81-6BF382C059D1}"/>
            </c:ext>
          </c:extLst>
        </c:ser>
        <c:ser>
          <c:idx val="16"/>
          <c:order val="8"/>
          <c:tx>
            <c:strRef>
              <c:f>Projections!$A$56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0.18863179074446679</c:v>
                </c:pt>
                <c:pt idx="1">
                  <c:v>0.37726358148893357</c:v>
                </c:pt>
                <c:pt idx="2">
                  <c:v>0.75452716297786715</c:v>
                </c:pt>
                <c:pt idx="3">
                  <c:v>1.5090543259557343</c:v>
                </c:pt>
                <c:pt idx="4">
                  <c:v>3.0181086519114686</c:v>
                </c:pt>
                <c:pt idx="5">
                  <c:v>6.0362173038229372</c:v>
                </c:pt>
                <c:pt idx="6">
                  <c:v>12.072434607645874</c:v>
                </c:pt>
                <c:pt idx="7">
                  <c:v>24.144869215291749</c:v>
                </c:pt>
                <c:pt idx="8">
                  <c:v>48.289738430583498</c:v>
                </c:pt>
                <c:pt idx="9">
                  <c:v>96.579476861166995</c:v>
                </c:pt>
                <c:pt idx="10">
                  <c:v>193.15895372233399</c:v>
                </c:pt>
                <c:pt idx="11">
                  <c:v>386.31790744466798</c:v>
                </c:pt>
                <c:pt idx="12">
                  <c:v>772.63581488933596</c:v>
                </c:pt>
                <c:pt idx="13">
                  <c:v>1545.2716297786719</c:v>
                </c:pt>
                <c:pt idx="14">
                  <c:v>3090.5432595573438</c:v>
                </c:pt>
                <c:pt idx="15">
                  <c:v>6181.0865191146877</c:v>
                </c:pt>
                <c:pt idx="16">
                  <c:v>12362.173038229375</c:v>
                </c:pt>
                <c:pt idx="17">
                  <c:v>24724.346076458751</c:v>
                </c:pt>
                <c:pt idx="18">
                  <c:v>49448.692152917502</c:v>
                </c:pt>
                <c:pt idx="19">
                  <c:v>98897.384305835003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Projections!$G$41:$AA$41</c15:sqref>
                  </c15:fullRef>
                </c:ext>
              </c:extLst>
              <c:f>Projections!$G$41:$Z$41</c:f>
              <c:numCache>
                <c:formatCode>#,##0</c:formatCode>
                <c:ptCount val="20"/>
                <c:pt idx="0">
                  <c:v>0.15354627766599599</c:v>
                </c:pt>
                <c:pt idx="1">
                  <c:v>0.30709255533199198</c:v>
                </c:pt>
                <c:pt idx="2">
                  <c:v>0.61418511066398396</c:v>
                </c:pt>
                <c:pt idx="3">
                  <c:v>1.2283702213279679</c:v>
                </c:pt>
                <c:pt idx="4">
                  <c:v>2.4567404426559358</c:v>
                </c:pt>
                <c:pt idx="5">
                  <c:v>4.9134808853118717</c:v>
                </c:pt>
                <c:pt idx="6">
                  <c:v>9.8269617706237433</c:v>
                </c:pt>
                <c:pt idx="7">
                  <c:v>19.653923541247487</c:v>
                </c:pt>
                <c:pt idx="8">
                  <c:v>39.307847082494973</c:v>
                </c:pt>
                <c:pt idx="9">
                  <c:v>78.615694164989947</c:v>
                </c:pt>
                <c:pt idx="10">
                  <c:v>157.23138832997989</c:v>
                </c:pt>
                <c:pt idx="11">
                  <c:v>314.46277665995979</c:v>
                </c:pt>
                <c:pt idx="12">
                  <c:v>628.92555331991957</c:v>
                </c:pt>
                <c:pt idx="13">
                  <c:v>1257.8511066398391</c:v>
                </c:pt>
                <c:pt idx="14">
                  <c:v>2515.7022132796783</c:v>
                </c:pt>
                <c:pt idx="15">
                  <c:v>5031.4044265593566</c:v>
                </c:pt>
                <c:pt idx="16">
                  <c:v>10062.808853118713</c:v>
                </c:pt>
                <c:pt idx="17">
                  <c:v>20125.617706237426</c:v>
                </c:pt>
                <c:pt idx="18">
                  <c:v>40251.235412474853</c:v>
                </c:pt>
                <c:pt idx="19">
                  <c:v>80502.470824949705</c:v>
                </c:pt>
              </c:numCache>
            </c:numRef>
          </c:val>
          <c:smooth val="0"/>
          <c:extLst>
            <c:ext xmlns:c16="http://schemas.microsoft.com/office/drawing/2014/chart" uri="{C3380CC4-5D6E-409C-BE32-E72D297353CC}">
              <c16:uniqueId val="{00000001-EBAD-48A5-9277-83F388186C0C}"/>
            </c:ext>
          </c:extLst>
        </c:ser>
        <c:ser>
          <c:idx val="3"/>
          <c:order val="1"/>
          <c:tx>
            <c:strRef>
              <c:f>Projections!$A$42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Projections!$G$43:$AA$43</c15:sqref>
                  </c15:fullRef>
                </c:ext>
              </c:extLst>
              <c:f>Projections!$G$43:$Z$43</c:f>
              <c:numCache>
                <c:formatCode>#,##0</c:formatCode>
                <c:ptCount val="20"/>
                <c:pt idx="0">
                  <c:v>0.2238430583501006</c:v>
                </c:pt>
                <c:pt idx="1">
                  <c:v>0.4476861167002012</c:v>
                </c:pt>
                <c:pt idx="2">
                  <c:v>0.8953722334004024</c:v>
                </c:pt>
                <c:pt idx="3">
                  <c:v>1.7907444668008048</c:v>
                </c:pt>
                <c:pt idx="4">
                  <c:v>3.5814889336016096</c:v>
                </c:pt>
                <c:pt idx="5">
                  <c:v>7.1629778672032192</c:v>
                </c:pt>
                <c:pt idx="6">
                  <c:v>14.325955734406438</c:v>
                </c:pt>
                <c:pt idx="7">
                  <c:v>28.651911468812877</c:v>
                </c:pt>
                <c:pt idx="8">
                  <c:v>57.303822937625753</c:v>
                </c:pt>
                <c:pt idx="9">
                  <c:v>114.60764587525151</c:v>
                </c:pt>
                <c:pt idx="10">
                  <c:v>229.21529175050301</c:v>
                </c:pt>
                <c:pt idx="11">
                  <c:v>458.43058350100603</c:v>
                </c:pt>
                <c:pt idx="12">
                  <c:v>916.86116700201205</c:v>
                </c:pt>
                <c:pt idx="13">
                  <c:v>1833.7223340040241</c:v>
                </c:pt>
                <c:pt idx="14">
                  <c:v>3667.4446680080482</c:v>
                </c:pt>
                <c:pt idx="15">
                  <c:v>7334.8893360160964</c:v>
                </c:pt>
                <c:pt idx="16">
                  <c:v>14669.778672032193</c:v>
                </c:pt>
                <c:pt idx="17">
                  <c:v>29339.557344064386</c:v>
                </c:pt>
                <c:pt idx="18">
                  <c:v>58679.114688128771</c:v>
                </c:pt>
                <c:pt idx="19">
                  <c:v>117358.22937625754</c:v>
                </c:pt>
              </c:numCache>
            </c:numRef>
          </c:val>
          <c:smooth val="0"/>
          <c:extLst>
            <c:ext xmlns:c16="http://schemas.microsoft.com/office/drawing/2014/chart" uri="{C3380CC4-5D6E-409C-BE32-E72D297353CC}">
              <c16:uniqueId val="{00000003-EBAD-48A5-9277-83F388186C0C}"/>
            </c:ext>
          </c:extLst>
        </c:ser>
        <c:ser>
          <c:idx val="5"/>
          <c:order val="2"/>
          <c:tx>
            <c:strRef>
              <c:f>Projections!$A$44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0.1856136820925553</c:v>
                </c:pt>
                <c:pt idx="1">
                  <c:v>0.3712273641851106</c:v>
                </c:pt>
                <c:pt idx="2">
                  <c:v>0.7424547283702212</c:v>
                </c:pt>
                <c:pt idx="3">
                  <c:v>1.4849094567404424</c:v>
                </c:pt>
                <c:pt idx="4">
                  <c:v>2.9698189134808848</c:v>
                </c:pt>
                <c:pt idx="5">
                  <c:v>5.9396378269617696</c:v>
                </c:pt>
                <c:pt idx="6">
                  <c:v>11.879275653923539</c:v>
                </c:pt>
                <c:pt idx="7">
                  <c:v>23.758551307847078</c:v>
                </c:pt>
                <c:pt idx="8">
                  <c:v>47.517102615694156</c:v>
                </c:pt>
                <c:pt idx="9">
                  <c:v>95.034205231388313</c:v>
                </c:pt>
                <c:pt idx="10">
                  <c:v>190.06841046277663</c:v>
                </c:pt>
                <c:pt idx="11">
                  <c:v>380.13682092555325</c:v>
                </c:pt>
                <c:pt idx="12">
                  <c:v>760.2736418511065</c:v>
                </c:pt>
                <c:pt idx="13">
                  <c:v>1520.547283702213</c:v>
                </c:pt>
                <c:pt idx="14">
                  <c:v>3041.094567404426</c:v>
                </c:pt>
                <c:pt idx="15">
                  <c:v>6082.189134808852</c:v>
                </c:pt>
                <c:pt idx="16">
                  <c:v>12164.378269617704</c:v>
                </c:pt>
                <c:pt idx="17">
                  <c:v>24328.756539235408</c:v>
                </c:pt>
                <c:pt idx="18">
                  <c:v>48657.513078470816</c:v>
                </c:pt>
                <c:pt idx="19">
                  <c:v>97315.026156941633</c:v>
                </c:pt>
              </c:numCache>
            </c:numRef>
          </c:val>
          <c:smooth val="0"/>
          <c:extLst>
            <c:ext xmlns:c16="http://schemas.microsoft.com/office/drawing/2014/chart" uri="{C3380CC4-5D6E-409C-BE32-E72D297353CC}">
              <c16:uniqueId val="{00000005-EBAD-48A5-9277-83F388186C0C}"/>
            </c:ext>
          </c:extLst>
        </c:ser>
        <c:ser>
          <c:idx val="7"/>
          <c:order val="3"/>
          <c:tx>
            <c:strRef>
              <c:f>Projections!$A$46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Projections!$G$47:$AA$47</c15:sqref>
                  </c15:fullRef>
                </c:ext>
              </c:extLst>
              <c:f>Projections!$G$47:$Z$47</c:f>
              <c:numCache>
                <c:formatCode>#,##0</c:formatCode>
                <c:ptCount val="20"/>
                <c:pt idx="0">
                  <c:v>6.9479376257545272E-2</c:v>
                </c:pt>
                <c:pt idx="1">
                  <c:v>0.13895875251509054</c:v>
                </c:pt>
                <c:pt idx="2">
                  <c:v>0.27791750503018109</c:v>
                </c:pt>
                <c:pt idx="3">
                  <c:v>0.55583501006036218</c:v>
                </c:pt>
                <c:pt idx="4">
                  <c:v>1.1116700201207244</c:v>
                </c:pt>
                <c:pt idx="5">
                  <c:v>2.2233400402414487</c:v>
                </c:pt>
                <c:pt idx="6">
                  <c:v>4.4466800804828974</c:v>
                </c:pt>
                <c:pt idx="7">
                  <c:v>8.8933601609657948</c:v>
                </c:pt>
                <c:pt idx="8">
                  <c:v>17.78672032193159</c:v>
                </c:pt>
                <c:pt idx="9">
                  <c:v>35.573440643863179</c:v>
                </c:pt>
                <c:pt idx="10">
                  <c:v>71.146881287726359</c:v>
                </c:pt>
                <c:pt idx="11">
                  <c:v>142.29376257545272</c:v>
                </c:pt>
                <c:pt idx="12">
                  <c:v>284.58752515090544</c:v>
                </c:pt>
                <c:pt idx="13">
                  <c:v>569.17505030181087</c:v>
                </c:pt>
                <c:pt idx="14">
                  <c:v>1138.3501006036217</c:v>
                </c:pt>
                <c:pt idx="15">
                  <c:v>2276.7002012072435</c:v>
                </c:pt>
                <c:pt idx="16">
                  <c:v>4553.400402414487</c:v>
                </c:pt>
                <c:pt idx="17">
                  <c:v>9106.8008048289739</c:v>
                </c:pt>
                <c:pt idx="18">
                  <c:v>18213.601609657948</c:v>
                </c:pt>
                <c:pt idx="19">
                  <c:v>36427.203219315896</c:v>
                </c:pt>
              </c:numCache>
            </c:numRef>
          </c:val>
          <c:smooth val="0"/>
          <c:extLst>
            <c:ext xmlns:c16="http://schemas.microsoft.com/office/drawing/2014/chart" uri="{C3380CC4-5D6E-409C-BE32-E72D297353CC}">
              <c16:uniqueId val="{00000007-EBAD-48A5-9277-83F388186C0C}"/>
            </c:ext>
          </c:extLst>
        </c:ser>
        <c:ser>
          <c:idx val="9"/>
          <c:order val="4"/>
          <c:tx>
            <c:strRef>
              <c:f>Projections!$A$48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1.8360160965794771E-2</c:v>
                </c:pt>
                <c:pt idx="1">
                  <c:v>3.6720321931589542E-2</c:v>
                </c:pt>
                <c:pt idx="2">
                  <c:v>7.3440643863179084E-2</c:v>
                </c:pt>
                <c:pt idx="3">
                  <c:v>0.14688128772635817</c:v>
                </c:pt>
                <c:pt idx="4">
                  <c:v>0.29376257545271633</c:v>
                </c:pt>
                <c:pt idx="5">
                  <c:v>0.58752515090543267</c:v>
                </c:pt>
                <c:pt idx="6">
                  <c:v>1.1750503018108653</c:v>
                </c:pt>
                <c:pt idx="7">
                  <c:v>2.3501006036217307</c:v>
                </c:pt>
                <c:pt idx="8">
                  <c:v>4.7002012072434614</c:v>
                </c:pt>
                <c:pt idx="9">
                  <c:v>9.4004024144869227</c:v>
                </c:pt>
                <c:pt idx="10">
                  <c:v>18.800804828973845</c:v>
                </c:pt>
                <c:pt idx="11">
                  <c:v>37.601609657947691</c:v>
                </c:pt>
                <c:pt idx="12">
                  <c:v>75.203219315895382</c:v>
                </c:pt>
                <c:pt idx="13">
                  <c:v>150.40643863179076</c:v>
                </c:pt>
                <c:pt idx="14">
                  <c:v>300.81287726358153</c:v>
                </c:pt>
                <c:pt idx="15">
                  <c:v>601.62575452716305</c:v>
                </c:pt>
                <c:pt idx="16">
                  <c:v>1203.2515090543261</c:v>
                </c:pt>
                <c:pt idx="17">
                  <c:v>2406.5030181086522</c:v>
                </c:pt>
                <c:pt idx="18">
                  <c:v>4813.0060362173044</c:v>
                </c:pt>
                <c:pt idx="19">
                  <c:v>9626.0120724346089</c:v>
                </c:pt>
              </c:numCache>
            </c:numRef>
          </c:val>
          <c:smooth val="0"/>
          <c:extLst>
            <c:ext xmlns:c16="http://schemas.microsoft.com/office/drawing/2014/chart" uri="{C3380CC4-5D6E-409C-BE32-E72D297353CC}">
              <c16:uniqueId val="{00000009-EBAD-48A5-9277-83F388186C0C}"/>
            </c:ext>
          </c:extLst>
        </c:ser>
        <c:ser>
          <c:idx val="11"/>
          <c:order val="5"/>
          <c:tx>
            <c:strRef>
              <c:f>Projections!$A$50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1.0940643863179075E-2</c:v>
                </c:pt>
                <c:pt idx="1">
                  <c:v>2.188128772635815E-2</c:v>
                </c:pt>
                <c:pt idx="2">
                  <c:v>4.37625754527163E-2</c:v>
                </c:pt>
                <c:pt idx="3">
                  <c:v>8.75251509054326E-2</c:v>
                </c:pt>
                <c:pt idx="4">
                  <c:v>0.1750503018108652</c:v>
                </c:pt>
                <c:pt idx="5">
                  <c:v>0.3501006036217304</c:v>
                </c:pt>
                <c:pt idx="6">
                  <c:v>0.7002012072434608</c:v>
                </c:pt>
                <c:pt idx="7">
                  <c:v>1.4004024144869216</c:v>
                </c:pt>
                <c:pt idx="8">
                  <c:v>2.8008048289738432</c:v>
                </c:pt>
                <c:pt idx="9">
                  <c:v>5.6016096579476864</c:v>
                </c:pt>
                <c:pt idx="10">
                  <c:v>11.203219315895373</c:v>
                </c:pt>
                <c:pt idx="11">
                  <c:v>22.406438631790746</c:v>
                </c:pt>
                <c:pt idx="12">
                  <c:v>44.812877263581491</c:v>
                </c:pt>
                <c:pt idx="13">
                  <c:v>89.625754527162982</c:v>
                </c:pt>
                <c:pt idx="14">
                  <c:v>179.25150905432596</c:v>
                </c:pt>
                <c:pt idx="15">
                  <c:v>358.50301810865193</c:v>
                </c:pt>
                <c:pt idx="16">
                  <c:v>717.00603621730386</c:v>
                </c:pt>
                <c:pt idx="17">
                  <c:v>1434.0120724346077</c:v>
                </c:pt>
                <c:pt idx="18">
                  <c:v>2868.0241448692154</c:v>
                </c:pt>
                <c:pt idx="19">
                  <c:v>5736.0482897384309</c:v>
                </c:pt>
              </c:numCache>
            </c:numRef>
          </c:val>
          <c:smooth val="0"/>
          <c:extLst>
            <c:ext xmlns:c16="http://schemas.microsoft.com/office/drawing/2014/chart" uri="{C3380CC4-5D6E-409C-BE32-E72D297353CC}">
              <c16:uniqueId val="{0000000B-EBAD-48A5-9277-83F388186C0C}"/>
            </c:ext>
          </c:extLst>
        </c:ser>
        <c:ser>
          <c:idx val="13"/>
          <c:order val="6"/>
          <c:tx>
            <c:strRef>
              <c:f>Projections!$A$52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1.125503018108652E-2</c:v>
                </c:pt>
                <c:pt idx="1">
                  <c:v>2.251006036217304E-2</c:v>
                </c:pt>
                <c:pt idx="2">
                  <c:v>4.502012072434608E-2</c:v>
                </c:pt>
                <c:pt idx="3">
                  <c:v>9.004024144869216E-2</c:v>
                </c:pt>
                <c:pt idx="4">
                  <c:v>0.18008048289738432</c:v>
                </c:pt>
                <c:pt idx="5">
                  <c:v>0.36016096579476864</c:v>
                </c:pt>
                <c:pt idx="6">
                  <c:v>0.72032193158953728</c:v>
                </c:pt>
                <c:pt idx="7">
                  <c:v>1.4406438631790746</c:v>
                </c:pt>
                <c:pt idx="8">
                  <c:v>2.8812877263581491</c:v>
                </c:pt>
                <c:pt idx="9">
                  <c:v>5.7625754527162982</c:v>
                </c:pt>
                <c:pt idx="10">
                  <c:v>11.525150905432596</c:v>
                </c:pt>
                <c:pt idx="11">
                  <c:v>23.050301810865193</c:v>
                </c:pt>
                <c:pt idx="12">
                  <c:v>46.100603621730386</c:v>
                </c:pt>
                <c:pt idx="13">
                  <c:v>92.201207243460772</c:v>
                </c:pt>
                <c:pt idx="14">
                  <c:v>184.40241448692154</c:v>
                </c:pt>
                <c:pt idx="15">
                  <c:v>368.80482897384309</c:v>
                </c:pt>
                <c:pt idx="16">
                  <c:v>737.60965794768617</c:v>
                </c:pt>
                <c:pt idx="17">
                  <c:v>1475.2193158953723</c:v>
                </c:pt>
                <c:pt idx="18">
                  <c:v>2950.4386317907447</c:v>
                </c:pt>
                <c:pt idx="19">
                  <c:v>5900.8772635814894</c:v>
                </c:pt>
              </c:numCache>
            </c:numRef>
          </c:val>
          <c:smooth val="0"/>
          <c:extLst>
            <c:ext xmlns:c16="http://schemas.microsoft.com/office/drawing/2014/chart" uri="{C3380CC4-5D6E-409C-BE32-E72D297353CC}">
              <c16:uniqueId val="{0000000D-EBAD-48A5-9277-83F388186C0C}"/>
            </c:ext>
          </c:extLst>
        </c:ser>
        <c:ser>
          <c:idx val="15"/>
          <c:order val="7"/>
          <c:tx>
            <c:strRef>
              <c:f>Projections!$A$54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2.074949698189135E-3</c:v>
                </c:pt>
                <c:pt idx="1">
                  <c:v>4.1498993963782699E-3</c:v>
                </c:pt>
                <c:pt idx="2">
                  <c:v>8.2997987927565398E-3</c:v>
                </c:pt>
                <c:pt idx="3">
                  <c:v>1.659959758551308E-2</c:v>
                </c:pt>
                <c:pt idx="4">
                  <c:v>3.3199195171026159E-2</c:v>
                </c:pt>
                <c:pt idx="5">
                  <c:v>6.6398390342052319E-2</c:v>
                </c:pt>
                <c:pt idx="6">
                  <c:v>0.13279678068410464</c:v>
                </c:pt>
                <c:pt idx="7">
                  <c:v>0.26559356136820927</c:v>
                </c:pt>
                <c:pt idx="8">
                  <c:v>0.53118712273641855</c:v>
                </c:pt>
                <c:pt idx="9">
                  <c:v>1.0623742454728371</c:v>
                </c:pt>
                <c:pt idx="10">
                  <c:v>2.1247484909456742</c:v>
                </c:pt>
                <c:pt idx="11">
                  <c:v>4.2494969818913484</c:v>
                </c:pt>
                <c:pt idx="12">
                  <c:v>8.4989939637826968</c:v>
                </c:pt>
                <c:pt idx="13">
                  <c:v>16.997987927565394</c:v>
                </c:pt>
                <c:pt idx="14">
                  <c:v>33.995975855130787</c:v>
                </c:pt>
                <c:pt idx="15">
                  <c:v>67.991951710261574</c:v>
                </c:pt>
                <c:pt idx="16">
                  <c:v>135.98390342052315</c:v>
                </c:pt>
                <c:pt idx="17">
                  <c:v>271.9678068410463</c:v>
                </c:pt>
                <c:pt idx="18">
                  <c:v>543.93561368209259</c:v>
                </c:pt>
                <c:pt idx="19">
                  <c:v>1087.8712273641852</c:v>
                </c:pt>
              </c:numCache>
            </c:numRef>
          </c:val>
          <c:smooth val="0"/>
          <c:extLst>
            <c:ext xmlns:c16="http://schemas.microsoft.com/office/drawing/2014/chart" uri="{C3380CC4-5D6E-409C-BE32-E72D297353CC}">
              <c16:uniqueId val="{0000000F-EBAD-48A5-9277-83F388186C0C}"/>
            </c:ext>
          </c:extLst>
        </c:ser>
        <c:ser>
          <c:idx val="17"/>
          <c:order val="8"/>
          <c:tx>
            <c:strRef>
              <c:f>Projections!$A$56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Projections!$A$69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Projections!$G$69:$AA$69</c15:sqref>
                  </c15:fullRef>
                </c:ext>
              </c:extLst>
              <c:f>Projections!$G$69:$Z$69</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1E-05DD-4DD4-A5B5-12D162507280}"/>
            </c:ext>
          </c:extLst>
        </c:ser>
        <c:ser>
          <c:idx val="4"/>
          <c:order val="1"/>
          <c:tx>
            <c:strRef>
              <c:f>Projections!$A$67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Projections!$G$67:$AA$67</c15:sqref>
                  </c15:fullRef>
                </c:ext>
              </c:extLst>
              <c:f>Projections!$G$67:$Z$67</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1C-05DD-4DD4-A5B5-12D162507280}"/>
            </c:ext>
          </c:extLst>
        </c:ser>
        <c:ser>
          <c:idx val="10"/>
          <c:order val="2"/>
          <c:tx>
            <c:strRef>
              <c:f>Projections!$A$73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22-05DD-4DD4-A5B5-12D162507280}"/>
            </c:ext>
          </c:extLst>
        </c:ser>
        <c:ser>
          <c:idx val="0"/>
          <c:order val="3"/>
          <c:tx>
            <c:strRef>
              <c:f>Projections!$A$63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Projections!$G$63:$AA$63</c15:sqref>
                  </c15:fullRef>
                </c:ext>
              </c:extLst>
              <c:f>Projections!$G$63:$Z$63</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18-05DD-4DD4-A5B5-12D162507280}"/>
            </c:ext>
          </c:extLst>
        </c:ser>
        <c:ser>
          <c:idx val="2"/>
          <c:order val="4"/>
          <c:tx>
            <c:strRef>
              <c:f>Projections!$A$65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Projections!$G$65:$AA$65</c15:sqref>
                  </c15:fullRef>
                </c:ext>
              </c:extLst>
              <c:f>Projections!$G$65:$Z$65</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1A-05DD-4DD4-A5B5-12D162507280}"/>
            </c:ext>
          </c:extLst>
        </c:ser>
        <c:ser>
          <c:idx val="8"/>
          <c:order val="5"/>
          <c:tx>
            <c:strRef>
              <c:f>Projections!$A$71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Projections!$G$71:$AA$71</c15:sqref>
                  </c15:fullRef>
                </c:ext>
              </c:extLst>
              <c:f>Projections!$G$71:$Z$71</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Projections!$A$69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Projections!$G$70:$AA$70</c15:sqref>
                  </c15:fullRef>
                </c:ext>
              </c:extLst>
              <c:f>Projections!$G$70:$Z$70</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7-65B4-47F9-9B97-64FB989C8893}"/>
            </c:ext>
          </c:extLst>
        </c:ser>
        <c:ser>
          <c:idx val="5"/>
          <c:order val="1"/>
          <c:tx>
            <c:strRef>
              <c:f>Projections!$A$67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Projections!$G$68:$AA$68</c15:sqref>
                  </c15:fullRef>
                </c:ext>
              </c:extLst>
              <c:f>Projections!$G$68:$Z$68</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5-65B4-47F9-9B97-64FB989C8893}"/>
            </c:ext>
          </c:extLst>
        </c:ser>
        <c:ser>
          <c:idx val="1"/>
          <c:order val="2"/>
          <c:tx>
            <c:strRef>
              <c:f>Projections!$A$63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Projections!$G$64:$AA$64</c15:sqref>
                  </c15:fullRef>
                </c:ext>
              </c:extLst>
              <c:f>Projections!$G$64:$Z$64</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1-65B4-47F9-9B97-64FB989C8893}"/>
            </c:ext>
          </c:extLst>
        </c:ser>
        <c:ser>
          <c:idx val="3"/>
          <c:order val="3"/>
          <c:tx>
            <c:strRef>
              <c:f>Projections!$A$65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Projections!$G$66:$AA$66</c15:sqref>
                  </c15:fullRef>
                </c:ext>
              </c:extLst>
              <c:f>Projections!$G$66:$Z$66</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65B4-47F9-9B97-64FB989C8893}"/>
            </c:ext>
          </c:extLst>
        </c:ser>
        <c:ser>
          <c:idx val="9"/>
          <c:order val="4"/>
          <c:tx>
            <c:strRef>
              <c:f>Projections!$A$71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43924</c:v>
                </c:pt>
                <c:pt idx="9">
                  <c:v>43929</c:v>
                </c:pt>
                <c:pt idx="10">
                  <c:v>43934</c:v>
                </c:pt>
                <c:pt idx="11">
                  <c:v>43939</c:v>
                </c:pt>
                <c:pt idx="12">
                  <c:v>43944</c:v>
                </c:pt>
                <c:pt idx="13">
                  <c:v>43949</c:v>
                </c:pt>
                <c:pt idx="14">
                  <c:v>43954</c:v>
                </c:pt>
                <c:pt idx="15">
                  <c:v>43959</c:v>
                </c:pt>
                <c:pt idx="16">
                  <c:v>43964</c:v>
                </c:pt>
                <c:pt idx="17">
                  <c:v>43969</c:v>
                </c:pt>
                <c:pt idx="18">
                  <c:v>43974</c:v>
                </c:pt>
                <c:pt idx="19">
                  <c:v>43979</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52</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53</xdr:row>
      <xdr:rowOff>4762</xdr:rowOff>
    </xdr:from>
    <xdr:to>
      <xdr:col>18</xdr:col>
      <xdr:colOff>9525</xdr:colOff>
      <xdr:row>71</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52</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53</xdr:row>
      <xdr:rowOff>14287</xdr:rowOff>
    </xdr:from>
    <xdr:to>
      <xdr:col>27</xdr:col>
      <xdr:colOff>19050</xdr:colOff>
      <xdr:row>71</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9526</xdr:colOff>
      <xdr:row>0</xdr:row>
      <xdr:rowOff>180975</xdr:rowOff>
    </xdr:from>
    <xdr:to>
      <xdr:col>40</xdr:col>
      <xdr:colOff>600075</xdr:colOff>
      <xdr:row>23</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736455</xdr:colOff>
      <xdr:row>66</xdr:row>
      <xdr:rowOff>5814</xdr:rowOff>
    </xdr:from>
    <xdr:to>
      <xdr:col>41</xdr:col>
      <xdr:colOff>19050</xdr:colOff>
      <xdr:row>89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3031</xdr:colOff>
      <xdr:row>90</xdr:row>
      <xdr:rowOff>10576</xdr:rowOff>
    </xdr:from>
    <xdr:to>
      <xdr:col>41</xdr:col>
      <xdr:colOff>28575</xdr:colOff>
      <xdr:row>106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741217</xdr:colOff>
      <xdr:row>107</xdr:row>
      <xdr:rowOff>182025</xdr:rowOff>
    </xdr:from>
    <xdr:to>
      <xdr:col>41</xdr:col>
      <xdr:colOff>38099</xdr:colOff>
      <xdr:row>123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741219</xdr:colOff>
      <xdr:row>125</xdr:row>
      <xdr:rowOff>10575</xdr:rowOff>
    </xdr:from>
    <xdr:to>
      <xdr:col>41</xdr:col>
      <xdr:colOff>19050</xdr:colOff>
      <xdr:row>144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738187</xdr:colOff>
      <xdr:row>30</xdr:row>
      <xdr:rowOff>4762</xdr:rowOff>
    </xdr:from>
    <xdr:to>
      <xdr:col>41</xdr:col>
      <xdr:colOff>19050</xdr:colOff>
      <xdr:row>48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740228</xdr:colOff>
      <xdr:row>49</xdr:row>
      <xdr:rowOff>2721</xdr:rowOff>
    </xdr:from>
    <xdr:to>
      <xdr:col>40</xdr:col>
      <xdr:colOff>590550</xdr:colOff>
      <xdr:row>64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1</xdr:colOff>
      <xdr:row>0</xdr:row>
      <xdr:rowOff>180975</xdr:rowOff>
    </xdr:from>
    <xdr:to>
      <xdr:col>54</xdr:col>
      <xdr:colOff>161925</xdr:colOff>
      <xdr:row>23</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607867</xdr:colOff>
      <xdr:row>65</xdr:row>
      <xdr:rowOff>177264</xdr:rowOff>
    </xdr:from>
    <xdr:to>
      <xdr:col>54</xdr:col>
      <xdr:colOff>209550</xdr:colOff>
      <xdr:row>88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598343</xdr:colOff>
      <xdr:row>90</xdr:row>
      <xdr:rowOff>1051</xdr:rowOff>
    </xdr:from>
    <xdr:to>
      <xdr:col>54</xdr:col>
      <xdr:colOff>200025</xdr:colOff>
      <xdr:row>106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42</xdr:col>
      <xdr:colOff>3029</xdr:colOff>
      <xdr:row>107</xdr:row>
      <xdr:rowOff>182025</xdr:rowOff>
    </xdr:from>
    <xdr:to>
      <xdr:col>54</xdr:col>
      <xdr:colOff>219074</xdr:colOff>
      <xdr:row>123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42</xdr:col>
      <xdr:colOff>22081</xdr:colOff>
      <xdr:row>125</xdr:row>
      <xdr:rowOff>10575</xdr:rowOff>
    </xdr:from>
    <xdr:to>
      <xdr:col>54</xdr:col>
      <xdr:colOff>228600</xdr:colOff>
      <xdr:row>144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600074</xdr:colOff>
      <xdr:row>30</xdr:row>
      <xdr:rowOff>14287</xdr:rowOff>
    </xdr:from>
    <xdr:to>
      <xdr:col>54</xdr:col>
      <xdr:colOff>200025</xdr:colOff>
      <xdr:row>48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41</xdr:col>
      <xdr:colOff>606878</xdr:colOff>
      <xdr:row>49</xdr:row>
      <xdr:rowOff>2721</xdr:rowOff>
    </xdr:from>
    <xdr:to>
      <xdr:col>54</xdr:col>
      <xdr:colOff>161925</xdr:colOff>
      <xdr:row>64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urworldindata.org/coronavirus"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printerSettings" Target="../printerSettings/printerSettings2.bin"/><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5"/>
  <sheetViews>
    <sheetView workbookViewId="0">
      <selection activeCell="B18" sqref="B18"/>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168</v>
      </c>
    </row>
    <row r="3" spans="2:2" x14ac:dyDescent="0.25">
      <c r="B3" t="s">
        <v>148</v>
      </c>
    </row>
    <row r="4" spans="2:2" x14ac:dyDescent="0.25">
      <c r="B4" t="s">
        <v>164</v>
      </c>
    </row>
    <row r="5" spans="2:2" x14ac:dyDescent="0.25">
      <c r="B5" t="s">
        <v>169</v>
      </c>
    </row>
    <row r="6" spans="2:2" x14ac:dyDescent="0.25">
      <c r="B6" t="s">
        <v>170</v>
      </c>
    </row>
    <row r="7" spans="2:2" x14ac:dyDescent="0.25">
      <c r="B7" t="s">
        <v>151</v>
      </c>
    </row>
    <row r="11" spans="2:2" x14ac:dyDescent="0.25">
      <c r="B11" t="s">
        <v>177</v>
      </c>
    </row>
    <row r="12" spans="2:2" x14ac:dyDescent="0.25">
      <c r="B12" t="s">
        <v>190</v>
      </c>
    </row>
    <row r="13" spans="2:2" x14ac:dyDescent="0.25">
      <c r="B13" t="s">
        <v>192</v>
      </c>
    </row>
    <row r="14" spans="2:2" x14ac:dyDescent="0.25">
      <c r="B14" t="s">
        <v>191</v>
      </c>
    </row>
    <row r="15" spans="2:2" x14ac:dyDescent="0.25">
      <c r="B15" t="s">
        <v>202</v>
      </c>
    </row>
    <row r="17" spans="1:43" x14ac:dyDescent="0.25">
      <c r="A17" t="s">
        <v>198</v>
      </c>
      <c r="B17" s="135">
        <f>(AP25/E31) * 1.45</f>
        <v>41.428571428571423</v>
      </c>
      <c r="C17" s="136"/>
      <c r="D17" s="137"/>
      <c r="E17" s="131">
        <f>B17*2</f>
        <v>82.857142857142847</v>
      </c>
      <c r="F17" s="136"/>
      <c r="G17" s="131"/>
      <c r="H17" s="131">
        <f>E17*2</f>
        <v>165.71428571428569</v>
      </c>
      <c r="I17" s="136"/>
      <c r="J17" s="137"/>
      <c r="K17" s="128">
        <f>H17*2</f>
        <v>331.42857142857139</v>
      </c>
      <c r="L17" s="126"/>
      <c r="M17" s="127"/>
      <c r="N17" s="128">
        <f>K17*2</f>
        <v>662.85714285714278</v>
      </c>
      <c r="O17" s="126"/>
      <c r="P17" s="127"/>
      <c r="Q17" s="128">
        <f>N17*2</f>
        <v>1325.7142857142856</v>
      </c>
      <c r="R17" s="126"/>
      <c r="S17" s="127"/>
      <c r="T17" s="128">
        <f>Q17*2</f>
        <v>2651.4285714285711</v>
      </c>
      <c r="U17" s="126"/>
      <c r="V17" s="127"/>
      <c r="W17" s="128">
        <f>T17*2</f>
        <v>5302.8571428571422</v>
      </c>
      <c r="X17" s="126"/>
      <c r="Y17" s="127"/>
      <c r="Z17" s="128">
        <f>W17*2</f>
        <v>10605.714285714284</v>
      </c>
      <c r="AA17" s="126"/>
      <c r="AB17" s="127"/>
      <c r="AC17" s="128">
        <f>Z17*2</f>
        <v>21211.428571428569</v>
      </c>
      <c r="AD17" s="126"/>
      <c r="AE17" s="127"/>
      <c r="AF17" s="128">
        <f>AC17*2</f>
        <v>42422.857142857138</v>
      </c>
      <c r="AG17" s="126"/>
      <c r="AH17" s="127"/>
      <c r="AI17" s="128">
        <f>AF17*2</f>
        <v>84845.714285714275</v>
      </c>
      <c r="AJ17" s="126"/>
      <c r="AK17" s="127"/>
      <c r="AL17" s="128">
        <f>AI17*2</f>
        <v>169691.42857142855</v>
      </c>
      <c r="AM17" s="126"/>
      <c r="AN17" s="127"/>
      <c r="AO17" s="128">
        <f>AL17*2</f>
        <v>339382.8571428571</v>
      </c>
      <c r="AP17" s="131"/>
      <c r="AQ17" t="s">
        <v>198</v>
      </c>
    </row>
    <row r="18" spans="1:43" s="86" customFormat="1" x14ac:dyDescent="0.25">
      <c r="A18" s="86" t="s">
        <v>201</v>
      </c>
      <c r="B18" s="116">
        <f>B17*0.3</f>
        <v>12.428571428571427</v>
      </c>
      <c r="C18" s="138"/>
      <c r="D18" s="138"/>
      <c r="E18" s="138">
        <f>E17*0.3</f>
        <v>24.857142857142854</v>
      </c>
      <c r="F18" s="138"/>
      <c r="G18" s="47"/>
      <c r="H18" s="138">
        <f>H17*0.3</f>
        <v>49.714285714285708</v>
      </c>
      <c r="I18" s="138"/>
      <c r="J18" s="138"/>
      <c r="K18" s="138">
        <f>K17*0.3</f>
        <v>99.428571428571416</v>
      </c>
      <c r="L18" s="138"/>
      <c r="M18" s="138"/>
      <c r="N18" s="138">
        <f>N17*0.3</f>
        <v>198.85714285714283</v>
      </c>
      <c r="O18" s="138"/>
      <c r="P18" s="138"/>
      <c r="Q18" s="138">
        <f>Q17*0.3</f>
        <v>397.71428571428567</v>
      </c>
      <c r="R18" s="138"/>
      <c r="S18" s="138"/>
      <c r="T18" s="138">
        <f>T17*0.3</f>
        <v>795.42857142857133</v>
      </c>
      <c r="U18" s="138"/>
      <c r="V18" s="138"/>
      <c r="W18" s="138">
        <f>W17*0.3</f>
        <v>1590.8571428571427</v>
      </c>
      <c r="X18" s="138"/>
      <c r="Y18" s="138"/>
      <c r="Z18" s="138">
        <f>Z17*0.3</f>
        <v>3181.7142857142853</v>
      </c>
      <c r="AA18" s="138"/>
      <c r="AB18" s="138"/>
      <c r="AC18" s="138">
        <f>AC17*0.3</f>
        <v>6363.4285714285706</v>
      </c>
      <c r="AD18" s="138"/>
      <c r="AE18" s="138"/>
      <c r="AF18" s="138">
        <f>AF17*0.3</f>
        <v>12726.857142857141</v>
      </c>
      <c r="AG18" s="138"/>
      <c r="AH18" s="138"/>
      <c r="AI18" s="138">
        <f>AI17*0.3</f>
        <v>25453.714285714283</v>
      </c>
      <c r="AJ18" s="138"/>
      <c r="AK18" s="138"/>
      <c r="AL18" s="138">
        <f>AL17*0.3</f>
        <v>50907.428571428565</v>
      </c>
      <c r="AM18" s="138"/>
      <c r="AN18" s="138"/>
      <c r="AO18" s="138">
        <f>AO17*0.3</f>
        <v>101814.85714285713</v>
      </c>
      <c r="AP18" s="47"/>
      <c r="AQ18" s="86" t="s">
        <v>201</v>
      </c>
    </row>
    <row r="19" spans="1:43" s="86" customFormat="1" x14ac:dyDescent="0.25">
      <c r="A19" s="61" t="s">
        <v>200</v>
      </c>
      <c r="B19" s="114">
        <f>B18</f>
        <v>12.428571428571427</v>
      </c>
      <c r="C19" s="115"/>
      <c r="D19" s="115"/>
      <c r="E19" s="115">
        <f>E18</f>
        <v>24.857142857142854</v>
      </c>
      <c r="F19" s="115"/>
      <c r="G19" s="48"/>
      <c r="H19" s="115">
        <f>H18</f>
        <v>49.714285714285708</v>
      </c>
      <c r="I19" s="115"/>
      <c r="J19" s="115"/>
      <c r="K19" s="115">
        <f>K18</f>
        <v>99.428571428571416</v>
      </c>
      <c r="L19" s="115"/>
      <c r="M19" s="115"/>
      <c r="N19" s="115">
        <f>N18</f>
        <v>198.85714285714283</v>
      </c>
      <c r="O19" s="115"/>
      <c r="P19" s="115"/>
      <c r="Q19" s="115">
        <f>Q18</f>
        <v>397.71428571428567</v>
      </c>
      <c r="R19" s="115"/>
      <c r="S19" s="115"/>
      <c r="T19" s="115">
        <f>T18</f>
        <v>795.42857142857133</v>
      </c>
      <c r="U19" s="115"/>
      <c r="V19" s="115"/>
      <c r="W19" s="155">
        <f>W18-B18</f>
        <v>1578.4285714285713</v>
      </c>
      <c r="X19" s="155"/>
      <c r="Y19" s="155"/>
      <c r="Z19" s="155">
        <f>Z18-E18</f>
        <v>3156.8571428571427</v>
      </c>
      <c r="AA19" s="155"/>
      <c r="AB19" s="155"/>
      <c r="AC19" s="155">
        <f>AC18-H18</f>
        <v>6313.7142857142853</v>
      </c>
      <c r="AD19" s="155"/>
      <c r="AE19" s="155"/>
      <c r="AF19" s="155">
        <f>AF18-K18</f>
        <v>12627.428571428571</v>
      </c>
      <c r="AG19" s="155"/>
      <c r="AH19" s="155"/>
      <c r="AI19" s="155">
        <f>AI18-N18</f>
        <v>25254.857142857141</v>
      </c>
      <c r="AJ19" s="155"/>
      <c r="AK19" s="155"/>
      <c r="AL19" s="155">
        <f>AL18-Q18</f>
        <v>50509.714285714283</v>
      </c>
      <c r="AM19" s="155"/>
      <c r="AN19" s="155"/>
      <c r="AO19" s="155">
        <f>AO18-T18</f>
        <v>101019.42857142857</v>
      </c>
      <c r="AP19" s="156"/>
      <c r="AQ19" s="61" t="s">
        <v>200</v>
      </c>
    </row>
    <row r="20" spans="1:43" s="86" customFormat="1" x14ac:dyDescent="0.25">
      <c r="A20" t="s">
        <v>199</v>
      </c>
      <c r="B20" s="116"/>
      <c r="C20" s="138"/>
      <c r="D20" s="138"/>
      <c r="E20" s="138"/>
      <c r="F20" s="138"/>
      <c r="G20" s="47"/>
      <c r="H20" s="139"/>
      <c r="I20" s="140"/>
      <c r="J20" s="141"/>
      <c r="K20" s="165">
        <f>B17*0.7</f>
        <v>28.999999999999993</v>
      </c>
      <c r="L20" s="162"/>
      <c r="M20" s="163"/>
      <c r="N20" s="164">
        <f>E17*0.7</f>
        <v>57.999999999999986</v>
      </c>
      <c r="O20" s="162"/>
      <c r="P20" s="163"/>
      <c r="Q20" s="164">
        <f>H17*0.7</f>
        <v>115.99999999999997</v>
      </c>
      <c r="R20" s="162"/>
      <c r="S20" s="163"/>
      <c r="T20" s="164">
        <f>K17*0.7</f>
        <v>231.99999999999994</v>
      </c>
      <c r="U20" s="162"/>
      <c r="V20" s="163"/>
      <c r="W20" s="164">
        <f>N17*0.7</f>
        <v>463.99999999999989</v>
      </c>
      <c r="X20" s="162"/>
      <c r="Y20" s="163"/>
      <c r="Z20" s="164">
        <f>Q17*0.7</f>
        <v>927.99999999999977</v>
      </c>
      <c r="AA20" s="162"/>
      <c r="AB20" s="163"/>
      <c r="AC20" s="164">
        <f>T17*0.7</f>
        <v>1855.9999999999995</v>
      </c>
      <c r="AD20" s="162"/>
      <c r="AE20" s="163"/>
      <c r="AF20" s="164">
        <f>W17*0.7</f>
        <v>3711.9999999999991</v>
      </c>
      <c r="AG20" s="162"/>
      <c r="AH20" s="163"/>
      <c r="AI20" s="164">
        <f>Z17*0.7</f>
        <v>7423.9999999999982</v>
      </c>
      <c r="AJ20" s="162"/>
      <c r="AK20" s="163"/>
      <c r="AL20" s="164">
        <f>AC17*0.7</f>
        <v>14847.999999999996</v>
      </c>
      <c r="AM20" s="162"/>
      <c r="AN20" s="163"/>
      <c r="AO20" s="164">
        <f>AF17*0.7</f>
        <v>29695.999999999993</v>
      </c>
      <c r="AP20" s="98"/>
      <c r="AQ20" t="s">
        <v>199</v>
      </c>
    </row>
    <row r="21" spans="1:43" s="86" customFormat="1" x14ac:dyDescent="0.25">
      <c r="A21" s="86" t="s">
        <v>178</v>
      </c>
      <c r="B21" s="100"/>
      <c r="C21" s="101"/>
      <c r="D21" s="101"/>
      <c r="E21" s="101"/>
      <c r="F21" s="101"/>
      <c r="G21" s="104"/>
      <c r="H21" s="157">
        <f>B17-B18</f>
        <v>28.999999999999996</v>
      </c>
      <c r="I21" s="157"/>
      <c r="J21" s="157"/>
      <c r="K21" s="157">
        <f>E17-E18</f>
        <v>57.999999999999993</v>
      </c>
      <c r="L21" s="157"/>
      <c r="M21" s="157"/>
      <c r="N21" s="157">
        <f>(H17-H18)*$E$35</f>
        <v>93.96</v>
      </c>
      <c r="O21" s="157"/>
      <c r="P21" s="157"/>
      <c r="Q21" s="157">
        <f>(K17-K18)*$E$35</f>
        <v>187.92</v>
      </c>
      <c r="R21" s="157"/>
      <c r="S21" s="157"/>
      <c r="T21" s="157">
        <f>(N17-N18)*$E$35</f>
        <v>375.84</v>
      </c>
      <c r="U21" s="157"/>
      <c r="V21" s="157"/>
      <c r="W21" s="157">
        <f>((Q17-Q18)*$E$35)-(H21*$E$35)</f>
        <v>728.18999999999994</v>
      </c>
      <c r="X21" s="157"/>
      <c r="Y21" s="157"/>
      <c r="Z21" s="157">
        <f>((T17-T18)*$E$35)-(K21*$E$35)</f>
        <v>1456.3799999999999</v>
      </c>
      <c r="AA21" s="157"/>
      <c r="AB21" s="157"/>
      <c r="AC21" s="157">
        <f>((W17-W18)*$E$35)-N21</f>
        <v>2912.7599999999998</v>
      </c>
      <c r="AD21" s="157"/>
      <c r="AE21" s="157"/>
      <c r="AF21" s="157">
        <f>((Z17-Z18)*$E$35)-Q21</f>
        <v>5825.5199999999995</v>
      </c>
      <c r="AG21" s="157"/>
      <c r="AH21" s="157"/>
      <c r="AI21" s="157">
        <f>((AC17-AC18)*$E$35)-T21</f>
        <v>11651.039999999999</v>
      </c>
      <c r="AJ21" s="157"/>
      <c r="AK21" s="157"/>
      <c r="AL21" s="157">
        <f>((AF17-AF18)*$E$35)-W21</f>
        <v>23325.57</v>
      </c>
      <c r="AM21" s="157"/>
      <c r="AN21" s="157"/>
      <c r="AO21" s="157">
        <f>((AI17-AI18)*$E$35)-Z21</f>
        <v>46651.14</v>
      </c>
      <c r="AP21" s="158"/>
      <c r="AQ21" s="86" t="s">
        <v>178</v>
      </c>
    </row>
    <row r="22" spans="1:43" s="86" customFormat="1" x14ac:dyDescent="0.25">
      <c r="A22" s="86" t="s">
        <v>179</v>
      </c>
      <c r="B22" s="100"/>
      <c r="C22" s="101"/>
      <c r="D22" s="101"/>
      <c r="E22" s="101"/>
      <c r="F22" s="101"/>
      <c r="G22" s="104"/>
      <c r="H22" s="140"/>
      <c r="I22" s="140"/>
      <c r="J22" s="140"/>
      <c r="K22" s="140"/>
      <c r="L22" s="140"/>
      <c r="M22" s="141"/>
      <c r="N22" s="159">
        <f>(H17-H18)*($E$36+$E$37)</f>
        <v>22.04</v>
      </c>
      <c r="O22" s="159"/>
      <c r="P22" s="159"/>
      <c r="Q22" s="159">
        <f>(K17-K18)*($E$36+$E$37)</f>
        <v>44.08</v>
      </c>
      <c r="R22" s="159"/>
      <c r="S22" s="159"/>
      <c r="T22" s="159">
        <f>(N17-N18)*$E$36</f>
        <v>64.959999999999994</v>
      </c>
      <c r="U22" s="159"/>
      <c r="V22" s="159"/>
      <c r="W22" s="159">
        <f>(Q17-Q18)*$E$36</f>
        <v>129.91999999999999</v>
      </c>
      <c r="X22" s="159"/>
      <c r="Y22" s="159"/>
      <c r="Z22" s="159">
        <f>(T17-T18)*$E$36</f>
        <v>259.83999999999997</v>
      </c>
      <c r="AA22" s="159"/>
      <c r="AB22" s="159"/>
      <c r="AC22" s="159">
        <f>(W17-W18)*$E$36</f>
        <v>519.67999999999995</v>
      </c>
      <c r="AD22" s="159"/>
      <c r="AE22" s="159"/>
      <c r="AF22" s="159">
        <f>(Z17-Z18)*$E$36</f>
        <v>1039.3599999999999</v>
      </c>
      <c r="AG22" s="159"/>
      <c r="AH22" s="159"/>
      <c r="AI22" s="159">
        <f>(AC17-AC18)*$E$36</f>
        <v>2078.7199999999998</v>
      </c>
      <c r="AJ22" s="159"/>
      <c r="AK22" s="159"/>
      <c r="AL22" s="159">
        <f>(AF17-AF18)*$E$36</f>
        <v>4157.4399999999996</v>
      </c>
      <c r="AM22" s="159"/>
      <c r="AN22" s="159"/>
      <c r="AO22" s="159">
        <f>(AI17-AI18)*$E$36</f>
        <v>8314.8799999999992</v>
      </c>
      <c r="AP22" s="160"/>
      <c r="AQ22" s="86" t="s">
        <v>179</v>
      </c>
    </row>
    <row r="23" spans="1:43" s="86" customFormat="1" x14ac:dyDescent="0.25">
      <c r="A23" s="61" t="s">
        <v>180</v>
      </c>
      <c r="B23" s="100"/>
      <c r="C23" s="101"/>
      <c r="D23" s="101"/>
      <c r="E23" s="101"/>
      <c r="F23" s="101"/>
      <c r="G23" s="104"/>
      <c r="H23" s="115"/>
      <c r="I23" s="115"/>
      <c r="J23" s="115"/>
      <c r="K23" s="115"/>
      <c r="L23" s="115"/>
      <c r="M23" s="115"/>
      <c r="N23" s="140"/>
      <c r="O23" s="140"/>
      <c r="P23" s="140"/>
      <c r="Q23" s="140"/>
      <c r="R23" s="140"/>
      <c r="S23" s="141"/>
      <c r="T23" s="54">
        <f>(N17-N18)*$E$37</f>
        <v>23.2</v>
      </c>
      <c r="U23" s="54"/>
      <c r="V23" s="54"/>
      <c r="W23" s="54">
        <f>(Q17-Q18)*$E$37</f>
        <v>46.4</v>
      </c>
      <c r="X23" s="54"/>
      <c r="Y23" s="54"/>
      <c r="Z23" s="54">
        <f>(T17-T18)*$E$37</f>
        <v>92.8</v>
      </c>
      <c r="AA23" s="54"/>
      <c r="AB23" s="54"/>
      <c r="AC23" s="54">
        <f>(W17-W18)*$E$37</f>
        <v>185.6</v>
      </c>
      <c r="AD23" s="54"/>
      <c r="AE23" s="54"/>
      <c r="AF23" s="54">
        <f>(Z17-Z18)*$E$37</f>
        <v>371.2</v>
      </c>
      <c r="AG23" s="54"/>
      <c r="AH23" s="54"/>
      <c r="AI23" s="54">
        <f>(AC17-AC18)*$E$37</f>
        <v>742.4</v>
      </c>
      <c r="AJ23" s="54"/>
      <c r="AK23" s="54"/>
      <c r="AL23" s="54">
        <f>(AF17-AF18)*$E$37</f>
        <v>1484.8</v>
      </c>
      <c r="AM23" s="54"/>
      <c r="AN23" s="54"/>
      <c r="AO23" s="54">
        <f>(AI17-AI18)*$E$37</f>
        <v>2969.6</v>
      </c>
      <c r="AP23" s="161"/>
      <c r="AQ23" s="61" t="s">
        <v>180</v>
      </c>
    </row>
    <row r="24" spans="1:43" s="86" customFormat="1" x14ac:dyDescent="0.25">
      <c r="A24" s="61" t="s">
        <v>185</v>
      </c>
      <c r="B24" s="114"/>
      <c r="C24" s="115"/>
      <c r="D24" s="115"/>
      <c r="E24" s="115"/>
      <c r="F24" s="115"/>
      <c r="G24" s="48"/>
      <c r="H24" s="115"/>
      <c r="I24" s="115"/>
      <c r="J24" s="115"/>
      <c r="K24" s="115"/>
      <c r="L24" s="115"/>
      <c r="M24" s="115"/>
      <c r="N24" s="115"/>
      <c r="O24" s="115"/>
      <c r="P24" s="115"/>
      <c r="Q24" s="115"/>
      <c r="R24" s="115"/>
      <c r="S24" s="115"/>
      <c r="T24" s="140"/>
      <c r="U24" s="141"/>
      <c r="V24" s="142">
        <f>H21*$E$35</f>
        <v>23.49</v>
      </c>
      <c r="W24" s="142"/>
      <c r="X24" s="142"/>
      <c r="Y24" s="142">
        <f>K21*$E$35</f>
        <v>46.98</v>
      </c>
      <c r="Z24" s="142"/>
      <c r="AA24" s="142"/>
      <c r="AB24" s="142">
        <f>N21</f>
        <v>93.96</v>
      </c>
      <c r="AC24" s="142"/>
      <c r="AD24" s="142"/>
      <c r="AE24" s="142">
        <f>Q21</f>
        <v>187.92</v>
      </c>
      <c r="AF24" s="142"/>
      <c r="AG24" s="142"/>
      <c r="AH24" s="142">
        <f>T21</f>
        <v>375.84</v>
      </c>
      <c r="AI24" s="142"/>
      <c r="AJ24" s="142"/>
      <c r="AK24" s="142">
        <f>W21</f>
        <v>728.18999999999994</v>
      </c>
      <c r="AL24" s="142"/>
      <c r="AM24" s="142"/>
      <c r="AN24" s="142">
        <f>Z21</f>
        <v>1456.3799999999999</v>
      </c>
      <c r="AO24" s="142"/>
      <c r="AP24" s="143"/>
      <c r="AQ24" s="61" t="s">
        <v>185</v>
      </c>
    </row>
    <row r="25" spans="1:43" x14ac:dyDescent="0.25">
      <c r="A25" s="61" t="s">
        <v>174</v>
      </c>
      <c r="B25" s="132"/>
      <c r="C25" s="133"/>
      <c r="D25" s="133"/>
      <c r="E25" s="133"/>
      <c r="F25" s="133"/>
      <c r="G25" s="134"/>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66">
        <f>E32</f>
        <v>1</v>
      </c>
      <c r="AQ25" s="61" t="s">
        <v>174</v>
      </c>
    </row>
    <row r="26" spans="1:43" x14ac:dyDescent="0.25">
      <c r="A26" s="167" t="s">
        <v>206</v>
      </c>
      <c r="B26" s="122">
        <f t="shared" ref="B26:G26" ca="1" si="0">C26-1</f>
        <v>43880.009424537035</v>
      </c>
      <c r="C26" s="123">
        <f t="shared" ca="1" si="0"/>
        <v>43881.009424537035</v>
      </c>
      <c r="D26" s="123">
        <f t="shared" ca="1" si="0"/>
        <v>43882.009424537035</v>
      </c>
      <c r="E26" s="123">
        <f t="shared" ca="1" si="0"/>
        <v>43883.009424537035</v>
      </c>
      <c r="F26" s="123">
        <f t="shared" ca="1" si="0"/>
        <v>43884.009424537035</v>
      </c>
      <c r="G26" s="124">
        <f t="shared" ca="1" si="0"/>
        <v>43885.009424537035</v>
      </c>
      <c r="H26" s="123">
        <f t="shared" ref="H26:U26" ca="1" si="1">I26-1</f>
        <v>43886.009424537035</v>
      </c>
      <c r="I26" s="123">
        <f t="shared" ca="1" si="1"/>
        <v>43887.009424537035</v>
      </c>
      <c r="J26" s="123">
        <f t="shared" ca="1" si="1"/>
        <v>43888.009424537035</v>
      </c>
      <c r="K26" s="123">
        <f t="shared" ca="1" si="1"/>
        <v>43889.009424537035</v>
      </c>
      <c r="L26" s="123">
        <f t="shared" ca="1" si="1"/>
        <v>43890.009424537035</v>
      </c>
      <c r="M26" s="123">
        <f t="shared" ca="1" si="1"/>
        <v>43891.009424537035</v>
      </c>
      <c r="N26" s="124">
        <f t="shared" ca="1" si="1"/>
        <v>43892.009424537035</v>
      </c>
      <c r="O26" s="122">
        <f t="shared" ca="1" si="1"/>
        <v>43893.009424537035</v>
      </c>
      <c r="P26" s="123">
        <f t="shared" ca="1" si="1"/>
        <v>43894.009424537035</v>
      </c>
      <c r="Q26" s="123">
        <f t="shared" ca="1" si="1"/>
        <v>43895.009424537035</v>
      </c>
      <c r="R26" s="123">
        <f t="shared" ca="1" si="1"/>
        <v>43896.009424537035</v>
      </c>
      <c r="S26" s="123">
        <f t="shared" ca="1" si="1"/>
        <v>43897.009424537035</v>
      </c>
      <c r="T26" s="123">
        <f t="shared" ca="1" si="1"/>
        <v>43898.009424537035</v>
      </c>
      <c r="U26" s="124">
        <f t="shared" ca="1" si="1"/>
        <v>43899.009424537035</v>
      </c>
      <c r="V26" s="122">
        <f t="shared" ref="V26:AN26" ca="1" si="2">W26-1</f>
        <v>43900.009424537035</v>
      </c>
      <c r="W26" s="123">
        <f t="shared" ca="1" si="2"/>
        <v>43901.009424537035</v>
      </c>
      <c r="X26" s="123">
        <f t="shared" ca="1" si="2"/>
        <v>43902.009424537035</v>
      </c>
      <c r="Y26" s="123">
        <f t="shared" ca="1" si="2"/>
        <v>43903.009424537035</v>
      </c>
      <c r="Z26" s="123">
        <f t="shared" ca="1" si="2"/>
        <v>43904.009424537035</v>
      </c>
      <c r="AA26" s="123">
        <f t="shared" ca="1" si="2"/>
        <v>43905.009424537035</v>
      </c>
      <c r="AB26" s="124">
        <f t="shared" ca="1" si="2"/>
        <v>43906.009424537035</v>
      </c>
      <c r="AC26" s="122">
        <f t="shared" ca="1" si="2"/>
        <v>43907.009424537035</v>
      </c>
      <c r="AD26" s="123">
        <f t="shared" ca="1" si="2"/>
        <v>43908.009424537035</v>
      </c>
      <c r="AE26" s="123">
        <f t="shared" ca="1" si="2"/>
        <v>43909.009424537035</v>
      </c>
      <c r="AF26" s="123">
        <f t="shared" ca="1" si="2"/>
        <v>43910.009424537035</v>
      </c>
      <c r="AG26" s="123">
        <f t="shared" ca="1" si="2"/>
        <v>43911.009424537035</v>
      </c>
      <c r="AH26" s="123">
        <f t="shared" ca="1" si="2"/>
        <v>43912.009424537035</v>
      </c>
      <c r="AI26" s="124">
        <f t="shared" ca="1" si="2"/>
        <v>43913.009424537035</v>
      </c>
      <c r="AJ26" s="122">
        <f t="shared" ca="1" si="2"/>
        <v>43914.009424537035</v>
      </c>
      <c r="AK26" s="123">
        <f t="shared" ca="1" si="2"/>
        <v>43915.009424537035</v>
      </c>
      <c r="AL26" s="123">
        <f t="shared" ca="1" si="2"/>
        <v>43916.009424537035</v>
      </c>
      <c r="AM26" s="123">
        <f t="shared" ca="1" si="2"/>
        <v>43917.009424537035</v>
      </c>
      <c r="AN26" s="123">
        <f t="shared" ca="1" si="2"/>
        <v>43918.009424537035</v>
      </c>
      <c r="AO26" s="123">
        <f ca="1">AP26-1</f>
        <v>43919.009424537035</v>
      </c>
      <c r="AP26" s="144">
        <f ca="1">NOW()</f>
        <v>43920.009424537035</v>
      </c>
    </row>
    <row r="27" spans="1:43" x14ac:dyDescent="0.25">
      <c r="A27" s="168" t="s">
        <v>207</v>
      </c>
      <c r="B27" s="151">
        <v>1</v>
      </c>
      <c r="C27" s="152">
        <v>2</v>
      </c>
      <c r="D27" s="151">
        <v>3</v>
      </c>
      <c r="E27" s="152">
        <v>4</v>
      </c>
      <c r="F27" s="151">
        <v>5</v>
      </c>
      <c r="G27" s="153">
        <v>6</v>
      </c>
      <c r="H27" s="152">
        <v>7</v>
      </c>
      <c r="I27" s="152">
        <v>8</v>
      </c>
      <c r="J27" s="152">
        <v>9</v>
      </c>
      <c r="K27" s="152">
        <v>10</v>
      </c>
      <c r="L27" s="152">
        <v>11</v>
      </c>
      <c r="M27" s="152">
        <v>12</v>
      </c>
      <c r="N27" s="153">
        <v>13</v>
      </c>
      <c r="O27" s="151">
        <v>14</v>
      </c>
      <c r="P27" s="152">
        <v>15</v>
      </c>
      <c r="Q27" s="152">
        <v>16</v>
      </c>
      <c r="R27" s="152">
        <v>17</v>
      </c>
      <c r="S27" s="152">
        <v>18</v>
      </c>
      <c r="T27" s="152">
        <v>19</v>
      </c>
      <c r="U27" s="153">
        <v>20</v>
      </c>
      <c r="V27" s="151">
        <v>21</v>
      </c>
      <c r="W27" s="152">
        <v>22</v>
      </c>
      <c r="X27" s="152">
        <v>23</v>
      </c>
      <c r="Y27" s="152">
        <v>24</v>
      </c>
      <c r="Z27" s="152">
        <v>25</v>
      </c>
      <c r="AA27" s="152">
        <v>26</v>
      </c>
      <c r="AB27" s="153">
        <v>27</v>
      </c>
      <c r="AC27" s="151">
        <v>28</v>
      </c>
      <c r="AD27" s="152">
        <v>29</v>
      </c>
      <c r="AE27" s="152">
        <v>30</v>
      </c>
      <c r="AF27" s="152">
        <v>31</v>
      </c>
      <c r="AG27" s="152">
        <v>32</v>
      </c>
      <c r="AH27" s="152">
        <v>33</v>
      </c>
      <c r="AI27" s="153">
        <v>34</v>
      </c>
      <c r="AJ27" s="151">
        <v>35</v>
      </c>
      <c r="AK27" s="152">
        <v>36</v>
      </c>
      <c r="AL27" s="152">
        <v>37</v>
      </c>
      <c r="AM27" s="152">
        <v>38</v>
      </c>
      <c r="AN27" s="152">
        <v>39</v>
      </c>
      <c r="AO27" s="152">
        <v>40</v>
      </c>
      <c r="AP27" s="153">
        <v>41</v>
      </c>
    </row>
    <row r="28" spans="1:43" x14ac:dyDescent="0.25">
      <c r="A28" s="169" t="s">
        <v>208</v>
      </c>
      <c r="B28" s="177" t="s">
        <v>172</v>
      </c>
      <c r="C28" s="178"/>
      <c r="D28" s="178"/>
      <c r="E28" s="178"/>
      <c r="F28" s="178"/>
      <c r="G28" s="179"/>
      <c r="H28" s="183" t="s">
        <v>159</v>
      </c>
      <c r="I28" s="183"/>
      <c r="J28" s="183"/>
      <c r="K28" s="183"/>
      <c r="L28" s="183"/>
      <c r="M28" s="183"/>
      <c r="N28" s="184"/>
      <c r="O28" s="182" t="s">
        <v>160</v>
      </c>
      <c r="P28" s="183"/>
      <c r="Q28" s="183"/>
      <c r="R28" s="183"/>
      <c r="S28" s="183"/>
      <c r="T28" s="183"/>
      <c r="U28" s="184"/>
      <c r="V28" s="182" t="s">
        <v>161</v>
      </c>
      <c r="W28" s="183"/>
      <c r="X28" s="183"/>
      <c r="Y28" s="183"/>
      <c r="Z28" s="183"/>
      <c r="AA28" s="183"/>
      <c r="AB28" s="184"/>
      <c r="AC28" s="182" t="s">
        <v>162</v>
      </c>
      <c r="AD28" s="183"/>
      <c r="AE28" s="183"/>
      <c r="AF28" s="183"/>
      <c r="AG28" s="183"/>
      <c r="AH28" s="183"/>
      <c r="AI28" s="184"/>
      <c r="AJ28" s="182" t="s">
        <v>163</v>
      </c>
      <c r="AK28" s="183"/>
      <c r="AL28" s="183"/>
      <c r="AM28" s="183"/>
      <c r="AN28" s="183"/>
      <c r="AO28" s="183"/>
      <c r="AP28" s="184"/>
    </row>
    <row r="29" spans="1:43" x14ac:dyDescent="0.25">
      <c r="B29" s="66" t="s">
        <v>184</v>
      </c>
      <c r="C29" s="129"/>
      <c r="D29" s="129"/>
      <c r="E29" s="129"/>
      <c r="F29" s="129"/>
      <c r="G29" s="130"/>
      <c r="H29" s="180" t="s">
        <v>171</v>
      </c>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1"/>
    </row>
    <row r="31" spans="1:43" x14ac:dyDescent="0.25">
      <c r="B31" s="73" t="s">
        <v>173</v>
      </c>
      <c r="C31" s="172" t="s">
        <v>195</v>
      </c>
      <c r="D31" s="21"/>
      <c r="E31" s="109">
        <f>VLOOKUP(C31,B43:C53,2,FALSE)</f>
        <v>3.5000000000000003E-2</v>
      </c>
      <c r="F31" s="21"/>
      <c r="G31" s="21"/>
      <c r="H31" s="21"/>
      <c r="I31" s="17"/>
    </row>
    <row r="32" spans="1:43" x14ac:dyDescent="0.25">
      <c r="B32" s="55" t="s">
        <v>205</v>
      </c>
      <c r="C32" s="30"/>
      <c r="D32" s="30"/>
      <c r="E32" s="173">
        <v>1</v>
      </c>
      <c r="F32" s="30"/>
      <c r="G32" s="30"/>
      <c r="H32" s="30"/>
      <c r="I32" s="31"/>
    </row>
    <row r="33" spans="2:22" x14ac:dyDescent="0.25">
      <c r="B33" s="55" t="s">
        <v>175</v>
      </c>
      <c r="C33" s="30"/>
      <c r="D33" s="30"/>
      <c r="E33" s="30">
        <v>3</v>
      </c>
      <c r="F33" s="30" t="s">
        <v>176</v>
      </c>
      <c r="G33" s="30"/>
      <c r="H33" s="30"/>
      <c r="I33" s="31"/>
    </row>
    <row r="34" spans="2:22" x14ac:dyDescent="0.25">
      <c r="B34" s="55" t="s">
        <v>197</v>
      </c>
      <c r="C34" s="30"/>
      <c r="D34" s="30"/>
      <c r="E34" s="92">
        <v>0.3</v>
      </c>
      <c r="F34" s="30" t="s">
        <v>203</v>
      </c>
      <c r="G34" s="30"/>
      <c r="H34" s="30"/>
      <c r="I34" s="31"/>
    </row>
    <row r="35" spans="2:22" x14ac:dyDescent="0.25">
      <c r="B35" s="55" t="s">
        <v>181</v>
      </c>
      <c r="C35" s="30"/>
      <c r="D35" s="30"/>
      <c r="E35" s="174">
        <v>0.81</v>
      </c>
      <c r="F35" s="30" t="s">
        <v>204</v>
      </c>
      <c r="G35" s="30"/>
      <c r="H35" s="30"/>
      <c r="I35" s="31"/>
    </row>
    <row r="36" spans="2:22" x14ac:dyDescent="0.25">
      <c r="B36" s="55" t="s">
        <v>182</v>
      </c>
      <c r="C36" s="30"/>
      <c r="D36" s="30"/>
      <c r="E36" s="174">
        <v>0.14000000000000001</v>
      </c>
      <c r="F36" s="30" t="s">
        <v>204</v>
      </c>
      <c r="G36" s="30"/>
      <c r="H36" s="30"/>
      <c r="I36" s="31"/>
    </row>
    <row r="37" spans="2:22" x14ac:dyDescent="0.25">
      <c r="B37" s="55" t="s">
        <v>183</v>
      </c>
      <c r="C37" s="30"/>
      <c r="D37" s="30"/>
      <c r="E37" s="174">
        <v>0.05</v>
      </c>
      <c r="F37" s="30" t="s">
        <v>204</v>
      </c>
      <c r="G37" s="30"/>
      <c r="H37" s="30"/>
      <c r="I37" s="31"/>
    </row>
    <row r="38" spans="2:22" x14ac:dyDescent="0.25">
      <c r="B38" s="55" t="s">
        <v>186</v>
      </c>
      <c r="C38" s="30"/>
      <c r="D38" s="30"/>
      <c r="E38" s="170">
        <v>2</v>
      </c>
      <c r="F38" s="30" t="s">
        <v>187</v>
      </c>
      <c r="G38" s="30"/>
      <c r="H38" s="30"/>
      <c r="I38" s="31"/>
    </row>
    <row r="39" spans="2:22" x14ac:dyDescent="0.25">
      <c r="B39" s="51" t="s">
        <v>188</v>
      </c>
      <c r="C39" s="171"/>
      <c r="D39" s="53"/>
      <c r="E39" s="150">
        <v>4</v>
      </c>
      <c r="F39" s="53" t="s">
        <v>187</v>
      </c>
      <c r="G39" s="53" t="s">
        <v>189</v>
      </c>
      <c r="H39" s="53"/>
      <c r="I39" s="79"/>
    </row>
    <row r="42" spans="2:22" x14ac:dyDescent="0.25">
      <c r="B42" t="s">
        <v>196</v>
      </c>
    </row>
    <row r="43" spans="2:22" x14ac:dyDescent="0.25">
      <c r="B43" s="16" t="s">
        <v>195</v>
      </c>
      <c r="C43" s="149">
        <v>3.5000000000000003E-2</v>
      </c>
    </row>
    <row r="44" spans="2:22" x14ac:dyDescent="0.25">
      <c r="B44" s="55" t="s">
        <v>194</v>
      </c>
      <c r="C44" s="41">
        <v>2.3E-2</v>
      </c>
    </row>
    <row r="45" spans="2:22" x14ac:dyDescent="0.25">
      <c r="B45" s="55" t="s">
        <v>13</v>
      </c>
      <c r="C45" s="41">
        <v>0.14799999999999999</v>
      </c>
    </row>
    <row r="46" spans="2:22" x14ac:dyDescent="0.25">
      <c r="B46" s="55" t="s">
        <v>14</v>
      </c>
      <c r="C46" s="41">
        <v>0.08</v>
      </c>
    </row>
    <row r="47" spans="2:22" x14ac:dyDescent="0.25">
      <c r="B47" s="55" t="s">
        <v>15</v>
      </c>
      <c r="C47" s="41">
        <v>3.5999999999999997E-2</v>
      </c>
    </row>
    <row r="48" spans="2:22" x14ac:dyDescent="0.25">
      <c r="B48" s="55" t="s">
        <v>16</v>
      </c>
      <c r="C48" s="41">
        <v>1.2999999999999999E-2</v>
      </c>
      <c r="V48" s="154"/>
    </row>
    <row r="49" spans="2:3" x14ac:dyDescent="0.25">
      <c r="B49" s="55" t="s">
        <v>17</v>
      </c>
      <c r="C49" s="41">
        <v>4.0000000000000001E-3</v>
      </c>
    </row>
    <row r="50" spans="2:3" x14ac:dyDescent="0.25">
      <c r="B50" s="55" t="s">
        <v>18</v>
      </c>
      <c r="C50" s="41">
        <v>2E-3</v>
      </c>
    </row>
    <row r="51" spans="2:3" x14ac:dyDescent="0.25">
      <c r="B51" s="55" t="s">
        <v>19</v>
      </c>
      <c r="C51" s="41">
        <v>2E-3</v>
      </c>
    </row>
    <row r="52" spans="2:3" x14ac:dyDescent="0.25">
      <c r="B52" s="56" t="s">
        <v>20</v>
      </c>
      <c r="C52" s="41">
        <v>2E-3</v>
      </c>
    </row>
    <row r="53" spans="2:3" x14ac:dyDescent="0.25">
      <c r="B53" s="57" t="s">
        <v>21</v>
      </c>
      <c r="C53" s="42">
        <v>0</v>
      </c>
    </row>
    <row r="55" spans="2:3" x14ac:dyDescent="0.25">
      <c r="B55" t="s">
        <v>209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$B$43:$B$53</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E76"/>
  <sheetViews>
    <sheetView tabSelected="1" zoomScaleNormal="100" workbookViewId="0">
      <selection activeCell="S8" sqref="S8"/>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9.28515625" bestFit="1" customWidth="1"/>
    <col min="6" max="6" width="10.140625" bestFit="1" customWidth="1"/>
    <col min="7" max="7" width="12.140625" bestFit="1" customWidth="1"/>
    <col min="8" max="11" width="10.7109375" bestFit="1" customWidth="1"/>
    <col min="12" max="12" width="10.5703125" customWidth="1"/>
    <col min="13" max="13" width="11.140625" bestFit="1" customWidth="1"/>
    <col min="14" max="14" width="11" customWidth="1"/>
    <col min="15" max="15" width="10.7109375" customWidth="1"/>
    <col min="16" max="16" width="11.5703125" customWidth="1"/>
    <col min="17" max="17" width="10.42578125" customWidth="1"/>
    <col min="18" max="23" width="10.7109375" bestFit="1" customWidth="1"/>
    <col min="24" max="24" width="11.140625" bestFit="1" customWidth="1"/>
    <col min="25" max="25" width="10.7109375" bestFit="1" customWidth="1"/>
    <col min="26" max="27" width="11.140625" bestFit="1" customWidth="1"/>
    <col min="28" max="28" width="11.140625" style="86" customWidth="1"/>
    <col min="29" max="29" width="11.140625" bestFit="1" customWidth="1"/>
    <col min="30" max="30" width="12.140625" bestFit="1" customWidth="1"/>
  </cols>
  <sheetData>
    <row r="1" spans="1:31" x14ac:dyDescent="0.25">
      <c r="A1" s="16" t="s">
        <v>0</v>
      </c>
      <c r="B1" s="219">
        <v>25634000</v>
      </c>
      <c r="C1" t="s">
        <v>153</v>
      </c>
    </row>
    <row r="2" spans="1:31" x14ac:dyDescent="0.25">
      <c r="A2" s="16" t="s">
        <v>228</v>
      </c>
      <c r="B2" s="221">
        <v>0.33</v>
      </c>
      <c r="C2" t="s">
        <v>227</v>
      </c>
    </row>
    <row r="3" spans="1:31" x14ac:dyDescent="0.25">
      <c r="A3" s="51" t="s">
        <v>231</v>
      </c>
      <c r="B3" s="220">
        <v>0.2</v>
      </c>
    </row>
    <row r="4" spans="1:31" x14ac:dyDescent="0.25">
      <c r="A4" s="55" t="s">
        <v>146</v>
      </c>
      <c r="B4" s="145">
        <v>2.6</v>
      </c>
      <c r="C4" s="80">
        <f>(B1/1000)*B4</f>
        <v>66648.400000000009</v>
      </c>
      <c r="F4" s="2"/>
      <c r="L4" t="s">
        <v>236</v>
      </c>
    </row>
    <row r="5" spans="1:31" x14ac:dyDescent="0.25">
      <c r="A5" s="55" t="s">
        <v>147</v>
      </c>
      <c r="B5" s="145">
        <v>7.4</v>
      </c>
      <c r="C5" s="77">
        <f>(B1/100000)*B5</f>
        <v>1896.9159999999999</v>
      </c>
      <c r="L5" s="228">
        <v>43911</v>
      </c>
      <c r="M5" s="229" t="s">
        <v>235</v>
      </c>
      <c r="N5" s="229"/>
      <c r="O5" s="228">
        <f>L5+14</f>
        <v>43925</v>
      </c>
    </row>
    <row r="6" spans="1:31" x14ac:dyDescent="0.25">
      <c r="A6" s="16" t="s">
        <v>178</v>
      </c>
      <c r="B6" s="146">
        <v>0.81</v>
      </c>
      <c r="C6" s="2"/>
      <c r="I6" s="224"/>
      <c r="M6" s="228">
        <v>43913</v>
      </c>
      <c r="N6" s="229" t="s">
        <v>232</v>
      </c>
      <c r="O6" s="229"/>
      <c r="P6" s="228">
        <f>M6+14</f>
        <v>43927</v>
      </c>
    </row>
    <row r="7" spans="1:31" x14ac:dyDescent="0.25">
      <c r="A7" s="55" t="s">
        <v>179</v>
      </c>
      <c r="B7" s="147">
        <v>0.14000000000000001</v>
      </c>
      <c r="C7" s="2"/>
      <c r="N7" s="230">
        <v>43915</v>
      </c>
      <c r="O7" s="229" t="s">
        <v>233</v>
      </c>
      <c r="P7" s="228">
        <f>N7+14</f>
        <v>43929</v>
      </c>
    </row>
    <row r="8" spans="1:31" x14ac:dyDescent="0.25">
      <c r="A8" s="51" t="s">
        <v>220</v>
      </c>
      <c r="B8" s="148">
        <v>0.05</v>
      </c>
      <c r="C8" s="2"/>
      <c r="K8" s="30"/>
      <c r="L8" s="30"/>
      <c r="M8" s="30"/>
      <c r="N8" s="228">
        <v>43920</v>
      </c>
      <c r="O8" s="229" t="s">
        <v>234</v>
      </c>
      <c r="P8" s="229"/>
      <c r="Q8" s="228">
        <f>N8+14</f>
        <v>43934</v>
      </c>
    </row>
    <row r="9" spans="1:31" x14ac:dyDescent="0.25">
      <c r="A9" s="51" t="s">
        <v>229</v>
      </c>
      <c r="B9" s="81">
        <v>3.5000000000000003E-2</v>
      </c>
      <c r="C9" s="2"/>
      <c r="J9" s="30"/>
      <c r="K9" s="30"/>
      <c r="L9" s="16" t="s">
        <v>166</v>
      </c>
      <c r="M9" s="21"/>
      <c r="N9" s="17"/>
    </row>
    <row r="10" spans="1:31" x14ac:dyDescent="0.25">
      <c r="A10" s="217" t="s">
        <v>213</v>
      </c>
      <c r="B10" s="218">
        <v>43855</v>
      </c>
      <c r="C10" s="2"/>
      <c r="J10" s="30"/>
      <c r="K10" s="30"/>
      <c r="L10" s="55" t="s">
        <v>154</v>
      </c>
      <c r="M10" s="30"/>
      <c r="N10" s="31"/>
    </row>
    <row r="11" spans="1:31" x14ac:dyDescent="0.25">
      <c r="A11" s="30"/>
      <c r="B11" s="65" t="s">
        <v>152</v>
      </c>
      <c r="C11" s="22"/>
      <c r="D11" s="30"/>
      <c r="E11" s="30"/>
      <c r="F11" s="30"/>
      <c r="G11" s="30"/>
      <c r="H11" s="30"/>
      <c r="I11" s="30"/>
      <c r="J11" s="30"/>
      <c r="K11" s="30"/>
      <c r="L11" s="55"/>
      <c r="M11" s="30" t="s">
        <v>155</v>
      </c>
      <c r="N11" s="31"/>
      <c r="O11" s="30"/>
      <c r="P11" s="30"/>
      <c r="Q11" s="30"/>
      <c r="R11" s="30"/>
      <c r="S11" s="30"/>
      <c r="T11" s="30"/>
      <c r="U11" s="30"/>
      <c r="V11" s="30"/>
      <c r="W11" s="30"/>
      <c r="X11" s="30"/>
      <c r="AB11" s="211"/>
    </row>
    <row r="12" spans="1:31" x14ac:dyDescent="0.25">
      <c r="A12" s="69" t="s">
        <v>134</v>
      </c>
      <c r="B12" s="97">
        <v>43892</v>
      </c>
      <c r="C12" s="97">
        <v>43908</v>
      </c>
      <c r="D12" s="97">
        <v>43914</v>
      </c>
      <c r="E12" s="97"/>
      <c r="F12" s="30"/>
      <c r="G12" s="61" t="s">
        <v>167</v>
      </c>
      <c r="H12" s="30"/>
      <c r="I12" s="30"/>
      <c r="J12" s="30"/>
      <c r="K12" s="30"/>
      <c r="L12" s="55"/>
      <c r="M12" s="30"/>
      <c r="N12" s="31" t="s">
        <v>156</v>
      </c>
      <c r="O12" s="30"/>
      <c r="P12" s="30"/>
      <c r="Q12" s="118" t="s">
        <v>132</v>
      </c>
      <c r="R12" s="30"/>
      <c r="S12" s="30"/>
      <c r="U12" s="30"/>
      <c r="V12" s="30"/>
      <c r="W12" s="30"/>
      <c r="X12" s="30"/>
      <c r="Y12" t="s">
        <v>230</v>
      </c>
    </row>
    <row r="13" spans="1:31" x14ac:dyDescent="0.25">
      <c r="A13" s="16" t="s">
        <v>12</v>
      </c>
      <c r="B13" s="226">
        <v>4</v>
      </c>
      <c r="C13" s="227">
        <v>3</v>
      </c>
      <c r="D13" s="108">
        <v>5</v>
      </c>
      <c r="E13" s="21"/>
      <c r="F13" s="21"/>
      <c r="G13" s="200">
        <v>43892</v>
      </c>
      <c r="H13" s="201">
        <f>G13+$B$13</f>
        <v>43896</v>
      </c>
      <c r="I13" s="201">
        <f>H13+$B$13</f>
        <v>43900</v>
      </c>
      <c r="J13" s="201">
        <f>I13+$B$13</f>
        <v>43904</v>
      </c>
      <c r="K13" s="201">
        <f>J13+$B$13</f>
        <v>43908</v>
      </c>
      <c r="L13" s="202">
        <f t="shared" ref="L13:M13" si="0">K13+$C$13</f>
        <v>43911</v>
      </c>
      <c r="M13" s="203">
        <f t="shared" si="0"/>
        <v>43914</v>
      </c>
      <c r="N13" s="103">
        <f>M13+$D$13</f>
        <v>43919</v>
      </c>
      <c r="O13" s="102">
        <f>N13+$D$13</f>
        <v>43924</v>
      </c>
      <c r="P13" s="102">
        <f>O13+$D$13</f>
        <v>43929</v>
      </c>
      <c r="Q13" s="204">
        <f>P13+$D$13</f>
        <v>43934</v>
      </c>
      <c r="R13" s="204">
        <f>Q13+$D$13</f>
        <v>43939</v>
      </c>
      <c r="S13" s="102">
        <f>R13+$D$13</f>
        <v>43944</v>
      </c>
      <c r="T13" s="102">
        <f>S13+$D$13</f>
        <v>43949</v>
      </c>
      <c r="U13" s="102">
        <f>T13+$D$13</f>
        <v>43954</v>
      </c>
      <c r="V13" s="102">
        <f>U13+$D$13</f>
        <v>43959</v>
      </c>
      <c r="W13" s="102">
        <f>V13+$D$13</f>
        <v>43964</v>
      </c>
      <c r="X13" s="102">
        <f>W13+$D$13</f>
        <v>43969</v>
      </c>
      <c r="Y13" s="102">
        <f>X13+$D$13</f>
        <v>43974</v>
      </c>
      <c r="Z13" s="205">
        <f>Y13+$D$13</f>
        <v>43979</v>
      </c>
      <c r="AA13" s="212">
        <f>Z13+$D$13</f>
        <v>43984</v>
      </c>
      <c r="AB13" s="216">
        <f>AA13+(7*8)</f>
        <v>44040</v>
      </c>
      <c r="AC13" s="87"/>
      <c r="AD13" s="87"/>
      <c r="AE13" s="86"/>
    </row>
    <row r="14" spans="1:31" x14ac:dyDescent="0.25">
      <c r="A14" s="55" t="s">
        <v>218</v>
      </c>
      <c r="B14" s="30"/>
      <c r="C14" s="30"/>
      <c r="D14" s="30"/>
      <c r="E14" s="30"/>
      <c r="F14" s="30"/>
      <c r="G14" s="117">
        <v>31.25</v>
      </c>
      <c r="H14" s="33">
        <f>G14*2</f>
        <v>62.5</v>
      </c>
      <c r="I14" s="33">
        <f t="shared" ref="I14:W14" si="1">H14*2</f>
        <v>125</v>
      </c>
      <c r="J14" s="33">
        <f t="shared" si="1"/>
        <v>250</v>
      </c>
      <c r="K14" s="33">
        <f t="shared" si="1"/>
        <v>500</v>
      </c>
      <c r="L14" s="32">
        <f t="shared" si="1"/>
        <v>1000</v>
      </c>
      <c r="M14" s="33">
        <f t="shared" si="1"/>
        <v>2000</v>
      </c>
      <c r="N14" s="33">
        <f t="shared" si="1"/>
        <v>4000</v>
      </c>
      <c r="O14" s="32">
        <f t="shared" si="1"/>
        <v>8000</v>
      </c>
      <c r="P14" s="76">
        <f>O14*2</f>
        <v>16000</v>
      </c>
      <c r="Q14" s="33">
        <f>P14*2</f>
        <v>32000</v>
      </c>
      <c r="R14" s="32">
        <f>Q14*2</f>
        <v>64000</v>
      </c>
      <c r="S14" s="33">
        <f>R14*2</f>
        <v>128000</v>
      </c>
      <c r="T14" s="33">
        <f t="shared" si="1"/>
        <v>256000</v>
      </c>
      <c r="U14" s="33">
        <f t="shared" si="1"/>
        <v>512000</v>
      </c>
      <c r="V14" s="33">
        <f t="shared" si="1"/>
        <v>1024000</v>
      </c>
      <c r="W14" s="33">
        <f t="shared" si="1"/>
        <v>2048000</v>
      </c>
      <c r="X14" s="33">
        <f>W14*2</f>
        <v>4096000</v>
      </c>
      <c r="Y14" s="138">
        <f>X14*2</f>
        <v>8192000</v>
      </c>
      <c r="Z14" s="47">
        <f>Y14*2</f>
        <v>16384000</v>
      </c>
      <c r="AA14" s="138">
        <f>B1</f>
        <v>25634000</v>
      </c>
      <c r="AB14" s="213">
        <f>B1*AB15</f>
        <v>5126800</v>
      </c>
      <c r="AC14" s="59"/>
      <c r="AD14" s="59"/>
      <c r="AE14" s="86"/>
    </row>
    <row r="15" spans="1:31" x14ac:dyDescent="0.25">
      <c r="A15" s="55" t="s">
        <v>219</v>
      </c>
      <c r="B15" s="30"/>
      <c r="C15" s="30"/>
      <c r="D15" s="30"/>
      <c r="E15" s="30"/>
      <c r="F15" s="30"/>
      <c r="G15" s="82">
        <f t="shared" ref="G15:W15" si="2">G14/$B$1</f>
        <v>1.2190840290239525E-6</v>
      </c>
      <c r="H15" s="83">
        <f t="shared" si="2"/>
        <v>2.438168058047905E-6</v>
      </c>
      <c r="I15" s="83">
        <f t="shared" si="2"/>
        <v>4.87633611609581E-6</v>
      </c>
      <c r="J15" s="50">
        <f t="shared" si="2"/>
        <v>9.7526722321916199E-6</v>
      </c>
      <c r="K15" s="50">
        <f t="shared" si="2"/>
        <v>1.950534446438324E-5</v>
      </c>
      <c r="L15" s="119">
        <f t="shared" si="2"/>
        <v>3.901068892876648E-5</v>
      </c>
      <c r="M15" s="50">
        <f t="shared" si="2"/>
        <v>7.8021377857532959E-5</v>
      </c>
      <c r="N15" s="50">
        <f t="shared" si="2"/>
        <v>1.5604275571506592E-4</v>
      </c>
      <c r="O15" s="18">
        <f t="shared" si="2"/>
        <v>3.1208551143013184E-4</v>
      </c>
      <c r="P15" s="222">
        <f>P14/$B$1</f>
        <v>6.2417102286026367E-4</v>
      </c>
      <c r="Q15" s="28">
        <f>Q14/$B$1</f>
        <v>1.2483420457205273E-3</v>
      </c>
      <c r="R15" s="18">
        <f>R14/$B$1</f>
        <v>2.4966840914410547E-3</v>
      </c>
      <c r="S15" s="29">
        <f>S14/$B$1</f>
        <v>4.9933681828821094E-3</v>
      </c>
      <c r="T15" s="92">
        <f t="shared" si="2"/>
        <v>9.9867363657642188E-3</v>
      </c>
      <c r="U15" s="92">
        <f t="shared" si="2"/>
        <v>1.9973472731528438E-2</v>
      </c>
      <c r="V15" s="92">
        <f t="shared" si="2"/>
        <v>3.9946945463056875E-2</v>
      </c>
      <c r="W15" s="92">
        <f t="shared" si="2"/>
        <v>7.989389092611375E-2</v>
      </c>
      <c r="X15" s="92">
        <f>X14/$B$1</f>
        <v>0.1597877818522275</v>
      </c>
      <c r="Y15" s="206">
        <f>Y14/$B$1</f>
        <v>0.319575563704455</v>
      </c>
      <c r="Z15" s="93">
        <f>Z14/$B$1</f>
        <v>0.63915112740891</v>
      </c>
      <c r="AA15" s="206">
        <f>AA14/$B$1</f>
        <v>1</v>
      </c>
      <c r="AB15" s="214">
        <f>B3</f>
        <v>0.2</v>
      </c>
      <c r="AC15" s="39"/>
      <c r="AD15" s="39"/>
      <c r="AE15" s="86"/>
    </row>
    <row r="16" spans="1:31" x14ac:dyDescent="0.25">
      <c r="A16" s="55" t="s">
        <v>226</v>
      </c>
      <c r="B16" s="30"/>
      <c r="C16" s="30"/>
      <c r="D16" s="30"/>
      <c r="E16" s="30"/>
      <c r="F16" s="30"/>
      <c r="G16" s="62">
        <f>G14/$B$2</f>
        <v>94.696969696969688</v>
      </c>
      <c r="H16" s="22">
        <f t="shared" ref="H16:Z16" si="3">H14/$B$2</f>
        <v>189.39393939393938</v>
      </c>
      <c r="I16" s="22">
        <f t="shared" si="3"/>
        <v>378.78787878787875</v>
      </c>
      <c r="J16" s="22">
        <f t="shared" si="3"/>
        <v>757.57575757575751</v>
      </c>
      <c r="K16" s="22">
        <f t="shared" si="3"/>
        <v>1515.151515151515</v>
      </c>
      <c r="L16" s="62">
        <f t="shared" si="3"/>
        <v>3030.30303030303</v>
      </c>
      <c r="M16" s="22">
        <f t="shared" si="3"/>
        <v>6060.6060606060601</v>
      </c>
      <c r="N16" s="22">
        <f t="shared" si="3"/>
        <v>12121.21212121212</v>
      </c>
      <c r="O16" s="62">
        <f t="shared" si="3"/>
        <v>24242.42424242424</v>
      </c>
      <c r="P16" s="105">
        <f t="shared" si="3"/>
        <v>48484.84848484848</v>
      </c>
      <c r="Q16" s="22">
        <f t="shared" si="3"/>
        <v>96969.696969696961</v>
      </c>
      <c r="R16" s="62">
        <f t="shared" si="3"/>
        <v>193939.39393939392</v>
      </c>
      <c r="S16" s="22">
        <f t="shared" si="3"/>
        <v>387878.78787878784</v>
      </c>
      <c r="T16" s="22">
        <f t="shared" si="3"/>
        <v>775757.57575757569</v>
      </c>
      <c r="U16" s="22">
        <f t="shared" si="3"/>
        <v>1551515.1515151514</v>
      </c>
      <c r="V16" s="22">
        <f t="shared" si="3"/>
        <v>3103030.3030303027</v>
      </c>
      <c r="W16" s="22">
        <f t="shared" si="3"/>
        <v>6206060.6060606055</v>
      </c>
      <c r="X16" s="22">
        <f t="shared" si="3"/>
        <v>12412121.212121211</v>
      </c>
      <c r="Y16" s="101">
        <f t="shared" ref="Y16" si="4">Y14/$B$2</f>
        <v>24824242.424242422</v>
      </c>
      <c r="Z16" s="104">
        <f>B1</f>
        <v>25634000</v>
      </c>
      <c r="AA16" s="101"/>
      <c r="AB16" s="213">
        <f>($B$1*$B$3)/$B$2</f>
        <v>15535757.575757574</v>
      </c>
      <c r="AC16" s="39"/>
      <c r="AD16" s="39"/>
      <c r="AE16" s="86"/>
    </row>
    <row r="17" spans="1:31" x14ac:dyDescent="0.25">
      <c r="A17" s="55" t="s">
        <v>225</v>
      </c>
      <c r="B17" s="30"/>
      <c r="C17" s="30"/>
      <c r="D17" s="30"/>
      <c r="E17" s="30"/>
      <c r="F17" s="30"/>
      <c r="G17" s="82">
        <f>G16/$B$1</f>
        <v>3.6941940273453105E-6</v>
      </c>
      <c r="H17" s="50">
        <f t="shared" ref="H17:Z17" si="5">H16/$B$1</f>
        <v>7.388388054690621E-6</v>
      </c>
      <c r="I17" s="50">
        <f t="shared" si="5"/>
        <v>1.4776776109381242E-5</v>
      </c>
      <c r="J17" s="50">
        <f t="shared" si="5"/>
        <v>2.9553552218762484E-5</v>
      </c>
      <c r="K17" s="50">
        <f t="shared" si="5"/>
        <v>5.9107104437524968E-5</v>
      </c>
      <c r="L17" s="18">
        <f t="shared" si="5"/>
        <v>1.1821420887504994E-4</v>
      </c>
      <c r="M17" s="28">
        <f t="shared" si="5"/>
        <v>2.3642841775009987E-4</v>
      </c>
      <c r="N17" s="28">
        <f t="shared" si="5"/>
        <v>4.7285683550019975E-4</v>
      </c>
      <c r="O17" s="20">
        <f t="shared" si="5"/>
        <v>9.4571367100039949E-4</v>
      </c>
      <c r="P17" s="223">
        <f t="shared" si="5"/>
        <v>1.891427342000799E-3</v>
      </c>
      <c r="Q17" s="29">
        <f t="shared" si="5"/>
        <v>3.782854684001598E-3</v>
      </c>
      <c r="R17" s="20">
        <f t="shared" si="5"/>
        <v>7.5657093680031959E-3</v>
      </c>
      <c r="S17" s="29">
        <f t="shared" si="5"/>
        <v>1.5131418736006392E-2</v>
      </c>
      <c r="T17" s="92">
        <f t="shared" si="5"/>
        <v>3.0262837472012784E-2</v>
      </c>
      <c r="U17" s="92">
        <f t="shared" si="5"/>
        <v>6.0525674944025568E-2</v>
      </c>
      <c r="V17" s="92">
        <f t="shared" si="5"/>
        <v>0.12105134988805114</v>
      </c>
      <c r="W17" s="92">
        <f t="shared" si="5"/>
        <v>0.24210269977610227</v>
      </c>
      <c r="X17" s="92">
        <f t="shared" si="5"/>
        <v>0.48420539955220454</v>
      </c>
      <c r="Y17" s="206">
        <f t="shared" si="5"/>
        <v>0.96841079910440908</v>
      </c>
      <c r="Z17" s="93">
        <f>Z16/$B$1</f>
        <v>1</v>
      </c>
      <c r="AA17" s="206"/>
      <c r="AB17" s="214">
        <f>AB16/B1</f>
        <v>0.60606060606060597</v>
      </c>
      <c r="AC17" s="39"/>
      <c r="AD17" s="39"/>
      <c r="AE17" s="86"/>
    </row>
    <row r="18" spans="1:31" x14ac:dyDescent="0.25">
      <c r="A18" s="55" t="s">
        <v>210</v>
      </c>
      <c r="B18" s="30"/>
      <c r="C18" s="30"/>
      <c r="D18" s="30"/>
      <c r="E18" s="30"/>
      <c r="F18" s="30"/>
      <c r="G18" s="100"/>
      <c r="H18" s="101"/>
      <c r="I18" s="101"/>
      <c r="J18" s="101"/>
      <c r="K18" s="106">
        <f>$B$6*HLOOKUP((K13-14),$G$13:$AA$14,2,TRUE)</f>
        <v>25.3125</v>
      </c>
      <c r="L18" s="107">
        <f>$B$6*HLOOKUP((L13-14),$G$13:$AA$14,2,TRUE)</f>
        <v>50.625</v>
      </c>
      <c r="M18" s="106">
        <f>$B$6*HLOOKUP((M13-14),$G$13:$AA$14,2,TRUE)</f>
        <v>101.25</v>
      </c>
      <c r="N18" s="106">
        <f>$B$6*HLOOKUP((N13-14),$G$13:$AA$14,2,TRUE)</f>
        <v>202.5</v>
      </c>
      <c r="O18" s="107">
        <f>$B$6*HLOOKUP((O13-14),$G$13:$AA$14,2,TRUE)</f>
        <v>405</v>
      </c>
      <c r="P18" s="120">
        <f>$B$6*HLOOKUP((P13-14),$G$13:$AA$14,2,TRUE)</f>
        <v>1620</v>
      </c>
      <c r="Q18" s="106">
        <f>$B$6*HLOOKUP((Q13-14),$G$13:$AA$14,2,TRUE)</f>
        <v>3240</v>
      </c>
      <c r="R18" s="107">
        <f>$B$6*HLOOKUP((R13-14),$G$13:$AA$14,2,TRUE)</f>
        <v>6480</v>
      </c>
      <c r="S18" s="106">
        <f>$B$6*HLOOKUP((S13-14),$G$13:$AA$14,2,TRUE)</f>
        <v>12960</v>
      </c>
      <c r="T18" s="106">
        <f>$B$6*HLOOKUP((T13-14),$G$13:$AA$14,2,TRUE)</f>
        <v>25920</v>
      </c>
      <c r="U18" s="106">
        <f>$B$6*HLOOKUP((U13-14),$G$13:$AA$14,2,TRUE)</f>
        <v>51840</v>
      </c>
      <c r="V18" s="106">
        <f>$B$6*HLOOKUP((V13-14),$G$13:$AA$14,2,TRUE)</f>
        <v>103680</v>
      </c>
      <c r="W18" s="106">
        <f>$B$6*HLOOKUP((W13-14),$G$13:$AA$14,2,TRUE)</f>
        <v>207360</v>
      </c>
      <c r="X18" s="106">
        <f>$B$6*HLOOKUP((X13-14),$G$13:$AA$14,2,TRUE)</f>
        <v>414720</v>
      </c>
      <c r="Y18" s="106">
        <f>$B$6*HLOOKUP((Y13-14),$G$13:$AA$14,2,TRUE)</f>
        <v>829440</v>
      </c>
      <c r="Z18" s="120">
        <f>$B$6*HLOOKUP((Z13-14),$G$13:$AA$14,2,TRUE)</f>
        <v>1658880</v>
      </c>
      <c r="AA18" s="101">
        <f>$B$6*HLOOKUP((AA13-14),$G$13:$AA$14,2,TRUE)</f>
        <v>3317760</v>
      </c>
      <c r="AB18" s="213">
        <f>AB14*B6</f>
        <v>4152708.0000000005</v>
      </c>
      <c r="AC18" s="39"/>
      <c r="AD18" s="39"/>
      <c r="AE18" s="86"/>
    </row>
    <row r="19" spans="1:31" x14ac:dyDescent="0.25">
      <c r="A19" s="55" t="s">
        <v>142</v>
      </c>
      <c r="B19" s="30"/>
      <c r="C19" s="30"/>
      <c r="D19" s="30"/>
      <c r="E19" s="30"/>
      <c r="F19" s="30"/>
      <c r="G19" s="23">
        <f>G14</f>
        <v>31.25</v>
      </c>
      <c r="H19" s="24">
        <f>H14</f>
        <v>62.5</v>
      </c>
      <c r="I19" s="24">
        <f>I14</f>
        <v>125</v>
      </c>
      <c r="J19" s="24">
        <f>J14</f>
        <v>250</v>
      </c>
      <c r="K19" s="24">
        <f>K14-K18-(K20-K21)-(K22-K23)</f>
        <v>473.125</v>
      </c>
      <c r="L19" s="23">
        <f t="shared" ref="L19:AA19" si="6">L14-L18-(L20-L21)-(L22-L23)</f>
        <v>946.25</v>
      </c>
      <c r="M19" s="24">
        <f t="shared" si="6"/>
        <v>1892.5</v>
      </c>
      <c r="N19" s="24">
        <f t="shared" si="6"/>
        <v>3785</v>
      </c>
      <c r="O19" s="23">
        <f t="shared" si="6"/>
        <v>7570</v>
      </c>
      <c r="P19" s="77">
        <f t="shared" si="6"/>
        <v>14280</v>
      </c>
      <c r="Q19" s="24">
        <f t="shared" si="6"/>
        <v>28560</v>
      </c>
      <c r="R19" s="23">
        <f t="shared" si="6"/>
        <v>57120</v>
      </c>
      <c r="S19" s="24">
        <f t="shared" si="6"/>
        <v>114240</v>
      </c>
      <c r="T19" s="24">
        <f t="shared" si="6"/>
        <v>228480</v>
      </c>
      <c r="U19" s="24">
        <f t="shared" si="6"/>
        <v>456909.375</v>
      </c>
      <c r="V19" s="24">
        <f t="shared" si="6"/>
        <v>913818.75</v>
      </c>
      <c r="W19" s="24">
        <f t="shared" si="6"/>
        <v>1827637.5</v>
      </c>
      <c r="X19" s="24">
        <f t="shared" si="6"/>
        <v>3655275</v>
      </c>
      <c r="Y19" s="207">
        <f t="shared" si="6"/>
        <v>7309740</v>
      </c>
      <c r="Z19" s="210">
        <f t="shared" si="6"/>
        <v>14619480</v>
      </c>
      <c r="AA19" s="115">
        <f t="shared" si="6"/>
        <v>22104960</v>
      </c>
      <c r="AB19" s="213"/>
      <c r="AC19" s="59"/>
      <c r="AD19" s="59"/>
      <c r="AE19" s="86"/>
    </row>
    <row r="20" spans="1:31" x14ac:dyDescent="0.25">
      <c r="A20" s="78" t="s">
        <v>221</v>
      </c>
      <c r="B20" s="21"/>
      <c r="C20" s="21"/>
      <c r="D20" s="21"/>
      <c r="E20" s="21"/>
      <c r="F20" s="21"/>
      <c r="G20" s="100"/>
      <c r="H20" s="101"/>
      <c r="I20" s="22">
        <f>($B$7+$B$8)*HLOOKUP((I13-7),$G$13:$AA$14,2,TRUE)</f>
        <v>5.9375</v>
      </c>
      <c r="J20" s="22">
        <f>($B$7+$B$8)*HLOOKUP((J13-7),$G$13:$AA$14,2,TRUE)</f>
        <v>11.875</v>
      </c>
      <c r="K20" s="22">
        <f>($B$7+$B$8)*HLOOKUP((K13-7),$G$13:$AA$14,2,TRUE)</f>
        <v>23.75</v>
      </c>
      <c r="L20" s="62">
        <f>($B$7+$B$8)*HLOOKUP((L13-7),$G$13:$AA$14,2,TRUE)</f>
        <v>47.5</v>
      </c>
      <c r="M20" s="22">
        <f>($B$7+$B$8)*HLOOKUP((M13-7),$G$13:$AA$14,2,TRUE)</f>
        <v>47.5</v>
      </c>
      <c r="N20" s="105">
        <f>($B$7+$B$8)*HLOOKUP((N13-7),$G$13:$AA$14,2,TRUE)</f>
        <v>190</v>
      </c>
      <c r="O20" s="22">
        <f>($B$7+$B$8)*HLOOKUP((O13-7),$G$13:$AA$14,2,TRUE)</f>
        <v>380</v>
      </c>
      <c r="P20" s="22">
        <f>($B$7+$B$8)*HLOOKUP((P13-7),$G$13:$AA$14,2,TRUE)</f>
        <v>760</v>
      </c>
      <c r="Q20" s="25">
        <f>($B$7+$B$8)*HLOOKUP((Q13-7),$G$13:$AA$14,2,TRUE)</f>
        <v>1520</v>
      </c>
      <c r="R20" s="62">
        <f>($B$7+$B$8)*HLOOKUP((R13-7),$G$13:$AA$14,2,TRUE)</f>
        <v>3040</v>
      </c>
      <c r="S20" s="22">
        <f>($B$7+$B$8)*HLOOKUP((S13-7),$G$13:$AA$14,2,TRUE)</f>
        <v>6080</v>
      </c>
      <c r="T20" s="22">
        <f>($B$7+$B$8)*HLOOKUP((T13-7),$G$13:$AA$14,2,TRUE)</f>
        <v>12160</v>
      </c>
      <c r="U20" s="22">
        <f>($B$7+$B$8)*HLOOKUP((U13-7),$G$13:$AA$14,2,TRUE)</f>
        <v>24320</v>
      </c>
      <c r="V20" s="22">
        <f>($B$7+$B$8)*HLOOKUP((V13-7),$G$13:$AA$14,2,TRUE)</f>
        <v>48640</v>
      </c>
      <c r="W20" s="22">
        <f>($B$7+$B$8)*HLOOKUP((W13-7),$G$13:$AA$14,2,TRUE)</f>
        <v>97280</v>
      </c>
      <c r="X20" s="22">
        <f>($B$7+$B$8)*HLOOKUP((X13-7),$G$13:$AA$14,2,TRUE)</f>
        <v>194560</v>
      </c>
      <c r="Y20" s="22">
        <f>($B$7+$B$8)*HLOOKUP((Y13-7),$G$13:$AA$14,2,TRUE)</f>
        <v>389120</v>
      </c>
      <c r="Z20" s="105">
        <f>($B$7+$B$8)*HLOOKUP((Z13-7),$G$13:$AA$14,2,TRUE)</f>
        <v>778240</v>
      </c>
      <c r="AA20" s="116">
        <f>($B$7+$B$8)*HLOOKUP((AA13-7),$G$13:$AA$14,2,TRUE)</f>
        <v>1556480</v>
      </c>
      <c r="AB20" s="213">
        <f>AB14*(B7+B8)</f>
        <v>974092</v>
      </c>
      <c r="AC20" s="59"/>
      <c r="AD20" s="59"/>
      <c r="AE20" s="86"/>
    </row>
    <row r="21" spans="1:31" x14ac:dyDescent="0.25">
      <c r="A21" s="51" t="s">
        <v>222</v>
      </c>
      <c r="B21" s="52"/>
      <c r="C21" s="53"/>
      <c r="D21" s="53"/>
      <c r="E21" s="53"/>
      <c r="F21" s="53"/>
      <c r="G21" s="100"/>
      <c r="H21" s="101"/>
      <c r="I21" s="22">
        <f t="shared" ref="I21:J21" si="7">I20</f>
        <v>5.9375</v>
      </c>
      <c r="J21" s="22">
        <f t="shared" si="7"/>
        <v>11.875</v>
      </c>
      <c r="K21" s="22">
        <f>K20-K23</f>
        <v>22.1875</v>
      </c>
      <c r="L21" s="23">
        <f t="shared" ref="L21:O21" si="8">L20-L23</f>
        <v>44.375</v>
      </c>
      <c r="M21" s="24">
        <f t="shared" si="8"/>
        <v>41.25</v>
      </c>
      <c r="N21" s="77">
        <f>N20-N23</f>
        <v>177.5</v>
      </c>
      <c r="O21" s="22">
        <f t="shared" si="8"/>
        <v>355</v>
      </c>
      <c r="P21" s="22">
        <f>P20-P23</f>
        <v>661.09375</v>
      </c>
      <c r="Q21" s="23">
        <f>Q20-HLOOKUP((Q13-42),$G$13:$AA$20,6,TRUE)-Q23</f>
        <v>1321.09375</v>
      </c>
      <c r="R21" s="23">
        <f t="shared" ref="R21:AA21" si="9">R20-HLOOKUP((R13-42),$G$13:$AA$20,6,TRUE)-R23</f>
        <v>2646.5625</v>
      </c>
      <c r="S21" s="24">
        <f t="shared" si="9"/>
        <v>5294.6875</v>
      </c>
      <c r="T21" s="24">
        <f t="shared" si="9"/>
        <v>10624.375</v>
      </c>
      <c r="U21" s="24">
        <f t="shared" si="9"/>
        <v>21186.875</v>
      </c>
      <c r="V21" s="54">
        <f t="shared" si="9"/>
        <v>42326.25</v>
      </c>
      <c r="W21" s="24">
        <f t="shared" si="9"/>
        <v>84747.5</v>
      </c>
      <c r="X21" s="24">
        <f t="shared" si="9"/>
        <v>169495</v>
      </c>
      <c r="Y21" s="24">
        <f t="shared" si="9"/>
        <v>338180</v>
      </c>
      <c r="Z21" s="77">
        <f t="shared" si="9"/>
        <v>676360</v>
      </c>
      <c r="AA21" s="114">
        <f t="shared" si="9"/>
        <v>1352720</v>
      </c>
      <c r="AB21" s="213"/>
      <c r="AC21" s="59"/>
      <c r="AD21" s="59"/>
      <c r="AE21" s="86"/>
    </row>
    <row r="22" spans="1:31" x14ac:dyDescent="0.25">
      <c r="A22" s="63" t="s">
        <v>223</v>
      </c>
      <c r="C22" s="21"/>
      <c r="D22" s="21"/>
      <c r="E22" s="21"/>
      <c r="F22" s="21"/>
      <c r="G22" s="116"/>
      <c r="H22" s="138"/>
      <c r="I22" s="138"/>
      <c r="J22" s="138"/>
      <c r="K22" s="26">
        <f>$B$8*HLOOKUP((K13-14),$G$13:$AA$14,2,TRUE)</f>
        <v>1.5625</v>
      </c>
      <c r="L22" s="25">
        <f>$B$8*HLOOKUP((L13-14),$G$13:$AA$14,2,TRUE)</f>
        <v>3.125</v>
      </c>
      <c r="M22" s="26">
        <f>$B$8*HLOOKUP((M13-14),$G$13:$AA$14,2,TRUE)</f>
        <v>6.25</v>
      </c>
      <c r="N22" s="80">
        <f>$B$8*HLOOKUP((N13-14),$G$13:$AA$14,2,TRUE)</f>
        <v>12.5</v>
      </c>
      <c r="O22" s="26">
        <f>$B$8*HLOOKUP((O13-14),$G$13:$AA$14,2,TRUE)</f>
        <v>25</v>
      </c>
      <c r="P22" s="26">
        <f>$B$8*HLOOKUP((P13-14),$G$13:$AA$14,2,TRUE)</f>
        <v>100</v>
      </c>
      <c r="Q22" s="25">
        <f>$B$8*HLOOKUP((Q13-14),$G$13:$AA$14,2,TRUE)</f>
        <v>200</v>
      </c>
      <c r="R22" s="25">
        <f>$B$8*HLOOKUP((R13-14),$G$13:$AA$14,2,TRUE)</f>
        <v>400</v>
      </c>
      <c r="S22" s="26">
        <f>$B$8*HLOOKUP((S13-14),$G$13:$AA$14,2,TRUE)</f>
        <v>800</v>
      </c>
      <c r="T22" s="26">
        <f>$B$8*HLOOKUP((T13-14),$G$13:$AA$14,2,TRUE)</f>
        <v>1600</v>
      </c>
      <c r="U22" s="26">
        <f>$B$8*HLOOKUP((U13-14),$G$13:$AA$14,2,TRUE)</f>
        <v>3200</v>
      </c>
      <c r="V22" s="26">
        <f>$B$8*HLOOKUP((V13-14),$G$13:$AA$14,2,TRUE)</f>
        <v>6400</v>
      </c>
      <c r="W22" s="26">
        <f>$B$8*HLOOKUP((W13-14),$G$13:$AA$14,2,TRUE)</f>
        <v>12800</v>
      </c>
      <c r="X22" s="26">
        <f>$B$8*HLOOKUP((X13-14),$G$13:$AA$14,2,TRUE)</f>
        <v>25600</v>
      </c>
      <c r="Y22" s="26">
        <f>$B$8*HLOOKUP((Y13-14),$G$13:$AA$14,2,TRUE)</f>
        <v>51200</v>
      </c>
      <c r="Z22" s="80">
        <f>$B$8*HLOOKUP((Z13-14),$G$13:$AA$14,2,TRUE)</f>
        <v>102400</v>
      </c>
      <c r="AA22" s="138">
        <f>$B$8*HLOOKUP((AA13-14),$G$13:$AA$14,2,TRUE)</f>
        <v>204800</v>
      </c>
      <c r="AB22" s="213">
        <f>AB14*B8</f>
        <v>256340</v>
      </c>
      <c r="AC22" s="59"/>
      <c r="AD22" s="59"/>
      <c r="AE22" s="86"/>
    </row>
    <row r="23" spans="1:31" x14ac:dyDescent="0.25">
      <c r="A23" s="55" t="s">
        <v>224</v>
      </c>
      <c r="B23" s="29"/>
      <c r="C23" s="30"/>
      <c r="D23" s="30"/>
      <c r="E23" s="30"/>
      <c r="F23" s="30"/>
      <c r="G23" s="100"/>
      <c r="H23" s="101"/>
      <c r="I23" s="101"/>
      <c r="J23" s="101"/>
      <c r="K23" s="22">
        <f>K22</f>
        <v>1.5625</v>
      </c>
      <c r="L23" s="62">
        <f t="shared" ref="L23:O23" si="10">L22</f>
        <v>3.125</v>
      </c>
      <c r="M23" s="22">
        <f t="shared" si="10"/>
        <v>6.25</v>
      </c>
      <c r="N23" s="105">
        <f t="shared" si="10"/>
        <v>12.5</v>
      </c>
      <c r="O23" s="22">
        <f t="shared" si="10"/>
        <v>25</v>
      </c>
      <c r="P23" s="22">
        <f>P22-P25</f>
        <v>98.90625</v>
      </c>
      <c r="Q23" s="208">
        <f>Q22-HLOOKUP((Q13-42),$G$13:$AA$22,8,TRUE)-(Q25-P25)</f>
        <v>198.90625</v>
      </c>
      <c r="R23" s="209">
        <f>R22-HLOOKUP((R13-42),$G$13:$AA$22,8,TRUE)-(R25-Q25)</f>
        <v>393.4375</v>
      </c>
      <c r="S23" s="207">
        <f>S22-HLOOKUP((S13-42),$G$13:$AA$22,8,TRUE)-(S25-R25)</f>
        <v>785.3125</v>
      </c>
      <c r="T23" s="54">
        <f>T22-HLOOKUP((T13-42),$G$13:$AA$22,8,TRUE)-(T25-S25)</f>
        <v>1535.625</v>
      </c>
      <c r="U23" s="207">
        <f>U22-HLOOKUP((U13-42),$G$13:$AA$22,8,TRUE)-(U25-T25)</f>
        <v>3082.5</v>
      </c>
      <c r="V23" s="207">
        <f>V22-HLOOKUP((V13-42),$G$13:$AA$22,8,TRUE)-(V25-U25)</f>
        <v>6212.5</v>
      </c>
      <c r="W23" s="207">
        <f>W22-HLOOKUP((W13-42),$G$13:$AA$22,8,TRUE)-(W25-V25)</f>
        <v>12330</v>
      </c>
      <c r="X23" s="207">
        <f>X22-HLOOKUP((X13-42),$G$13:$AA$22,8,TRUE)-(X25-W25)</f>
        <v>24660</v>
      </c>
      <c r="Y23" s="207">
        <f>Y22-HLOOKUP((Y13-42),$G$13:$AA$22,8,TRUE)-(Y25-X25)</f>
        <v>49320</v>
      </c>
      <c r="Z23" s="210">
        <f>Z22-HLOOKUP((Z13-42),$G$13:$AA$22,8,TRUE)-(Z25-Y25)</f>
        <v>98640</v>
      </c>
      <c r="AA23" s="115">
        <f>AA22-HLOOKUP((AA13-42),$G$13:$AA$22,8,TRUE)-(AA25-Z25)</f>
        <v>197280</v>
      </c>
      <c r="AB23" s="213"/>
      <c r="AC23" s="59"/>
      <c r="AD23" s="59"/>
      <c r="AE23" s="86"/>
    </row>
    <row r="24" spans="1:31" x14ac:dyDescent="0.25">
      <c r="A24" s="16" t="s">
        <v>158</v>
      </c>
      <c r="B24" s="109"/>
      <c r="C24" s="21"/>
      <c r="D24" s="21"/>
      <c r="E24" s="21"/>
      <c r="F24" s="21"/>
      <c r="G24" s="111">
        <f t="shared" ref="G24:O24" si="11">G14*$B$9</f>
        <v>1.09375</v>
      </c>
      <c r="H24" s="110">
        <f t="shared" si="11"/>
        <v>2.1875</v>
      </c>
      <c r="I24" s="110">
        <f t="shared" si="11"/>
        <v>4.375</v>
      </c>
      <c r="J24" s="110">
        <f t="shared" si="11"/>
        <v>8.75</v>
      </c>
      <c r="K24" s="110">
        <f t="shared" si="11"/>
        <v>17.5</v>
      </c>
      <c r="L24" s="111">
        <f t="shared" si="11"/>
        <v>35</v>
      </c>
      <c r="M24" s="110">
        <f t="shared" si="11"/>
        <v>70</v>
      </c>
      <c r="N24" s="121">
        <f t="shared" si="11"/>
        <v>140</v>
      </c>
      <c r="O24" s="110">
        <f t="shared" si="11"/>
        <v>280</v>
      </c>
      <c r="P24" s="110">
        <f>P14*$B$9</f>
        <v>560</v>
      </c>
      <c r="Q24" s="112">
        <f>Q14*$B$9</f>
        <v>1120</v>
      </c>
      <c r="R24" s="44">
        <f>R14*$B$9</f>
        <v>2240</v>
      </c>
      <c r="S24" s="44">
        <f>S14*$B$9</f>
        <v>4480</v>
      </c>
      <c r="T24" s="44">
        <f>T14*$B$9</f>
        <v>8960</v>
      </c>
      <c r="U24" s="44">
        <f>U14*$B$9</f>
        <v>17920</v>
      </c>
      <c r="V24" s="44">
        <f>V14*$B$9</f>
        <v>35840</v>
      </c>
      <c r="W24" s="44">
        <f>W14*$B$9</f>
        <v>71680</v>
      </c>
      <c r="X24" s="44">
        <f>X14*$B$9</f>
        <v>143360</v>
      </c>
      <c r="Y24" s="101">
        <f>Y14*$B$9</f>
        <v>286720</v>
      </c>
      <c r="Z24" s="101">
        <f>Z14*$B$9</f>
        <v>573440</v>
      </c>
      <c r="AA24" s="116">
        <f>AA14*$B$9</f>
        <v>897190.00000000012</v>
      </c>
      <c r="AB24" s="213">
        <f>AB14*B9</f>
        <v>179438.00000000003</v>
      </c>
      <c r="AC24" s="59"/>
      <c r="AD24" s="59"/>
      <c r="AE24" s="86"/>
    </row>
    <row r="25" spans="1:31" x14ac:dyDescent="0.25">
      <c r="A25" s="51" t="s">
        <v>157</v>
      </c>
      <c r="B25" s="52"/>
      <c r="C25" s="53"/>
      <c r="D25" s="53"/>
      <c r="E25" s="53"/>
      <c r="F25" s="53"/>
      <c r="G25" s="114"/>
      <c r="H25" s="115"/>
      <c r="I25" s="115"/>
      <c r="J25" s="115"/>
      <c r="K25" s="115"/>
      <c r="L25" s="114"/>
      <c r="M25" s="115"/>
      <c r="N25" s="48"/>
      <c r="O25" s="115"/>
      <c r="P25" s="46">
        <f>$B$9*HLOOKUP((P13-35),$G$13:$AA$14,2,TRUE)</f>
        <v>1.09375</v>
      </c>
      <c r="Q25" s="113">
        <f>$B$9*HLOOKUP((Q13-35),$G$13:$AA$14,2,TRUE)</f>
        <v>2.1875</v>
      </c>
      <c r="R25" s="46">
        <f>$B$9*HLOOKUP((R13-35),$G$13:$AA$14,2,TRUE)</f>
        <v>8.75</v>
      </c>
      <c r="S25" s="46">
        <f>$B$9*HLOOKUP((S13-35),$G$13:$AA$14,2,TRUE)</f>
        <v>17.5</v>
      </c>
      <c r="T25" s="46">
        <f>$B$9*HLOOKUP((T13-35),$G$13:$AA$14,2,TRUE)</f>
        <v>70</v>
      </c>
      <c r="U25" s="46">
        <f>$B$9*HLOOKUP((U13-35),$G$13:$AA$14,2,TRUE)</f>
        <v>140</v>
      </c>
      <c r="V25" s="46">
        <f>$B$9*HLOOKUP((V13-35),$G$13:$AA$14,2,TRUE)</f>
        <v>280</v>
      </c>
      <c r="W25" s="46">
        <f>$B$9*HLOOKUP((W13-35),$G$13:$AA$14,2,TRUE)</f>
        <v>560</v>
      </c>
      <c r="X25" s="46">
        <f>$B$9*HLOOKUP((X13-35),$G$13:$AA$14,2,TRUE)</f>
        <v>1120</v>
      </c>
      <c r="Y25" s="46">
        <f>$B$9*HLOOKUP((Y13-35),$G$13:$AA$14,2,TRUE)</f>
        <v>2240</v>
      </c>
      <c r="Z25" s="46">
        <f>$B$9*HLOOKUP((Z13-35),$G$13:$AA$14,2,TRUE)</f>
        <v>4480</v>
      </c>
      <c r="AA25" s="114">
        <f>$B$9*HLOOKUP((AA13-35),$G$13:$AA$14,2,TRUE)</f>
        <v>8960</v>
      </c>
      <c r="AB25" s="215"/>
      <c r="AC25" s="59"/>
      <c r="AD25" s="59"/>
      <c r="AE25" s="86"/>
    </row>
    <row r="26" spans="1:31" s="86" customFormat="1" hidden="1" x14ac:dyDescent="0.25">
      <c r="A26" s="63" t="s">
        <v>216</v>
      </c>
      <c r="B26" s="39"/>
      <c r="C26" s="61"/>
      <c r="D26" s="61"/>
      <c r="E26" s="61"/>
      <c r="F26" s="61"/>
      <c r="G26" s="199">
        <f>G13-7</f>
        <v>43885</v>
      </c>
      <c r="H26" s="199">
        <f t="shared" ref="H26:AA26" si="12">H13-7</f>
        <v>43889</v>
      </c>
      <c r="I26" s="199">
        <f t="shared" si="12"/>
        <v>43893</v>
      </c>
      <c r="J26" s="199">
        <f t="shared" si="12"/>
        <v>43897</v>
      </c>
      <c r="K26" s="199">
        <f t="shared" si="12"/>
        <v>43901</v>
      </c>
      <c r="L26" s="199">
        <f t="shared" si="12"/>
        <v>43904</v>
      </c>
      <c r="M26" s="199">
        <f t="shared" si="12"/>
        <v>43907</v>
      </c>
      <c r="N26" s="199">
        <f t="shared" si="12"/>
        <v>43912</v>
      </c>
      <c r="O26" s="199">
        <f t="shared" si="12"/>
        <v>43917</v>
      </c>
      <c r="P26" s="199">
        <f t="shared" si="12"/>
        <v>43922</v>
      </c>
      <c r="Q26" s="199">
        <f t="shared" si="12"/>
        <v>43927</v>
      </c>
      <c r="R26" s="199">
        <f t="shared" si="12"/>
        <v>43932</v>
      </c>
      <c r="S26" s="199">
        <f t="shared" si="12"/>
        <v>43937</v>
      </c>
      <c r="T26" s="199">
        <f t="shared" si="12"/>
        <v>43942</v>
      </c>
      <c r="U26" s="199">
        <f t="shared" si="12"/>
        <v>43947</v>
      </c>
      <c r="V26" s="199">
        <f t="shared" si="12"/>
        <v>43952</v>
      </c>
      <c r="W26" s="199">
        <f t="shared" si="12"/>
        <v>43957</v>
      </c>
      <c r="X26" s="199">
        <f t="shared" si="12"/>
        <v>43962</v>
      </c>
      <c r="Y26" s="199">
        <f t="shared" si="12"/>
        <v>43967</v>
      </c>
      <c r="Z26" s="199">
        <f t="shared" si="12"/>
        <v>43972</v>
      </c>
      <c r="AA26" s="199">
        <f t="shared" si="12"/>
        <v>43977</v>
      </c>
      <c r="AB26" s="199"/>
      <c r="AC26" s="59"/>
      <c r="AD26" s="59"/>
    </row>
    <row r="27" spans="1:31" s="86" customFormat="1" hidden="1" x14ac:dyDescent="0.25">
      <c r="A27" s="63" t="s">
        <v>214</v>
      </c>
      <c r="B27" s="39"/>
      <c r="C27" s="61"/>
      <c r="D27" s="61"/>
      <c r="E27" s="61"/>
      <c r="F27" s="61"/>
      <c r="G27" s="199">
        <f>G13-14</f>
        <v>43878</v>
      </c>
      <c r="H27" s="199">
        <f t="shared" ref="H27:AA27" si="13">H13-14</f>
        <v>43882</v>
      </c>
      <c r="I27" s="199">
        <f t="shared" si="13"/>
        <v>43886</v>
      </c>
      <c r="J27" s="199">
        <f t="shared" si="13"/>
        <v>43890</v>
      </c>
      <c r="K27" s="199">
        <f t="shared" si="13"/>
        <v>43894</v>
      </c>
      <c r="L27" s="199">
        <f t="shared" si="13"/>
        <v>43897</v>
      </c>
      <c r="M27" s="199">
        <f t="shared" si="13"/>
        <v>43900</v>
      </c>
      <c r="N27" s="199">
        <f t="shared" si="13"/>
        <v>43905</v>
      </c>
      <c r="O27" s="199">
        <f t="shared" si="13"/>
        <v>43910</v>
      </c>
      <c r="P27" s="199">
        <f t="shared" si="13"/>
        <v>43915</v>
      </c>
      <c r="Q27" s="199">
        <f t="shared" si="13"/>
        <v>43920</v>
      </c>
      <c r="R27" s="199">
        <f t="shared" si="13"/>
        <v>43925</v>
      </c>
      <c r="S27" s="199">
        <f t="shared" si="13"/>
        <v>43930</v>
      </c>
      <c r="T27" s="199">
        <f t="shared" si="13"/>
        <v>43935</v>
      </c>
      <c r="U27" s="199">
        <f t="shared" si="13"/>
        <v>43940</v>
      </c>
      <c r="V27" s="199">
        <f t="shared" si="13"/>
        <v>43945</v>
      </c>
      <c r="W27" s="199">
        <f t="shared" si="13"/>
        <v>43950</v>
      </c>
      <c r="X27" s="199">
        <f t="shared" si="13"/>
        <v>43955</v>
      </c>
      <c r="Y27" s="199">
        <f t="shared" si="13"/>
        <v>43960</v>
      </c>
      <c r="Z27" s="199">
        <f t="shared" si="13"/>
        <v>43965</v>
      </c>
      <c r="AA27" s="199">
        <f t="shared" si="13"/>
        <v>43970</v>
      </c>
      <c r="AB27" s="199"/>
      <c r="AC27" s="59"/>
      <c r="AD27" s="59"/>
    </row>
    <row r="28" spans="1:31" s="86" customFormat="1" hidden="1" x14ac:dyDescent="0.25">
      <c r="A28" s="63" t="s">
        <v>217</v>
      </c>
      <c r="B28" s="39"/>
      <c r="C28" s="61"/>
      <c r="D28" s="61"/>
      <c r="E28" s="61"/>
      <c r="F28" s="61"/>
      <c r="G28" s="199">
        <f>G13-(7*5)</f>
        <v>43857</v>
      </c>
      <c r="H28" s="199">
        <f t="shared" ref="H28:AA28" si="14">H13-(7*5)</f>
        <v>43861</v>
      </c>
      <c r="I28" s="199">
        <f t="shared" si="14"/>
        <v>43865</v>
      </c>
      <c r="J28" s="199">
        <f t="shared" si="14"/>
        <v>43869</v>
      </c>
      <c r="K28" s="199">
        <f t="shared" si="14"/>
        <v>43873</v>
      </c>
      <c r="L28" s="199">
        <f t="shared" si="14"/>
        <v>43876</v>
      </c>
      <c r="M28" s="199">
        <f t="shared" si="14"/>
        <v>43879</v>
      </c>
      <c r="N28" s="199">
        <f t="shared" si="14"/>
        <v>43884</v>
      </c>
      <c r="O28" s="199">
        <f t="shared" si="14"/>
        <v>43889</v>
      </c>
      <c r="P28" s="199">
        <f t="shared" si="14"/>
        <v>43894</v>
      </c>
      <c r="Q28" s="199">
        <f t="shared" si="14"/>
        <v>43899</v>
      </c>
      <c r="R28" s="199">
        <f t="shared" si="14"/>
        <v>43904</v>
      </c>
      <c r="S28" s="199">
        <f t="shared" si="14"/>
        <v>43909</v>
      </c>
      <c r="T28" s="199">
        <f t="shared" si="14"/>
        <v>43914</v>
      </c>
      <c r="U28" s="199">
        <f t="shared" si="14"/>
        <v>43919</v>
      </c>
      <c r="V28" s="199">
        <f t="shared" si="14"/>
        <v>43924</v>
      </c>
      <c r="W28" s="199">
        <f t="shared" si="14"/>
        <v>43929</v>
      </c>
      <c r="X28" s="199">
        <f t="shared" si="14"/>
        <v>43934</v>
      </c>
      <c r="Y28" s="199">
        <f t="shared" si="14"/>
        <v>43939</v>
      </c>
      <c r="Z28" s="199">
        <f t="shared" si="14"/>
        <v>43944</v>
      </c>
      <c r="AA28" s="199">
        <f t="shared" si="14"/>
        <v>43949</v>
      </c>
      <c r="AB28" s="199"/>
      <c r="AC28" s="59"/>
      <c r="AD28" s="59"/>
    </row>
    <row r="29" spans="1:31" s="86" customFormat="1" hidden="1" x14ac:dyDescent="0.25">
      <c r="A29" s="63" t="s">
        <v>215</v>
      </c>
      <c r="B29" s="39"/>
      <c r="C29" s="61"/>
      <c r="D29" s="61"/>
      <c r="E29" s="61"/>
      <c r="F29" s="61"/>
      <c r="G29" s="199">
        <f>G13-(6*7)</f>
        <v>43850</v>
      </c>
      <c r="H29" s="199">
        <f t="shared" ref="H29:AA29" si="15">H13-(6*7)</f>
        <v>43854</v>
      </c>
      <c r="I29" s="199">
        <f t="shared" si="15"/>
        <v>43858</v>
      </c>
      <c r="J29" s="199">
        <f t="shared" si="15"/>
        <v>43862</v>
      </c>
      <c r="K29" s="199">
        <f t="shared" si="15"/>
        <v>43866</v>
      </c>
      <c r="L29" s="199">
        <f t="shared" si="15"/>
        <v>43869</v>
      </c>
      <c r="M29" s="199">
        <f t="shared" si="15"/>
        <v>43872</v>
      </c>
      <c r="N29" s="199">
        <f t="shared" si="15"/>
        <v>43877</v>
      </c>
      <c r="O29" s="199">
        <f t="shared" si="15"/>
        <v>43882</v>
      </c>
      <c r="P29" s="199">
        <f t="shared" si="15"/>
        <v>43887</v>
      </c>
      <c r="Q29" s="199">
        <f t="shared" si="15"/>
        <v>43892</v>
      </c>
      <c r="R29" s="199">
        <f t="shared" si="15"/>
        <v>43897</v>
      </c>
      <c r="S29" s="199">
        <f t="shared" si="15"/>
        <v>43902</v>
      </c>
      <c r="T29" s="199">
        <f t="shared" si="15"/>
        <v>43907</v>
      </c>
      <c r="U29" s="199">
        <f t="shared" si="15"/>
        <v>43912</v>
      </c>
      <c r="V29" s="199">
        <f t="shared" si="15"/>
        <v>43917</v>
      </c>
      <c r="W29" s="199">
        <f t="shared" si="15"/>
        <v>43922</v>
      </c>
      <c r="X29" s="199">
        <f t="shared" si="15"/>
        <v>43927</v>
      </c>
      <c r="Y29" s="199">
        <f t="shared" si="15"/>
        <v>43932</v>
      </c>
      <c r="Z29" s="199">
        <f t="shared" si="15"/>
        <v>43937</v>
      </c>
      <c r="AA29" s="199">
        <f t="shared" si="15"/>
        <v>43942</v>
      </c>
      <c r="AB29" s="199"/>
      <c r="AC29" s="59"/>
      <c r="AD29" s="59"/>
    </row>
    <row r="31" spans="1:31" x14ac:dyDescent="0.25">
      <c r="A31" s="69" t="s">
        <v>141</v>
      </c>
      <c r="B31" s="29"/>
      <c r="C31" s="30"/>
      <c r="D31" s="30"/>
      <c r="E31" s="30"/>
      <c r="F31" s="30"/>
    </row>
    <row r="32" spans="1:31" s="86" customFormat="1" x14ac:dyDescent="0.25">
      <c r="A32" s="187" t="s">
        <v>212</v>
      </c>
      <c r="B32" s="39"/>
      <c r="C32" s="61"/>
      <c r="D32" s="61"/>
      <c r="E32" s="61"/>
      <c r="F32" s="61"/>
      <c r="G32" s="188">
        <f>(G13-$B$10)/7</f>
        <v>5.2857142857142856</v>
      </c>
      <c r="H32" s="175">
        <f t="shared" ref="H32:AA32" si="16">(H13-$B$10)/7</f>
        <v>5.8571428571428568</v>
      </c>
      <c r="I32" s="176">
        <f t="shared" si="16"/>
        <v>6.4285714285714288</v>
      </c>
      <c r="J32" s="188">
        <f t="shared" si="16"/>
        <v>7</v>
      </c>
      <c r="K32" s="175">
        <f t="shared" si="16"/>
        <v>7.5714285714285712</v>
      </c>
      <c r="L32" s="189">
        <f t="shared" si="16"/>
        <v>8</v>
      </c>
      <c r="M32" s="176">
        <f t="shared" si="16"/>
        <v>8.4285714285714288</v>
      </c>
      <c r="N32" s="188">
        <f t="shared" si="16"/>
        <v>9.1428571428571423</v>
      </c>
      <c r="O32" s="175">
        <f t="shared" si="16"/>
        <v>9.8571428571428577</v>
      </c>
      <c r="P32" s="175">
        <f t="shared" si="16"/>
        <v>10.571428571428571</v>
      </c>
      <c r="Q32" s="176">
        <f t="shared" si="16"/>
        <v>11.285714285714286</v>
      </c>
      <c r="R32" s="188">
        <f t="shared" si="16"/>
        <v>12</v>
      </c>
      <c r="S32" s="175">
        <f t="shared" si="16"/>
        <v>12.714285714285714</v>
      </c>
      <c r="T32" s="176">
        <f t="shared" si="16"/>
        <v>13.428571428571429</v>
      </c>
      <c r="U32" s="188">
        <f t="shared" si="16"/>
        <v>14.142857142857142</v>
      </c>
      <c r="V32" s="188">
        <f t="shared" si="16"/>
        <v>14.857142857142858</v>
      </c>
      <c r="W32" s="175">
        <f t="shared" si="16"/>
        <v>15.571428571428571</v>
      </c>
      <c r="X32" s="176">
        <f t="shared" si="16"/>
        <v>16.285714285714285</v>
      </c>
      <c r="Y32" s="188">
        <f t="shared" si="16"/>
        <v>17</v>
      </c>
      <c r="Z32" s="175">
        <f t="shared" si="16"/>
        <v>17.714285714285715</v>
      </c>
      <c r="AA32" s="188">
        <f t="shared" si="16"/>
        <v>18.428571428571427</v>
      </c>
      <c r="AB32" s="188">
        <f t="shared" ref="AB32" si="17">(AB13-$B$10)/7</f>
        <v>26.428571428571427</v>
      </c>
    </row>
    <row r="33" spans="1:28" s="86" customFormat="1" x14ac:dyDescent="0.25">
      <c r="A33" s="187" t="s">
        <v>211</v>
      </c>
      <c r="B33" s="39"/>
      <c r="C33" s="61"/>
      <c r="D33" s="61"/>
      <c r="E33" s="61"/>
      <c r="F33" s="61"/>
      <c r="G33" s="190">
        <f>G13-B10</f>
        <v>37</v>
      </c>
      <c r="H33" s="185">
        <f>G33+$B$13</f>
        <v>41</v>
      </c>
      <c r="I33" s="185">
        <f>H33+$B$13</f>
        <v>45</v>
      </c>
      <c r="J33" s="185">
        <f>I33+$B$13</f>
        <v>49</v>
      </c>
      <c r="K33" s="185">
        <f>J33+$B$13</f>
        <v>53</v>
      </c>
      <c r="L33" s="185">
        <f>K33+$C$13</f>
        <v>56</v>
      </c>
      <c r="M33" s="185">
        <f>L33+$C$13</f>
        <v>59</v>
      </c>
      <c r="N33" s="186">
        <f>M33+$D$13</f>
        <v>64</v>
      </c>
      <c r="O33" s="186">
        <f>N33+$D$13</f>
        <v>69</v>
      </c>
      <c r="P33" s="186">
        <f>O33+$D$13</f>
        <v>74</v>
      </c>
      <c r="Q33" s="186">
        <f>P33+$D$13</f>
        <v>79</v>
      </c>
      <c r="R33" s="186">
        <f>Q33+$D$13</f>
        <v>84</v>
      </c>
      <c r="S33" s="186">
        <f>R33+$D$13</f>
        <v>89</v>
      </c>
      <c r="T33" s="186">
        <f>S33+$D$13</f>
        <v>94</v>
      </c>
      <c r="U33" s="186">
        <f>T33+$D$13</f>
        <v>99</v>
      </c>
      <c r="V33" s="186">
        <f>U33+$D$13</f>
        <v>104</v>
      </c>
      <c r="W33" s="186">
        <f>V33+$D$13</f>
        <v>109</v>
      </c>
      <c r="X33" s="186">
        <f>W33+$D$13</f>
        <v>114</v>
      </c>
      <c r="Y33" s="186">
        <f>X33+$D$13</f>
        <v>119</v>
      </c>
      <c r="Z33" s="186">
        <f>Y33+$D$13</f>
        <v>124</v>
      </c>
      <c r="AA33" s="225">
        <f>Z33+$D$13</f>
        <v>129</v>
      </c>
      <c r="AB33" s="225">
        <f>AA33+$D$13</f>
        <v>134</v>
      </c>
    </row>
    <row r="34" spans="1:28" x14ac:dyDescent="0.25">
      <c r="A34" s="55" t="s">
        <v>135</v>
      </c>
      <c r="B34" s="30"/>
      <c r="C34" s="30"/>
      <c r="D34" s="30"/>
      <c r="E34" s="30"/>
      <c r="F34" s="30"/>
      <c r="G34" s="191">
        <v>32</v>
      </c>
      <c r="H34" s="192">
        <v>63</v>
      </c>
      <c r="I34" s="193">
        <v>112</v>
      </c>
      <c r="J34" s="193">
        <v>249</v>
      </c>
      <c r="K34" s="193">
        <v>567</v>
      </c>
      <c r="L34" s="193">
        <v>1072</v>
      </c>
      <c r="M34" s="193">
        <v>2050</v>
      </c>
      <c r="N34" s="193">
        <v>3984</v>
      </c>
      <c r="O34" s="193"/>
      <c r="P34" s="193"/>
      <c r="Q34" s="193"/>
      <c r="R34" s="193"/>
      <c r="S34" s="193"/>
      <c r="T34" s="193"/>
      <c r="U34" s="193"/>
      <c r="V34" s="193"/>
      <c r="W34" s="193"/>
      <c r="X34" s="193"/>
      <c r="Y34" s="193"/>
      <c r="Z34" s="193"/>
      <c r="AA34" s="193"/>
      <c r="AB34" s="194"/>
    </row>
    <row r="35" spans="1:28" x14ac:dyDescent="0.25">
      <c r="A35" s="55" t="s">
        <v>165</v>
      </c>
      <c r="B35" s="30"/>
      <c r="C35" s="30"/>
      <c r="D35" s="30"/>
      <c r="E35" s="30"/>
      <c r="F35" s="30"/>
      <c r="G35" s="195">
        <v>5</v>
      </c>
      <c r="H35" s="196">
        <v>12</v>
      </c>
      <c r="I35" s="140">
        <v>12</v>
      </c>
      <c r="J35" s="140">
        <v>17</v>
      </c>
      <c r="K35" s="197">
        <v>33</v>
      </c>
      <c r="L35" s="197">
        <v>53</v>
      </c>
      <c r="M35" s="197">
        <v>97</v>
      </c>
      <c r="N35" s="197" t="s">
        <v>11</v>
      </c>
      <c r="O35" s="197"/>
      <c r="P35" s="197"/>
      <c r="Q35" s="197"/>
      <c r="R35" s="197"/>
      <c r="S35" s="197"/>
      <c r="T35" s="197"/>
      <c r="U35" s="197"/>
      <c r="V35" s="197"/>
      <c r="W35" s="197"/>
      <c r="X35" s="197"/>
      <c r="Y35" s="197"/>
      <c r="Z35" s="197"/>
      <c r="AA35" s="197"/>
      <c r="AB35" s="198"/>
    </row>
    <row r="36" spans="1:28" x14ac:dyDescent="0.25">
      <c r="A36" s="64" t="s">
        <v>136</v>
      </c>
      <c r="B36" s="52"/>
      <c r="C36" s="53"/>
      <c r="D36" s="53"/>
      <c r="E36" s="53"/>
      <c r="F36" s="53"/>
      <c r="G36" s="84">
        <v>1</v>
      </c>
      <c r="H36" s="85">
        <v>2</v>
      </c>
      <c r="I36" s="67">
        <v>3</v>
      </c>
      <c r="J36" s="67">
        <v>5</v>
      </c>
      <c r="K36" s="67">
        <v>6</v>
      </c>
      <c r="L36" s="67">
        <v>7</v>
      </c>
      <c r="M36" s="67">
        <v>8</v>
      </c>
      <c r="N36" s="67">
        <v>16</v>
      </c>
      <c r="O36" s="67"/>
      <c r="P36" s="67"/>
      <c r="Q36" s="67"/>
      <c r="R36" s="67"/>
      <c r="S36" s="67"/>
      <c r="T36" s="67"/>
      <c r="U36" s="67"/>
      <c r="V36" s="67"/>
      <c r="W36" s="67"/>
      <c r="X36" s="67"/>
      <c r="Y36" s="67"/>
      <c r="Z36" s="67"/>
      <c r="AA36" s="67"/>
      <c r="AB36" s="68"/>
    </row>
    <row r="37" spans="1:28" x14ac:dyDescent="0.25">
      <c r="B37" s="3"/>
      <c r="G37" s="49"/>
      <c r="H37" s="49"/>
      <c r="I37" s="49"/>
      <c r="J37" s="49"/>
      <c r="K37" s="49"/>
      <c r="L37" s="49"/>
      <c r="M37" s="49"/>
      <c r="N37" s="49"/>
      <c r="O37" s="49"/>
      <c r="P37" s="49"/>
      <c r="Q37" s="49"/>
      <c r="R37" s="49"/>
      <c r="S37" s="49"/>
      <c r="T37" s="49"/>
      <c r="U37" s="49"/>
      <c r="V37" s="49"/>
      <c r="W37" s="49"/>
      <c r="X37" s="49"/>
    </row>
    <row r="38" spans="1:28" x14ac:dyDescent="0.25">
      <c r="A38" s="91" t="s">
        <v>143</v>
      </c>
      <c r="X38" s="30"/>
    </row>
    <row r="39" spans="1:28" x14ac:dyDescent="0.25">
      <c r="A39" s="16" t="s">
        <v>1</v>
      </c>
      <c r="B39" s="73" t="s">
        <v>149</v>
      </c>
      <c r="C39" s="17" t="s">
        <v>4</v>
      </c>
      <c r="D39" s="73" t="s">
        <v>145</v>
      </c>
      <c r="E39" s="74" t="s">
        <v>3</v>
      </c>
      <c r="F39" s="21" t="s">
        <v>4</v>
      </c>
      <c r="G39" s="21"/>
      <c r="H39" s="21"/>
      <c r="I39" s="21"/>
      <c r="J39" s="21"/>
      <c r="K39" s="21"/>
      <c r="L39" s="21"/>
      <c r="M39" s="21"/>
      <c r="N39" s="21"/>
      <c r="O39" s="21"/>
      <c r="P39" s="21"/>
      <c r="Q39" s="21"/>
      <c r="R39" s="21"/>
      <c r="S39" s="21"/>
      <c r="T39" s="21"/>
      <c r="U39" s="21"/>
      <c r="V39" s="21"/>
      <c r="W39" s="21"/>
      <c r="X39" s="21"/>
      <c r="Y39" s="21"/>
      <c r="Z39" s="21"/>
      <c r="AA39" s="17"/>
      <c r="AB39" s="61"/>
    </row>
    <row r="40" spans="1:28" x14ac:dyDescent="0.25">
      <c r="A40" s="55" t="s">
        <v>13</v>
      </c>
      <c r="B40" s="27">
        <f>'ABS Population by Age Range'!D107</f>
        <v>4.0260989985204748E-2</v>
      </c>
      <c r="C40" s="26">
        <f>$B$1*B40</f>
        <v>1032050.2172807385</v>
      </c>
      <c r="D40" s="36">
        <f>'AU Infection Rate by Age'!C4</f>
        <v>3.3199195171026159E-2</v>
      </c>
      <c r="E40" s="17"/>
      <c r="F40" s="30"/>
      <c r="G40" s="32">
        <f>G$14*$D$40</f>
        <v>1.0374748490945676</v>
      </c>
      <c r="H40" s="33">
        <f t="shared" ref="H40:W40" si="18">H$14*$D$40</f>
        <v>2.0749496981891351</v>
      </c>
      <c r="I40" s="33">
        <f t="shared" si="18"/>
        <v>4.1498993963782702</v>
      </c>
      <c r="J40" s="33">
        <f t="shared" si="18"/>
        <v>8.2997987927565404</v>
      </c>
      <c r="K40" s="33">
        <f t="shared" si="18"/>
        <v>16.599597585513081</v>
      </c>
      <c r="L40" s="33">
        <f t="shared" si="18"/>
        <v>33.199195171026162</v>
      </c>
      <c r="M40" s="33">
        <f t="shared" si="18"/>
        <v>66.398390342052323</v>
      </c>
      <c r="N40" s="33">
        <f t="shared" si="18"/>
        <v>132.79678068410465</v>
      </c>
      <c r="O40" s="33">
        <f t="shared" si="18"/>
        <v>265.59356136820929</v>
      </c>
      <c r="P40" s="33">
        <f t="shared" si="18"/>
        <v>531.18712273641859</v>
      </c>
      <c r="Q40" s="33">
        <f t="shared" si="18"/>
        <v>1062.3742454728372</v>
      </c>
      <c r="R40" s="33">
        <f t="shared" si="18"/>
        <v>2124.7484909456743</v>
      </c>
      <c r="S40" s="33">
        <f t="shared" si="18"/>
        <v>4249.4969818913487</v>
      </c>
      <c r="T40" s="33">
        <f t="shared" si="18"/>
        <v>8498.9939637826974</v>
      </c>
      <c r="U40" s="33">
        <f t="shared" si="18"/>
        <v>16997.987927565395</v>
      </c>
      <c r="V40" s="33">
        <f t="shared" si="18"/>
        <v>33995.97585513079</v>
      </c>
      <c r="W40" s="33">
        <f t="shared" si="18"/>
        <v>67991.951710261579</v>
      </c>
      <c r="X40" s="33">
        <f>X$14*$D$40</f>
        <v>135983.90342052316</v>
      </c>
      <c r="Y40" s="33">
        <f>Y$14*$D$40</f>
        <v>271967.80684104632</v>
      </c>
      <c r="Z40" s="33">
        <f>Z$14*$D$40</f>
        <v>543935.61368209263</v>
      </c>
      <c r="AA40" s="76">
        <f>AA$14*$D$40</f>
        <v>851028.16901408462</v>
      </c>
      <c r="AB40" s="59"/>
    </row>
    <row r="41" spans="1:28" x14ac:dyDescent="0.25">
      <c r="A41" s="55"/>
      <c r="B41" s="18"/>
      <c r="C41" s="22"/>
      <c r="D41" s="20"/>
      <c r="E41" s="41">
        <v>0.14799999999999999</v>
      </c>
      <c r="F41" s="22"/>
      <c r="G41" s="43">
        <f>G$14*$D$40*$E$41</f>
        <v>0.15354627766599599</v>
      </c>
      <c r="H41" s="44">
        <f t="shared" ref="H41:W41" si="19">H$14*$D$40*$E$41</f>
        <v>0.30709255533199198</v>
      </c>
      <c r="I41" s="44">
        <f t="shared" si="19"/>
        <v>0.61418511066398396</v>
      </c>
      <c r="J41" s="44">
        <f t="shared" si="19"/>
        <v>1.2283702213279679</v>
      </c>
      <c r="K41" s="44">
        <f t="shared" si="19"/>
        <v>2.4567404426559358</v>
      </c>
      <c r="L41" s="44">
        <f t="shared" si="19"/>
        <v>4.9134808853118717</v>
      </c>
      <c r="M41" s="44">
        <f t="shared" si="19"/>
        <v>9.8269617706237433</v>
      </c>
      <c r="N41" s="44">
        <f t="shared" si="19"/>
        <v>19.653923541247487</v>
      </c>
      <c r="O41" s="44">
        <f t="shared" si="19"/>
        <v>39.307847082494973</v>
      </c>
      <c r="P41" s="44">
        <f t="shared" si="19"/>
        <v>78.615694164989947</v>
      </c>
      <c r="Q41" s="44">
        <f t="shared" si="19"/>
        <v>157.23138832997989</v>
      </c>
      <c r="R41" s="44">
        <f t="shared" si="19"/>
        <v>314.46277665995979</v>
      </c>
      <c r="S41" s="44">
        <f t="shared" si="19"/>
        <v>628.92555331991957</v>
      </c>
      <c r="T41" s="44">
        <f t="shared" si="19"/>
        <v>1257.8511066398391</v>
      </c>
      <c r="U41" s="44">
        <f t="shared" si="19"/>
        <v>2515.7022132796783</v>
      </c>
      <c r="V41" s="44">
        <f t="shared" si="19"/>
        <v>5031.4044265593566</v>
      </c>
      <c r="W41" s="44">
        <f t="shared" si="19"/>
        <v>10062.808853118713</v>
      </c>
      <c r="X41" s="44">
        <f>X$14*$D$40*$E$41</f>
        <v>20125.617706237426</v>
      </c>
      <c r="Y41" s="44">
        <f>Y$14*$D$40*$E$41</f>
        <v>40251.235412474853</v>
      </c>
      <c r="Z41" s="44">
        <f>Z$14*$D$40*$E$41</f>
        <v>80502.470824949705</v>
      </c>
      <c r="AA41" s="88">
        <f>AA$14*$D$40*$E$41</f>
        <v>125952.16901408452</v>
      </c>
      <c r="AB41" s="59"/>
    </row>
    <row r="42" spans="1:28" x14ac:dyDescent="0.25">
      <c r="A42" s="55" t="s">
        <v>14</v>
      </c>
      <c r="B42" s="18">
        <f>'ABS Population by Age Range'!D97</f>
        <v>7.065336711718416E-2</v>
      </c>
      <c r="C42" s="22">
        <f t="shared" ref="C42:C56" si="20">$B$1*B42</f>
        <v>1811128.4126818988</v>
      </c>
      <c r="D42" s="99">
        <f>'AU Infection Rate by Age'!C5</f>
        <v>8.9537223340040245E-2</v>
      </c>
      <c r="E42" s="31"/>
      <c r="F42" s="30"/>
      <c r="G42" s="34">
        <f t="shared" ref="G42:W42" si="21">G$14*$D$42</f>
        <v>2.7980382293762576</v>
      </c>
      <c r="H42" s="35">
        <f t="shared" si="21"/>
        <v>5.5960764587525151</v>
      </c>
      <c r="I42" s="35">
        <f t="shared" si="21"/>
        <v>11.19215291750503</v>
      </c>
      <c r="J42" s="35">
        <f t="shared" si="21"/>
        <v>22.384305835010061</v>
      </c>
      <c r="K42" s="35">
        <f t="shared" si="21"/>
        <v>44.768611670020121</v>
      </c>
      <c r="L42" s="35">
        <f t="shared" si="21"/>
        <v>89.537223340040242</v>
      </c>
      <c r="M42" s="35">
        <f t="shared" si="21"/>
        <v>179.07444668008048</v>
      </c>
      <c r="N42" s="35">
        <f t="shared" si="21"/>
        <v>358.14889336016097</v>
      </c>
      <c r="O42" s="35">
        <f t="shared" si="21"/>
        <v>716.29778672032194</v>
      </c>
      <c r="P42" s="35">
        <f t="shared" si="21"/>
        <v>1432.5955734406439</v>
      </c>
      <c r="Q42" s="35">
        <f t="shared" si="21"/>
        <v>2865.1911468812878</v>
      </c>
      <c r="R42" s="35">
        <f t="shared" si="21"/>
        <v>5730.3822937625755</v>
      </c>
      <c r="S42" s="35">
        <f t="shared" si="21"/>
        <v>11460.764587525151</v>
      </c>
      <c r="T42" s="35">
        <f t="shared" si="21"/>
        <v>22921.529175050302</v>
      </c>
      <c r="U42" s="35">
        <f t="shared" si="21"/>
        <v>45843.058350100604</v>
      </c>
      <c r="V42" s="35">
        <f t="shared" si="21"/>
        <v>91686.116700201208</v>
      </c>
      <c r="W42" s="35">
        <f t="shared" si="21"/>
        <v>183372.23340040242</v>
      </c>
      <c r="X42" s="35">
        <f>X$14*$D$42</f>
        <v>366744.46680080483</v>
      </c>
      <c r="Y42" s="35">
        <f>Y$14*$D$42</f>
        <v>733488.93360160966</v>
      </c>
      <c r="Z42" s="35">
        <f>Z$14*$D$42</f>
        <v>1466977.8672032193</v>
      </c>
      <c r="AA42" s="98">
        <f>AA$14*$D$42</f>
        <v>2295197.1830985919</v>
      </c>
      <c r="AB42" s="59"/>
    </row>
    <row r="43" spans="1:28" x14ac:dyDescent="0.25">
      <c r="A43" s="55"/>
      <c r="B43" s="18"/>
      <c r="C43" s="22"/>
      <c r="D43" s="20"/>
      <c r="E43" s="41">
        <v>0.08</v>
      </c>
      <c r="F43" s="22"/>
      <c r="G43" s="43">
        <f t="shared" ref="G43:W43" si="22">G$14*$D$42*$E$43</f>
        <v>0.2238430583501006</v>
      </c>
      <c r="H43" s="44">
        <f t="shared" si="22"/>
        <v>0.4476861167002012</v>
      </c>
      <c r="I43" s="44">
        <f t="shared" si="22"/>
        <v>0.8953722334004024</v>
      </c>
      <c r="J43" s="44">
        <f t="shared" si="22"/>
        <v>1.7907444668008048</v>
      </c>
      <c r="K43" s="44">
        <f t="shared" si="22"/>
        <v>3.5814889336016096</v>
      </c>
      <c r="L43" s="44">
        <f t="shared" si="22"/>
        <v>7.1629778672032192</v>
      </c>
      <c r="M43" s="44">
        <f t="shared" si="22"/>
        <v>14.325955734406438</v>
      </c>
      <c r="N43" s="44">
        <f t="shared" si="22"/>
        <v>28.651911468812877</v>
      </c>
      <c r="O43" s="44">
        <f t="shared" si="22"/>
        <v>57.303822937625753</v>
      </c>
      <c r="P43" s="44">
        <f t="shared" si="22"/>
        <v>114.60764587525151</v>
      </c>
      <c r="Q43" s="44">
        <f t="shared" si="22"/>
        <v>229.21529175050301</v>
      </c>
      <c r="R43" s="44">
        <f t="shared" si="22"/>
        <v>458.43058350100603</v>
      </c>
      <c r="S43" s="44">
        <f t="shared" si="22"/>
        <v>916.86116700201205</v>
      </c>
      <c r="T43" s="44">
        <f t="shared" si="22"/>
        <v>1833.7223340040241</v>
      </c>
      <c r="U43" s="44">
        <f t="shared" si="22"/>
        <v>3667.4446680080482</v>
      </c>
      <c r="V43" s="44">
        <f t="shared" si="22"/>
        <v>7334.8893360160964</v>
      </c>
      <c r="W43" s="44">
        <f t="shared" si="22"/>
        <v>14669.778672032193</v>
      </c>
      <c r="X43" s="44">
        <f>X$14*$D$42*$E$43</f>
        <v>29339.557344064386</v>
      </c>
      <c r="Y43" s="44">
        <f>Y$14*$D$42*$E$43</f>
        <v>58679.114688128771</v>
      </c>
      <c r="Z43" s="44">
        <f>Z$14*$D$42*$E$43</f>
        <v>117358.22937625754</v>
      </c>
      <c r="AA43" s="88">
        <f>AA$14*$D$42*$E$43</f>
        <v>183615.77464788736</v>
      </c>
      <c r="AB43" s="59"/>
    </row>
    <row r="44" spans="1:28" x14ac:dyDescent="0.25">
      <c r="A44" s="55" t="s">
        <v>15</v>
      </c>
      <c r="B44" s="18">
        <f>'ABS Population by Age Range'!D85</f>
        <v>0.10301766910746854</v>
      </c>
      <c r="C44" s="22">
        <f t="shared" si="20"/>
        <v>2640754.9299008488</v>
      </c>
      <c r="D44" s="99">
        <f>'AU Infection Rate by Age'!C6</f>
        <v>0.16498993963782696</v>
      </c>
      <c r="E44" s="31"/>
      <c r="F44" s="22"/>
      <c r="G44" s="34">
        <f t="shared" ref="G44:W44" si="23">G$14*$D$44</f>
        <v>5.1559356136820922</v>
      </c>
      <c r="H44" s="35">
        <f t="shared" si="23"/>
        <v>10.311871227364184</v>
      </c>
      <c r="I44" s="35">
        <f t="shared" si="23"/>
        <v>20.623742454728369</v>
      </c>
      <c r="J44" s="35">
        <f t="shared" si="23"/>
        <v>41.247484909456738</v>
      </c>
      <c r="K44" s="35">
        <f t="shared" si="23"/>
        <v>82.494969818913475</v>
      </c>
      <c r="L44" s="35">
        <f t="shared" si="23"/>
        <v>164.98993963782695</v>
      </c>
      <c r="M44" s="35">
        <f t="shared" si="23"/>
        <v>329.9798792756539</v>
      </c>
      <c r="N44" s="35">
        <f t="shared" si="23"/>
        <v>659.9597585513078</v>
      </c>
      <c r="O44" s="35">
        <f t="shared" si="23"/>
        <v>1319.9195171026156</v>
      </c>
      <c r="P44" s="35">
        <f t="shared" si="23"/>
        <v>2639.8390342052312</v>
      </c>
      <c r="Q44" s="35">
        <f t="shared" si="23"/>
        <v>5279.6780684104624</v>
      </c>
      <c r="R44" s="35">
        <f t="shared" si="23"/>
        <v>10559.356136820925</v>
      </c>
      <c r="S44" s="35">
        <f t="shared" si="23"/>
        <v>21118.71227364185</v>
      </c>
      <c r="T44" s="35">
        <f t="shared" si="23"/>
        <v>42237.424547283699</v>
      </c>
      <c r="U44" s="35">
        <f t="shared" si="23"/>
        <v>84474.849094567398</v>
      </c>
      <c r="V44" s="35">
        <f t="shared" si="23"/>
        <v>168949.6981891348</v>
      </c>
      <c r="W44" s="35">
        <f t="shared" si="23"/>
        <v>337899.39637826959</v>
      </c>
      <c r="X44" s="35">
        <f>X$14*$D$44</f>
        <v>675798.79275653919</v>
      </c>
      <c r="Y44" s="35">
        <f>Y$14*$D$44</f>
        <v>1351597.5855130784</v>
      </c>
      <c r="Z44" s="35">
        <f>Z$14*$D$44</f>
        <v>2703195.1710261567</v>
      </c>
      <c r="AA44" s="98">
        <f>AA$14*$D$44</f>
        <v>4229352.1126760561</v>
      </c>
      <c r="AB44" s="59"/>
    </row>
    <row r="45" spans="1:28" x14ac:dyDescent="0.25">
      <c r="A45" s="55"/>
      <c r="B45" s="18"/>
      <c r="C45" s="22"/>
      <c r="D45" s="20"/>
      <c r="E45" s="41">
        <v>3.5999999999999997E-2</v>
      </c>
      <c r="F45" s="22"/>
      <c r="G45" s="43">
        <f t="shared" ref="G45:W45" si="24">G$14*$D$44*$E$45</f>
        <v>0.1856136820925553</v>
      </c>
      <c r="H45" s="44">
        <f t="shared" si="24"/>
        <v>0.3712273641851106</v>
      </c>
      <c r="I45" s="44">
        <f t="shared" si="24"/>
        <v>0.7424547283702212</v>
      </c>
      <c r="J45" s="44">
        <f t="shared" si="24"/>
        <v>1.4849094567404424</v>
      </c>
      <c r="K45" s="44">
        <f t="shared" si="24"/>
        <v>2.9698189134808848</v>
      </c>
      <c r="L45" s="44">
        <f t="shared" si="24"/>
        <v>5.9396378269617696</v>
      </c>
      <c r="M45" s="44">
        <f t="shared" si="24"/>
        <v>11.879275653923539</v>
      </c>
      <c r="N45" s="44">
        <f t="shared" si="24"/>
        <v>23.758551307847078</v>
      </c>
      <c r="O45" s="44">
        <f t="shared" si="24"/>
        <v>47.517102615694156</v>
      </c>
      <c r="P45" s="44">
        <f t="shared" si="24"/>
        <v>95.034205231388313</v>
      </c>
      <c r="Q45" s="44">
        <f t="shared" si="24"/>
        <v>190.06841046277663</v>
      </c>
      <c r="R45" s="44">
        <f t="shared" si="24"/>
        <v>380.13682092555325</v>
      </c>
      <c r="S45" s="44">
        <f t="shared" si="24"/>
        <v>760.2736418511065</v>
      </c>
      <c r="T45" s="44">
        <f t="shared" si="24"/>
        <v>1520.547283702213</v>
      </c>
      <c r="U45" s="44">
        <f t="shared" si="24"/>
        <v>3041.094567404426</v>
      </c>
      <c r="V45" s="44">
        <f t="shared" si="24"/>
        <v>6082.189134808852</v>
      </c>
      <c r="W45" s="44">
        <f t="shared" si="24"/>
        <v>12164.378269617704</v>
      </c>
      <c r="X45" s="44">
        <f>X$14*$D$44*$E$45</f>
        <v>24328.756539235408</v>
      </c>
      <c r="Y45" s="44">
        <f>Y$14*$D$44*$E$45</f>
        <v>48657.513078470816</v>
      </c>
      <c r="Z45" s="44">
        <f>Z$14*$D$44*$E$45</f>
        <v>97315.026156941633</v>
      </c>
      <c r="AA45" s="88">
        <f>AA$14*$D$44*$E$45</f>
        <v>152256.67605633801</v>
      </c>
      <c r="AB45" s="59"/>
    </row>
    <row r="46" spans="1:28" x14ac:dyDescent="0.25">
      <c r="A46" s="55" t="s">
        <v>16</v>
      </c>
      <c r="B46" s="18">
        <f>'ABS Population by Age Range'!D73</f>
        <v>0.12142789925761971</v>
      </c>
      <c r="C46" s="22">
        <f t="shared" si="20"/>
        <v>3112682.7695698235</v>
      </c>
      <c r="D46" s="99">
        <f>'AU Infection Rate by Age'!C7</f>
        <v>0.17102615694164991</v>
      </c>
      <c r="E46" s="31"/>
      <c r="F46" s="22"/>
      <c r="G46" s="34">
        <f t="shared" ref="G46:W46" si="25">G$14*$D$46</f>
        <v>5.3445674044265594</v>
      </c>
      <c r="H46" s="35">
        <f t="shared" si="25"/>
        <v>10.689134808853119</v>
      </c>
      <c r="I46" s="35">
        <f t="shared" si="25"/>
        <v>21.378269617706238</v>
      </c>
      <c r="J46" s="35">
        <f t="shared" si="25"/>
        <v>42.756539235412475</v>
      </c>
      <c r="K46" s="35">
        <f t="shared" si="25"/>
        <v>85.513078470824951</v>
      </c>
      <c r="L46" s="35">
        <f t="shared" si="25"/>
        <v>171.0261569416499</v>
      </c>
      <c r="M46" s="35">
        <f t="shared" si="25"/>
        <v>342.0523138832998</v>
      </c>
      <c r="N46" s="35">
        <f t="shared" si="25"/>
        <v>684.10462776659961</v>
      </c>
      <c r="O46" s="35">
        <f t="shared" si="25"/>
        <v>1368.2092555331992</v>
      </c>
      <c r="P46" s="35">
        <f t="shared" si="25"/>
        <v>2736.4185110663984</v>
      </c>
      <c r="Q46" s="35">
        <f t="shared" si="25"/>
        <v>5472.8370221327968</v>
      </c>
      <c r="R46" s="35">
        <f t="shared" si="25"/>
        <v>10945.674044265594</v>
      </c>
      <c r="S46" s="35">
        <f t="shared" si="25"/>
        <v>21891.348088531187</v>
      </c>
      <c r="T46" s="35">
        <f t="shared" si="25"/>
        <v>43782.696177062375</v>
      </c>
      <c r="U46" s="35">
        <f t="shared" si="25"/>
        <v>87565.39235412475</v>
      </c>
      <c r="V46" s="35">
        <f t="shared" si="25"/>
        <v>175130.7847082495</v>
      </c>
      <c r="W46" s="35">
        <f t="shared" si="25"/>
        <v>350261.569416499</v>
      </c>
      <c r="X46" s="35">
        <f>X$14*$D$46</f>
        <v>700523.138832998</v>
      </c>
      <c r="Y46" s="35">
        <f>Y$14*$D$46</f>
        <v>1401046.277665996</v>
      </c>
      <c r="Z46" s="35">
        <f>Z$14*$D$46</f>
        <v>2802092.555331992</v>
      </c>
      <c r="AA46" s="98">
        <f>AA$14*$D$46</f>
        <v>4384084.5070422534</v>
      </c>
      <c r="AB46" s="59"/>
    </row>
    <row r="47" spans="1:28" x14ac:dyDescent="0.25">
      <c r="A47" s="55"/>
      <c r="B47" s="18"/>
      <c r="C47" s="22"/>
      <c r="D47" s="20"/>
      <c r="E47" s="41">
        <v>1.2999999999999999E-2</v>
      </c>
      <c r="F47" s="22"/>
      <c r="G47" s="43">
        <f t="shared" ref="G47:W47" si="26">G$14*$D$46*$E$47</f>
        <v>6.9479376257545272E-2</v>
      </c>
      <c r="H47" s="44">
        <f t="shared" si="26"/>
        <v>0.13895875251509054</v>
      </c>
      <c r="I47" s="44">
        <f t="shared" si="26"/>
        <v>0.27791750503018109</v>
      </c>
      <c r="J47" s="44">
        <f t="shared" si="26"/>
        <v>0.55583501006036218</v>
      </c>
      <c r="K47" s="44">
        <f t="shared" si="26"/>
        <v>1.1116700201207244</v>
      </c>
      <c r="L47" s="44">
        <f t="shared" si="26"/>
        <v>2.2233400402414487</v>
      </c>
      <c r="M47" s="44">
        <f t="shared" si="26"/>
        <v>4.4466800804828974</v>
      </c>
      <c r="N47" s="44">
        <f t="shared" si="26"/>
        <v>8.8933601609657948</v>
      </c>
      <c r="O47" s="44">
        <f t="shared" si="26"/>
        <v>17.78672032193159</v>
      </c>
      <c r="P47" s="44">
        <f t="shared" si="26"/>
        <v>35.573440643863179</v>
      </c>
      <c r="Q47" s="44">
        <f t="shared" si="26"/>
        <v>71.146881287726359</v>
      </c>
      <c r="R47" s="44">
        <f t="shared" si="26"/>
        <v>142.29376257545272</v>
      </c>
      <c r="S47" s="44">
        <f t="shared" si="26"/>
        <v>284.58752515090544</v>
      </c>
      <c r="T47" s="44">
        <f t="shared" si="26"/>
        <v>569.17505030181087</v>
      </c>
      <c r="U47" s="44">
        <f t="shared" si="26"/>
        <v>1138.3501006036217</v>
      </c>
      <c r="V47" s="44">
        <f t="shared" si="26"/>
        <v>2276.7002012072435</v>
      </c>
      <c r="W47" s="44">
        <f t="shared" si="26"/>
        <v>4553.400402414487</v>
      </c>
      <c r="X47" s="44">
        <f>X$14*$D$46*$E$47</f>
        <v>9106.8008048289739</v>
      </c>
      <c r="Y47" s="44">
        <f>Y$14*$D$46*$E$47</f>
        <v>18213.601609657948</v>
      </c>
      <c r="Z47" s="44">
        <f>Z$14*$D$46*$E$47</f>
        <v>36427.203219315896</v>
      </c>
      <c r="AA47" s="88">
        <f>AA$14*$D$46*$E$47</f>
        <v>56993.098591549293</v>
      </c>
      <c r="AB47" s="59"/>
    </row>
    <row r="48" spans="1:28" x14ac:dyDescent="0.25">
      <c r="A48" s="55" t="s">
        <v>17</v>
      </c>
      <c r="B48" s="18">
        <f>'ABS Population by Age Range'!D61</f>
        <v>0.12908272398046944</v>
      </c>
      <c r="C48" s="22">
        <f t="shared" si="20"/>
        <v>3308906.5465153535</v>
      </c>
      <c r="D48" s="99">
        <f>'AU Infection Rate by Age'!C8</f>
        <v>0.14688128772635814</v>
      </c>
      <c r="E48" s="31"/>
      <c r="F48" s="22"/>
      <c r="G48" s="34">
        <f>G$14*$D$48</f>
        <v>4.5900402414486923</v>
      </c>
      <c r="H48" s="35">
        <f t="shared" ref="H48:W48" si="27">H$14*$D$48</f>
        <v>9.1800804828973845</v>
      </c>
      <c r="I48" s="35">
        <f t="shared" si="27"/>
        <v>18.360160965794769</v>
      </c>
      <c r="J48" s="35">
        <f t="shared" si="27"/>
        <v>36.720321931589538</v>
      </c>
      <c r="K48" s="35">
        <f t="shared" si="27"/>
        <v>73.440643863179076</v>
      </c>
      <c r="L48" s="35">
        <f t="shared" si="27"/>
        <v>146.88128772635815</v>
      </c>
      <c r="M48" s="35">
        <f t="shared" si="27"/>
        <v>293.76257545271631</v>
      </c>
      <c r="N48" s="35">
        <f t="shared" si="27"/>
        <v>587.52515090543261</v>
      </c>
      <c r="O48" s="35">
        <f t="shared" si="27"/>
        <v>1175.0503018108652</v>
      </c>
      <c r="P48" s="35">
        <f t="shared" si="27"/>
        <v>2350.1006036217304</v>
      </c>
      <c r="Q48" s="35">
        <f t="shared" si="27"/>
        <v>4700.2012072434609</v>
      </c>
      <c r="R48" s="35">
        <f t="shared" si="27"/>
        <v>9400.4024144869218</v>
      </c>
      <c r="S48" s="35">
        <f t="shared" si="27"/>
        <v>18800.804828973844</v>
      </c>
      <c r="T48" s="35">
        <f t="shared" si="27"/>
        <v>37601.609657947687</v>
      </c>
      <c r="U48" s="35">
        <f t="shared" si="27"/>
        <v>75203.219315895374</v>
      </c>
      <c r="V48" s="35">
        <f t="shared" si="27"/>
        <v>150406.43863179075</v>
      </c>
      <c r="W48" s="35">
        <f t="shared" si="27"/>
        <v>300812.8772635815</v>
      </c>
      <c r="X48" s="35">
        <f>X$14*$D$48</f>
        <v>601625.75452716299</v>
      </c>
      <c r="Y48" s="35">
        <f>Y$14*$D$48</f>
        <v>1203251.509054326</v>
      </c>
      <c r="Z48" s="35">
        <f>Z$14*$D$48</f>
        <v>2406503.018108652</v>
      </c>
      <c r="AA48" s="98">
        <f>AA$14*$D$48</f>
        <v>3765154.9295774647</v>
      </c>
      <c r="AB48" s="59"/>
    </row>
    <row r="49" spans="1:28" x14ac:dyDescent="0.25">
      <c r="A49" s="55"/>
      <c r="B49" s="18"/>
      <c r="C49" s="22"/>
      <c r="D49" s="20"/>
      <c r="E49" s="41">
        <v>4.0000000000000001E-3</v>
      </c>
      <c r="F49" s="22"/>
      <c r="G49" s="43">
        <f>G$14*$D$48*$E$49</f>
        <v>1.8360160965794771E-2</v>
      </c>
      <c r="H49" s="44">
        <f t="shared" ref="H49:W49" si="28">H$14*$D$48*$E$49</f>
        <v>3.6720321931589542E-2</v>
      </c>
      <c r="I49" s="44">
        <f t="shared" si="28"/>
        <v>7.3440643863179084E-2</v>
      </c>
      <c r="J49" s="44">
        <f t="shared" si="28"/>
        <v>0.14688128772635817</v>
      </c>
      <c r="K49" s="44">
        <f t="shared" si="28"/>
        <v>0.29376257545271633</v>
      </c>
      <c r="L49" s="44">
        <f t="shared" si="28"/>
        <v>0.58752515090543267</v>
      </c>
      <c r="M49" s="44">
        <f t="shared" si="28"/>
        <v>1.1750503018108653</v>
      </c>
      <c r="N49" s="44">
        <f t="shared" si="28"/>
        <v>2.3501006036217307</v>
      </c>
      <c r="O49" s="44">
        <f t="shared" si="28"/>
        <v>4.7002012072434614</v>
      </c>
      <c r="P49" s="44">
        <f t="shared" si="28"/>
        <v>9.4004024144869227</v>
      </c>
      <c r="Q49" s="44">
        <f t="shared" si="28"/>
        <v>18.800804828973845</v>
      </c>
      <c r="R49" s="44">
        <f t="shared" si="28"/>
        <v>37.601609657947691</v>
      </c>
      <c r="S49" s="44">
        <f t="shared" si="28"/>
        <v>75.203219315895382</v>
      </c>
      <c r="T49" s="44">
        <f t="shared" si="28"/>
        <v>150.40643863179076</v>
      </c>
      <c r="U49" s="44">
        <f t="shared" si="28"/>
        <v>300.81287726358153</v>
      </c>
      <c r="V49" s="44">
        <f t="shared" si="28"/>
        <v>601.62575452716305</v>
      </c>
      <c r="W49" s="44">
        <f t="shared" si="28"/>
        <v>1203.2515090543261</v>
      </c>
      <c r="X49" s="44">
        <f>X$14*$D$48*$E$49</f>
        <v>2406.5030181086522</v>
      </c>
      <c r="Y49" s="44">
        <f>Y$14*$D$48*$E$49</f>
        <v>4813.0060362173044</v>
      </c>
      <c r="Z49" s="44">
        <f>Z$14*$D$48*$E$49</f>
        <v>9626.0120724346089</v>
      </c>
      <c r="AA49" s="88">
        <f>AA$14*$D$48*$E$49</f>
        <v>15060.619718309859</v>
      </c>
      <c r="AB49" s="59"/>
    </row>
    <row r="50" spans="1:28" x14ac:dyDescent="0.25">
      <c r="A50" s="55" t="s">
        <v>18</v>
      </c>
      <c r="B50" s="18">
        <f>'ABS Population by Age Range'!D49</f>
        <v>0.14481341657950456</v>
      </c>
      <c r="C50" s="22">
        <f t="shared" si="20"/>
        <v>3712147.1205990198</v>
      </c>
      <c r="D50" s="99">
        <f>'AU Infection Rate by Age'!C9</f>
        <v>0.1750503018108652</v>
      </c>
      <c r="E50" s="31"/>
      <c r="F50" s="22"/>
      <c r="G50" s="34">
        <f t="shared" ref="G50:W50" si="29">G$14*$D$50</f>
        <v>5.4703219315895373</v>
      </c>
      <c r="H50" s="35">
        <f t="shared" si="29"/>
        <v>10.940643863179075</v>
      </c>
      <c r="I50" s="35">
        <f t="shared" si="29"/>
        <v>21.881287726358149</v>
      </c>
      <c r="J50" s="35">
        <f t="shared" si="29"/>
        <v>43.762575452716298</v>
      </c>
      <c r="K50" s="35">
        <f t="shared" si="29"/>
        <v>87.525150905432596</v>
      </c>
      <c r="L50" s="35">
        <f t="shared" si="29"/>
        <v>175.05030181086519</v>
      </c>
      <c r="M50" s="35">
        <f t="shared" si="29"/>
        <v>350.10060362173039</v>
      </c>
      <c r="N50" s="35">
        <f t="shared" si="29"/>
        <v>700.20120724346077</v>
      </c>
      <c r="O50" s="35">
        <f t="shared" si="29"/>
        <v>1400.4024144869215</v>
      </c>
      <c r="P50" s="35">
        <f t="shared" si="29"/>
        <v>2800.8048289738431</v>
      </c>
      <c r="Q50" s="35">
        <f t="shared" si="29"/>
        <v>5601.6096579476862</v>
      </c>
      <c r="R50" s="35">
        <f t="shared" si="29"/>
        <v>11203.219315895372</v>
      </c>
      <c r="S50" s="35">
        <f t="shared" si="29"/>
        <v>22406.438631790745</v>
      </c>
      <c r="T50" s="35">
        <f t="shared" si="29"/>
        <v>44812.877263581489</v>
      </c>
      <c r="U50" s="35">
        <f t="shared" si="29"/>
        <v>89625.754527162979</v>
      </c>
      <c r="V50" s="35">
        <f t="shared" si="29"/>
        <v>179251.50905432596</v>
      </c>
      <c r="W50" s="35">
        <f t="shared" si="29"/>
        <v>358503.01810865192</v>
      </c>
      <c r="X50" s="35">
        <f>X$14*$D$50</f>
        <v>717006.03621730383</v>
      </c>
      <c r="Y50" s="35">
        <f>Y$14*$D$50</f>
        <v>1434012.0724346077</v>
      </c>
      <c r="Z50" s="35">
        <f>Z$14*$D$50</f>
        <v>2868024.1448692153</v>
      </c>
      <c r="AA50" s="98">
        <f>AA$14*$D$50</f>
        <v>4487239.4366197186</v>
      </c>
      <c r="AB50" s="59"/>
    </row>
    <row r="51" spans="1:28" x14ac:dyDescent="0.25">
      <c r="A51" s="55"/>
      <c r="B51" s="18"/>
      <c r="C51" s="22"/>
      <c r="D51" s="20"/>
      <c r="E51" s="41">
        <v>2E-3</v>
      </c>
      <c r="F51" s="22"/>
      <c r="G51" s="43">
        <f t="shared" ref="G51:W51" si="30">G$14*$D$50*$E$51</f>
        <v>1.0940643863179075E-2</v>
      </c>
      <c r="H51" s="44">
        <f t="shared" si="30"/>
        <v>2.188128772635815E-2</v>
      </c>
      <c r="I51" s="44">
        <f t="shared" si="30"/>
        <v>4.37625754527163E-2</v>
      </c>
      <c r="J51" s="44">
        <f t="shared" si="30"/>
        <v>8.75251509054326E-2</v>
      </c>
      <c r="K51" s="44">
        <f t="shared" si="30"/>
        <v>0.1750503018108652</v>
      </c>
      <c r="L51" s="44">
        <f t="shared" si="30"/>
        <v>0.3501006036217304</v>
      </c>
      <c r="M51" s="44">
        <f t="shared" si="30"/>
        <v>0.7002012072434608</v>
      </c>
      <c r="N51" s="44">
        <f t="shared" si="30"/>
        <v>1.4004024144869216</v>
      </c>
      <c r="O51" s="44">
        <f t="shared" si="30"/>
        <v>2.8008048289738432</v>
      </c>
      <c r="P51" s="44">
        <f t="shared" si="30"/>
        <v>5.6016096579476864</v>
      </c>
      <c r="Q51" s="44">
        <f t="shared" si="30"/>
        <v>11.203219315895373</v>
      </c>
      <c r="R51" s="44">
        <f t="shared" si="30"/>
        <v>22.406438631790746</v>
      </c>
      <c r="S51" s="44">
        <f t="shared" si="30"/>
        <v>44.812877263581491</v>
      </c>
      <c r="T51" s="44">
        <f t="shared" si="30"/>
        <v>89.625754527162982</v>
      </c>
      <c r="U51" s="44">
        <f t="shared" si="30"/>
        <v>179.25150905432596</v>
      </c>
      <c r="V51" s="44">
        <f t="shared" si="30"/>
        <v>358.50301810865193</v>
      </c>
      <c r="W51" s="44">
        <f t="shared" si="30"/>
        <v>717.00603621730386</v>
      </c>
      <c r="X51" s="44">
        <f>X$14*$D$50*$E$51</f>
        <v>1434.0120724346077</v>
      </c>
      <c r="Y51" s="44">
        <f>Y$14*$D$50*$E$51</f>
        <v>2868.0241448692154</v>
      </c>
      <c r="Z51" s="44">
        <f>Z$14*$D$50*$E$51</f>
        <v>5736.0482897384309</v>
      </c>
      <c r="AA51" s="88">
        <f>AA$14*$D$50*$E$51</f>
        <v>8974.4788732394372</v>
      </c>
      <c r="AB51" s="59"/>
    </row>
    <row r="52" spans="1:28" x14ac:dyDescent="0.25">
      <c r="A52" s="55" t="s">
        <v>19</v>
      </c>
      <c r="B52" s="18">
        <f>'ABS Population by Age Range'!D37</f>
        <v>0.14458334093878666</v>
      </c>
      <c r="C52" s="22">
        <f t="shared" si="20"/>
        <v>3706249.3616248574</v>
      </c>
      <c r="D52" s="99">
        <f>'AU Infection Rate by Age'!C10</f>
        <v>0.18008048289738432</v>
      </c>
      <c r="E52" s="31"/>
      <c r="F52" s="22"/>
      <c r="G52" s="34">
        <f t="shared" ref="G52:W52" si="31">G$14*$D$52</f>
        <v>5.6275150905432598</v>
      </c>
      <c r="H52" s="35">
        <f t="shared" si="31"/>
        <v>11.25503018108652</v>
      </c>
      <c r="I52" s="35">
        <f t="shared" si="31"/>
        <v>22.510060362173039</v>
      </c>
      <c r="J52" s="35">
        <f t="shared" si="31"/>
        <v>45.020120724346079</v>
      </c>
      <c r="K52" s="35">
        <f t="shared" si="31"/>
        <v>90.040241448692157</v>
      </c>
      <c r="L52" s="35">
        <f t="shared" si="31"/>
        <v>180.08048289738431</v>
      </c>
      <c r="M52" s="35">
        <f t="shared" si="31"/>
        <v>360.16096579476863</v>
      </c>
      <c r="N52" s="35">
        <f t="shared" si="31"/>
        <v>720.32193158953726</v>
      </c>
      <c r="O52" s="35">
        <f t="shared" si="31"/>
        <v>1440.6438631790745</v>
      </c>
      <c r="P52" s="35">
        <f t="shared" si="31"/>
        <v>2881.287726358149</v>
      </c>
      <c r="Q52" s="35">
        <f t="shared" si="31"/>
        <v>5762.5754527162981</v>
      </c>
      <c r="R52" s="35">
        <f t="shared" si="31"/>
        <v>11525.150905432596</v>
      </c>
      <c r="S52" s="35">
        <f t="shared" si="31"/>
        <v>23050.301810865192</v>
      </c>
      <c r="T52" s="35">
        <f t="shared" si="31"/>
        <v>46100.603621730384</v>
      </c>
      <c r="U52" s="35">
        <f t="shared" si="31"/>
        <v>92201.207243460769</v>
      </c>
      <c r="V52" s="35">
        <f t="shared" si="31"/>
        <v>184402.41448692154</v>
      </c>
      <c r="W52" s="35">
        <f t="shared" si="31"/>
        <v>368804.82897384308</v>
      </c>
      <c r="X52" s="35">
        <f>X$14*$D$52</f>
        <v>737609.65794768615</v>
      </c>
      <c r="Y52" s="35">
        <f>Y$14*$D$52</f>
        <v>1475219.3158953723</v>
      </c>
      <c r="Z52" s="35">
        <f>Z$14*$D$52</f>
        <v>2950438.6317907446</v>
      </c>
      <c r="AA52" s="98">
        <f>AA$14*$D$52</f>
        <v>4616183.0985915493</v>
      </c>
      <c r="AB52" s="59"/>
    </row>
    <row r="53" spans="1:28" x14ac:dyDescent="0.25">
      <c r="A53" s="55"/>
      <c r="B53" s="18"/>
      <c r="C53" s="22"/>
      <c r="D53" s="20"/>
      <c r="E53" s="41">
        <v>2E-3</v>
      </c>
      <c r="F53" s="22"/>
      <c r="G53" s="43">
        <f t="shared" ref="G53:W53" si="32">G$14*$D$52*$E$53</f>
        <v>1.125503018108652E-2</v>
      </c>
      <c r="H53" s="44">
        <f t="shared" si="32"/>
        <v>2.251006036217304E-2</v>
      </c>
      <c r="I53" s="44">
        <f t="shared" si="32"/>
        <v>4.502012072434608E-2</v>
      </c>
      <c r="J53" s="44">
        <f t="shared" si="32"/>
        <v>9.004024144869216E-2</v>
      </c>
      <c r="K53" s="44">
        <f t="shared" si="32"/>
        <v>0.18008048289738432</v>
      </c>
      <c r="L53" s="44">
        <f t="shared" si="32"/>
        <v>0.36016096579476864</v>
      </c>
      <c r="M53" s="44">
        <f t="shared" si="32"/>
        <v>0.72032193158953728</v>
      </c>
      <c r="N53" s="44">
        <f t="shared" si="32"/>
        <v>1.4406438631790746</v>
      </c>
      <c r="O53" s="44">
        <f t="shared" si="32"/>
        <v>2.8812877263581491</v>
      </c>
      <c r="P53" s="44">
        <f t="shared" si="32"/>
        <v>5.7625754527162982</v>
      </c>
      <c r="Q53" s="44">
        <f t="shared" si="32"/>
        <v>11.525150905432596</v>
      </c>
      <c r="R53" s="44">
        <f t="shared" si="32"/>
        <v>23.050301810865193</v>
      </c>
      <c r="S53" s="44">
        <f t="shared" si="32"/>
        <v>46.100603621730386</v>
      </c>
      <c r="T53" s="44">
        <f t="shared" si="32"/>
        <v>92.201207243460772</v>
      </c>
      <c r="U53" s="44">
        <f t="shared" si="32"/>
        <v>184.40241448692154</v>
      </c>
      <c r="V53" s="44">
        <f t="shared" si="32"/>
        <v>368.80482897384309</v>
      </c>
      <c r="W53" s="44">
        <f t="shared" si="32"/>
        <v>737.60965794768617</v>
      </c>
      <c r="X53" s="44">
        <f>X$14*$D$52*$E$53</f>
        <v>1475.2193158953723</v>
      </c>
      <c r="Y53" s="44">
        <f>Y$14*$D$52*$E$53</f>
        <v>2950.4386317907447</v>
      </c>
      <c r="Z53" s="44">
        <f>Z$14*$D$52*$E$53</f>
        <v>5900.8772635814894</v>
      </c>
      <c r="AA53" s="88">
        <f>AA$14*$D$52*$E$53</f>
        <v>9232.3661971830988</v>
      </c>
      <c r="AB53" s="59"/>
    </row>
    <row r="54" spans="1:28" x14ac:dyDescent="0.25">
      <c r="A54" s="56" t="s">
        <v>20</v>
      </c>
      <c r="B54" s="18">
        <f>'ABS Population by Age Range'!D25</f>
        <v>0.12056476079328157</v>
      </c>
      <c r="C54" s="22">
        <f t="shared" si="20"/>
        <v>3090557.0781749799</v>
      </c>
      <c r="D54" s="37">
        <f>'AU Infection Rate by Age'!C11</f>
        <v>3.3199195171026159E-2</v>
      </c>
      <c r="E54" s="31"/>
      <c r="F54" s="22"/>
      <c r="G54" s="34">
        <f t="shared" ref="G54:W54" si="33">G$14*$D$54</f>
        <v>1.0374748490945676</v>
      </c>
      <c r="H54" s="35">
        <f t="shared" si="33"/>
        <v>2.0749496981891351</v>
      </c>
      <c r="I54" s="35">
        <f t="shared" si="33"/>
        <v>4.1498993963782702</v>
      </c>
      <c r="J54" s="35">
        <f t="shared" si="33"/>
        <v>8.2997987927565404</v>
      </c>
      <c r="K54" s="35">
        <f t="shared" si="33"/>
        <v>16.599597585513081</v>
      </c>
      <c r="L54" s="35">
        <f t="shared" si="33"/>
        <v>33.199195171026162</v>
      </c>
      <c r="M54" s="35">
        <f t="shared" si="33"/>
        <v>66.398390342052323</v>
      </c>
      <c r="N54" s="35">
        <f t="shared" si="33"/>
        <v>132.79678068410465</v>
      </c>
      <c r="O54" s="35">
        <f t="shared" si="33"/>
        <v>265.59356136820929</v>
      </c>
      <c r="P54" s="35">
        <f t="shared" si="33"/>
        <v>531.18712273641859</v>
      </c>
      <c r="Q54" s="35">
        <f t="shared" si="33"/>
        <v>1062.3742454728372</v>
      </c>
      <c r="R54" s="35">
        <f t="shared" si="33"/>
        <v>2124.7484909456743</v>
      </c>
      <c r="S54" s="35">
        <f t="shared" si="33"/>
        <v>4249.4969818913487</v>
      </c>
      <c r="T54" s="35">
        <f t="shared" si="33"/>
        <v>8498.9939637826974</v>
      </c>
      <c r="U54" s="35">
        <f t="shared" si="33"/>
        <v>16997.987927565395</v>
      </c>
      <c r="V54" s="35">
        <f t="shared" si="33"/>
        <v>33995.97585513079</v>
      </c>
      <c r="W54" s="35">
        <f t="shared" si="33"/>
        <v>67991.951710261579</v>
      </c>
      <c r="X54" s="35">
        <f>X$14*$D$54</f>
        <v>135983.90342052316</v>
      </c>
      <c r="Y54" s="35">
        <f>Y$14*$D$54</f>
        <v>271967.80684104632</v>
      </c>
      <c r="Z54" s="35">
        <f>Z$14*$D$54</f>
        <v>543935.61368209263</v>
      </c>
      <c r="AA54" s="89">
        <f>AA$14*$D$54</f>
        <v>851028.16901408462</v>
      </c>
      <c r="AB54" s="59"/>
    </row>
    <row r="55" spans="1:28" x14ac:dyDescent="0.25">
      <c r="A55" s="56"/>
      <c r="B55" s="18"/>
      <c r="C55" s="22"/>
      <c r="D55" s="20"/>
      <c r="E55" s="41">
        <v>2E-3</v>
      </c>
      <c r="F55" s="22"/>
      <c r="G55" s="43">
        <f t="shared" ref="G55:W55" si="34">G$14*$D$54*$E$55</f>
        <v>2.074949698189135E-3</v>
      </c>
      <c r="H55" s="44">
        <f t="shared" si="34"/>
        <v>4.1498993963782699E-3</v>
      </c>
      <c r="I55" s="44">
        <f t="shared" si="34"/>
        <v>8.2997987927565398E-3</v>
      </c>
      <c r="J55" s="44">
        <f t="shared" si="34"/>
        <v>1.659959758551308E-2</v>
      </c>
      <c r="K55" s="44">
        <f t="shared" si="34"/>
        <v>3.3199195171026159E-2</v>
      </c>
      <c r="L55" s="44">
        <f t="shared" si="34"/>
        <v>6.6398390342052319E-2</v>
      </c>
      <c r="M55" s="44">
        <f t="shared" si="34"/>
        <v>0.13279678068410464</v>
      </c>
      <c r="N55" s="44">
        <f t="shared" si="34"/>
        <v>0.26559356136820927</v>
      </c>
      <c r="O55" s="44">
        <f t="shared" si="34"/>
        <v>0.53118712273641855</v>
      </c>
      <c r="P55" s="44">
        <f t="shared" si="34"/>
        <v>1.0623742454728371</v>
      </c>
      <c r="Q55" s="44">
        <f t="shared" si="34"/>
        <v>2.1247484909456742</v>
      </c>
      <c r="R55" s="44">
        <f t="shared" si="34"/>
        <v>4.2494969818913484</v>
      </c>
      <c r="S55" s="44">
        <f t="shared" si="34"/>
        <v>8.4989939637826968</v>
      </c>
      <c r="T55" s="44">
        <f t="shared" si="34"/>
        <v>16.997987927565394</v>
      </c>
      <c r="U55" s="44">
        <f t="shared" si="34"/>
        <v>33.995975855130787</v>
      </c>
      <c r="V55" s="44">
        <f t="shared" si="34"/>
        <v>67.991951710261574</v>
      </c>
      <c r="W55" s="44">
        <f t="shared" si="34"/>
        <v>135.98390342052315</v>
      </c>
      <c r="X55" s="44">
        <f>X$14*$D$54*$E$55</f>
        <v>271.9678068410463</v>
      </c>
      <c r="Y55" s="44">
        <f>Y$14*$D$54*$E$55</f>
        <v>543.93561368209259</v>
      </c>
      <c r="Z55" s="44">
        <f>Z$14*$D$54*$E$55</f>
        <v>1087.8712273641852</v>
      </c>
      <c r="AA55" s="88">
        <f>AA$14*$D$54*$E$55</f>
        <v>1702.0563380281692</v>
      </c>
      <c r="AB55" s="59"/>
    </row>
    <row r="56" spans="1:28" x14ac:dyDescent="0.25">
      <c r="A56" s="56" t="s">
        <v>21</v>
      </c>
      <c r="B56" s="18">
        <f>'ABS Population by Age Range'!D13</f>
        <v>0.1255958322404806</v>
      </c>
      <c r="C56" s="22">
        <f t="shared" si="20"/>
        <v>3219523.5636524796</v>
      </c>
      <c r="D56" s="37">
        <f>'AU Infection Rate by Age'!C12</f>
        <v>6.0362173038229373E-3</v>
      </c>
      <c r="E56" s="31"/>
      <c r="F56" s="22"/>
      <c r="G56" s="34">
        <f t="shared" ref="G56:W56" si="35">G$14*$D$56</f>
        <v>0.18863179074446679</v>
      </c>
      <c r="H56" s="35">
        <f t="shared" si="35"/>
        <v>0.37726358148893357</v>
      </c>
      <c r="I56" s="35">
        <f t="shared" si="35"/>
        <v>0.75452716297786715</v>
      </c>
      <c r="J56" s="35">
        <f t="shared" si="35"/>
        <v>1.5090543259557343</v>
      </c>
      <c r="K56" s="35">
        <f t="shared" si="35"/>
        <v>3.0181086519114686</v>
      </c>
      <c r="L56" s="35">
        <f t="shared" si="35"/>
        <v>6.0362173038229372</v>
      </c>
      <c r="M56" s="35">
        <f t="shared" si="35"/>
        <v>12.072434607645874</v>
      </c>
      <c r="N56" s="35">
        <f t="shared" si="35"/>
        <v>24.144869215291749</v>
      </c>
      <c r="O56" s="35">
        <f t="shared" si="35"/>
        <v>48.289738430583498</v>
      </c>
      <c r="P56" s="35">
        <f t="shared" si="35"/>
        <v>96.579476861166995</v>
      </c>
      <c r="Q56" s="35">
        <f t="shared" si="35"/>
        <v>193.15895372233399</v>
      </c>
      <c r="R56" s="35">
        <f t="shared" si="35"/>
        <v>386.31790744466798</v>
      </c>
      <c r="S56" s="35">
        <f t="shared" si="35"/>
        <v>772.63581488933596</v>
      </c>
      <c r="T56" s="35">
        <f t="shared" si="35"/>
        <v>1545.2716297786719</v>
      </c>
      <c r="U56" s="35">
        <f t="shared" si="35"/>
        <v>3090.5432595573438</v>
      </c>
      <c r="V56" s="35">
        <f t="shared" si="35"/>
        <v>6181.0865191146877</v>
      </c>
      <c r="W56" s="35">
        <f t="shared" si="35"/>
        <v>12362.173038229375</v>
      </c>
      <c r="X56" s="35">
        <f>X$14*$D$56</f>
        <v>24724.346076458751</v>
      </c>
      <c r="Y56" s="35">
        <f>Y$14*$D$56</f>
        <v>49448.692152917502</v>
      </c>
      <c r="Z56" s="35">
        <f>Z$14*$D$56</f>
        <v>98897.384305835003</v>
      </c>
      <c r="AA56" s="89">
        <f>AA$14*$D$56</f>
        <v>154732.39436619717</v>
      </c>
      <c r="AB56" s="59"/>
    </row>
    <row r="57" spans="1:28" x14ac:dyDescent="0.25">
      <c r="A57" s="56"/>
      <c r="B57" s="19"/>
      <c r="C57" s="24"/>
      <c r="D57" s="40"/>
      <c r="E57" s="42">
        <v>0</v>
      </c>
      <c r="F57" s="22"/>
      <c r="G57" s="45">
        <f t="shared" ref="G57:W57" si="36">G$14*$D$56*$E$57</f>
        <v>0</v>
      </c>
      <c r="H57" s="46">
        <f t="shared" si="36"/>
        <v>0</v>
      </c>
      <c r="I57" s="46">
        <f t="shared" si="36"/>
        <v>0</v>
      </c>
      <c r="J57" s="46">
        <f t="shared" si="36"/>
        <v>0</v>
      </c>
      <c r="K57" s="46">
        <f t="shared" si="36"/>
        <v>0</v>
      </c>
      <c r="L57" s="46">
        <f t="shared" si="36"/>
        <v>0</v>
      </c>
      <c r="M57" s="46">
        <f t="shared" si="36"/>
        <v>0</v>
      </c>
      <c r="N57" s="46">
        <f t="shared" si="36"/>
        <v>0</v>
      </c>
      <c r="O57" s="46">
        <f t="shared" si="36"/>
        <v>0</v>
      </c>
      <c r="P57" s="46">
        <f t="shared" si="36"/>
        <v>0</v>
      </c>
      <c r="Q57" s="46">
        <f t="shared" si="36"/>
        <v>0</v>
      </c>
      <c r="R57" s="46">
        <f t="shared" si="36"/>
        <v>0</v>
      </c>
      <c r="S57" s="46">
        <f t="shared" si="36"/>
        <v>0</v>
      </c>
      <c r="T57" s="46">
        <f t="shared" si="36"/>
        <v>0</v>
      </c>
      <c r="U57" s="46">
        <f t="shared" si="36"/>
        <v>0</v>
      </c>
      <c r="V57" s="46">
        <f t="shared" si="36"/>
        <v>0</v>
      </c>
      <c r="W57" s="46">
        <f t="shared" si="36"/>
        <v>0</v>
      </c>
      <c r="X57" s="46">
        <f>X$14*$D$56*$E$57</f>
        <v>0</v>
      </c>
      <c r="Y57" s="46">
        <f>Y$14*$D$56*$E$57</f>
        <v>0</v>
      </c>
      <c r="Z57" s="46">
        <f>Z$14*$D$56*$E$57</f>
        <v>0</v>
      </c>
      <c r="AA57" s="90">
        <f>AA$14*$D$56*$E$57</f>
        <v>0</v>
      </c>
      <c r="AB57" s="59"/>
    </row>
    <row r="58" spans="1:28" x14ac:dyDescent="0.25">
      <c r="A58" s="55" t="s">
        <v>131</v>
      </c>
      <c r="B58" s="28"/>
      <c r="C58" s="22"/>
      <c r="D58" s="22"/>
      <c r="E58" s="29"/>
      <c r="F58" s="22"/>
      <c r="G58" s="32">
        <f t="shared" ref="G58:W58" si="37">SUM(G40,G42,G44,G46,G48,G50,G52,G54,G56)</f>
        <v>31.25</v>
      </c>
      <c r="H58" s="33">
        <f t="shared" si="37"/>
        <v>62.5</v>
      </c>
      <c r="I58" s="33">
        <f t="shared" si="37"/>
        <v>125</v>
      </c>
      <c r="J58" s="33">
        <f t="shared" si="37"/>
        <v>250</v>
      </c>
      <c r="K58" s="33">
        <f t="shared" si="37"/>
        <v>500</v>
      </c>
      <c r="L58" s="33">
        <f>SUM(L40,L42,L44,L46,L48,L50,L52,L54,L56)</f>
        <v>1000</v>
      </c>
      <c r="M58" s="33">
        <f t="shared" si="37"/>
        <v>2000</v>
      </c>
      <c r="N58" s="33">
        <f t="shared" si="37"/>
        <v>4000</v>
      </c>
      <c r="O58" s="33">
        <f t="shared" si="37"/>
        <v>8000</v>
      </c>
      <c r="P58" s="33">
        <f t="shared" si="37"/>
        <v>16000</v>
      </c>
      <c r="Q58" s="33">
        <f t="shared" si="37"/>
        <v>32000</v>
      </c>
      <c r="R58" s="33">
        <f t="shared" si="37"/>
        <v>64000</v>
      </c>
      <c r="S58" s="33">
        <f t="shared" si="37"/>
        <v>128000</v>
      </c>
      <c r="T58" s="33">
        <f t="shared" si="37"/>
        <v>256000</v>
      </c>
      <c r="U58" s="33">
        <f t="shared" si="37"/>
        <v>512000</v>
      </c>
      <c r="V58" s="33">
        <f t="shared" si="37"/>
        <v>1024000</v>
      </c>
      <c r="W58" s="33">
        <f t="shared" si="37"/>
        <v>2048000</v>
      </c>
      <c r="X58" s="33">
        <f t="shared" ref="X58:AA59" si="38">SUM(X40,X42,X44,X46,X48,X50,X52,X54,X56)</f>
        <v>4096000</v>
      </c>
      <c r="Y58" s="33">
        <f t="shared" si="38"/>
        <v>8192000</v>
      </c>
      <c r="Z58" s="33">
        <f t="shared" si="38"/>
        <v>16384000</v>
      </c>
      <c r="AA58" s="76">
        <f t="shared" si="38"/>
        <v>25634000.000000004</v>
      </c>
      <c r="AB58" s="59"/>
    </row>
    <row r="59" spans="1:28" x14ac:dyDescent="0.25">
      <c r="A59" s="57" t="s">
        <v>130</v>
      </c>
      <c r="B59" s="58"/>
      <c r="C59" s="24"/>
      <c r="D59" s="24"/>
      <c r="E59" s="52"/>
      <c r="F59" s="24"/>
      <c r="G59" s="45">
        <f>SUM(G41,G43,G45,G47,G49,G51,G53,G55,G57)</f>
        <v>0.67511317907444657</v>
      </c>
      <c r="H59" s="46">
        <f>SUM(H41,H43,H45,H47,H49,H51,H53,H55,H57)</f>
        <v>1.3502263581488931</v>
      </c>
      <c r="I59" s="46">
        <f t="shared" ref="I59:W59" si="39">SUM(I41,I43,I45,I47,I49,I51,I53,I55,I57)</f>
        <v>2.7004527162977863</v>
      </c>
      <c r="J59" s="46">
        <f t="shared" si="39"/>
        <v>5.4009054325955725</v>
      </c>
      <c r="K59" s="46">
        <f t="shared" si="39"/>
        <v>10.801810865191145</v>
      </c>
      <c r="L59" s="46">
        <f t="shared" si="39"/>
        <v>21.60362173038229</v>
      </c>
      <c r="M59" s="46">
        <f t="shared" si="39"/>
        <v>43.20724346076458</v>
      </c>
      <c r="N59" s="46">
        <f t="shared" si="39"/>
        <v>86.414486921529161</v>
      </c>
      <c r="O59" s="46">
        <f t="shared" si="39"/>
        <v>172.82897384305832</v>
      </c>
      <c r="P59" s="46">
        <f t="shared" si="39"/>
        <v>345.65794768611664</v>
      </c>
      <c r="Q59" s="46">
        <f t="shared" si="39"/>
        <v>691.31589537223329</v>
      </c>
      <c r="R59" s="46">
        <f t="shared" si="39"/>
        <v>1382.6317907444666</v>
      </c>
      <c r="S59" s="46">
        <f t="shared" si="39"/>
        <v>2765.2635814889331</v>
      </c>
      <c r="T59" s="46">
        <f t="shared" si="39"/>
        <v>5530.5271629778663</v>
      </c>
      <c r="U59" s="46">
        <f t="shared" si="39"/>
        <v>11061.054325955733</v>
      </c>
      <c r="V59" s="46">
        <f t="shared" si="39"/>
        <v>22122.108651911465</v>
      </c>
      <c r="W59" s="46">
        <f t="shared" si="39"/>
        <v>44244.21730382293</v>
      </c>
      <c r="X59" s="46">
        <f t="shared" si="38"/>
        <v>88488.434607645861</v>
      </c>
      <c r="Y59" s="46">
        <f t="shared" si="38"/>
        <v>176976.86921529172</v>
      </c>
      <c r="Z59" s="46">
        <f t="shared" si="38"/>
        <v>353953.73843058344</v>
      </c>
      <c r="AA59" s="90">
        <f t="shared" si="38"/>
        <v>553787.2394366198</v>
      </c>
      <c r="AB59" s="59"/>
    </row>
    <row r="60" spans="1:28" x14ac:dyDescent="0.25">
      <c r="A60" s="56"/>
      <c r="B60" s="28"/>
      <c r="C60" s="22"/>
      <c r="D60" s="22"/>
      <c r="E60" s="29"/>
      <c r="F60" s="22"/>
      <c r="G60" s="59"/>
      <c r="H60" s="59"/>
      <c r="I60" s="59"/>
      <c r="J60" s="59"/>
      <c r="K60" s="59"/>
      <c r="L60" s="59"/>
      <c r="M60" s="59"/>
      <c r="N60" s="59"/>
      <c r="O60" s="59"/>
      <c r="P60" s="59"/>
      <c r="Q60" s="59"/>
      <c r="R60" s="59"/>
      <c r="S60" s="59"/>
      <c r="T60" s="59"/>
      <c r="U60" s="59"/>
      <c r="V60" s="59"/>
      <c r="W60" s="59"/>
      <c r="X60" s="59"/>
    </row>
    <row r="61" spans="1:28" x14ac:dyDescent="0.25">
      <c r="A61" s="70" t="s">
        <v>144</v>
      </c>
      <c r="B61" s="28"/>
      <c r="C61" s="22"/>
      <c r="D61" s="22"/>
      <c r="E61" s="29"/>
      <c r="F61" s="22"/>
      <c r="G61" s="59"/>
      <c r="H61" s="59"/>
      <c r="I61" s="59"/>
      <c r="J61" s="59"/>
      <c r="K61" s="59"/>
      <c r="L61" s="59"/>
      <c r="M61" s="59"/>
      <c r="N61" s="59"/>
      <c r="O61" s="59"/>
      <c r="P61" s="59"/>
      <c r="Q61" s="59"/>
      <c r="R61" s="59"/>
      <c r="S61" s="59"/>
      <c r="T61" s="59"/>
      <c r="U61" s="59"/>
      <c r="V61" s="59"/>
      <c r="W61" s="59"/>
      <c r="X61" s="59"/>
    </row>
    <row r="62" spans="1:28" x14ac:dyDescent="0.25">
      <c r="A62" s="16"/>
      <c r="B62" s="21" t="s">
        <v>6</v>
      </c>
      <c r="C62" s="21" t="s">
        <v>4</v>
      </c>
      <c r="D62" s="21"/>
      <c r="E62" s="75" t="s">
        <v>3</v>
      </c>
      <c r="F62" s="21"/>
      <c r="G62" s="21"/>
      <c r="H62" s="21"/>
      <c r="I62" s="21"/>
      <c r="J62" s="21"/>
      <c r="K62" s="21"/>
      <c r="L62" s="21"/>
      <c r="M62" s="21"/>
      <c r="N62" s="21"/>
      <c r="O62" s="21"/>
      <c r="P62" s="21"/>
      <c r="Q62" s="21"/>
      <c r="R62" s="21"/>
      <c r="S62" s="21"/>
      <c r="T62" s="21"/>
      <c r="U62" s="21"/>
      <c r="V62" s="21"/>
      <c r="W62" s="21"/>
      <c r="X62" s="21"/>
      <c r="Y62" s="21"/>
      <c r="Z62" s="21"/>
      <c r="AA62" s="17"/>
      <c r="AB62" s="61"/>
    </row>
    <row r="63" spans="1:28" x14ac:dyDescent="0.25">
      <c r="A63" s="55" t="s">
        <v>2</v>
      </c>
      <c r="B63" s="38">
        <v>0.05</v>
      </c>
      <c r="C63" s="22">
        <f>$B$1 * B63</f>
        <v>1281700</v>
      </c>
      <c r="D63" s="30"/>
      <c r="E63" s="30"/>
      <c r="F63" s="30"/>
      <c r="G63" s="32">
        <f>G$14*$B$63</f>
        <v>1.5625</v>
      </c>
      <c r="H63" s="33">
        <f t="shared" ref="H63:W63" si="40">H$14*$B$63</f>
        <v>3.125</v>
      </c>
      <c r="I63" s="33">
        <f t="shared" si="40"/>
        <v>6.25</v>
      </c>
      <c r="J63" s="33">
        <f t="shared" si="40"/>
        <v>12.5</v>
      </c>
      <c r="K63" s="33">
        <f t="shared" si="40"/>
        <v>25</v>
      </c>
      <c r="L63" s="33">
        <f t="shared" si="40"/>
        <v>50</v>
      </c>
      <c r="M63" s="33">
        <f t="shared" si="40"/>
        <v>100</v>
      </c>
      <c r="N63" s="33">
        <f t="shared" si="40"/>
        <v>200</v>
      </c>
      <c r="O63" s="33">
        <f t="shared" si="40"/>
        <v>400</v>
      </c>
      <c r="P63" s="33">
        <f t="shared" si="40"/>
        <v>800</v>
      </c>
      <c r="Q63" s="33">
        <f t="shared" si="40"/>
        <v>1600</v>
      </c>
      <c r="R63" s="33">
        <f t="shared" si="40"/>
        <v>3200</v>
      </c>
      <c r="S63" s="33">
        <f t="shared" si="40"/>
        <v>6400</v>
      </c>
      <c r="T63" s="33">
        <f t="shared" si="40"/>
        <v>12800</v>
      </c>
      <c r="U63" s="33">
        <f t="shared" si="40"/>
        <v>25600</v>
      </c>
      <c r="V63" s="33">
        <f t="shared" si="40"/>
        <v>51200</v>
      </c>
      <c r="W63" s="33">
        <f t="shared" si="40"/>
        <v>102400</v>
      </c>
      <c r="X63" s="33">
        <f>X$14*$B$63</f>
        <v>204800</v>
      </c>
      <c r="Y63" s="33">
        <f>Y$14*$B$63</f>
        <v>409600</v>
      </c>
      <c r="Z63" s="33">
        <f>Z$14*$B$63</f>
        <v>819200</v>
      </c>
      <c r="AA63" s="76">
        <f>AA$14*$B$63</f>
        <v>1281700</v>
      </c>
      <c r="AB63" s="59"/>
    </row>
    <row r="64" spans="1:28" x14ac:dyDescent="0.25">
      <c r="A64" s="55"/>
      <c r="B64" s="30"/>
      <c r="C64" s="30"/>
      <c r="D64" s="39"/>
      <c r="E64" s="60">
        <v>0.105</v>
      </c>
      <c r="F64" s="30"/>
      <c r="G64" s="43">
        <f>G63*$E$64</f>
        <v>0.1640625</v>
      </c>
      <c r="H64" s="44">
        <f t="shared" ref="H64:W64" si="41">H63*$E$64</f>
        <v>0.328125</v>
      </c>
      <c r="I64" s="44">
        <f t="shared" si="41"/>
        <v>0.65625</v>
      </c>
      <c r="J64" s="44">
        <f t="shared" si="41"/>
        <v>1.3125</v>
      </c>
      <c r="K64" s="44">
        <f t="shared" si="41"/>
        <v>2.625</v>
      </c>
      <c r="L64" s="44">
        <f t="shared" si="41"/>
        <v>5.25</v>
      </c>
      <c r="M64" s="44">
        <f t="shared" si="41"/>
        <v>10.5</v>
      </c>
      <c r="N64" s="44">
        <f t="shared" si="41"/>
        <v>21</v>
      </c>
      <c r="O64" s="44">
        <f t="shared" si="41"/>
        <v>42</v>
      </c>
      <c r="P64" s="44">
        <f t="shared" si="41"/>
        <v>84</v>
      </c>
      <c r="Q64" s="44">
        <f t="shared" si="41"/>
        <v>168</v>
      </c>
      <c r="R64" s="44">
        <f t="shared" si="41"/>
        <v>336</v>
      </c>
      <c r="S64" s="44">
        <f t="shared" si="41"/>
        <v>672</v>
      </c>
      <c r="T64" s="44">
        <f t="shared" si="41"/>
        <v>1344</v>
      </c>
      <c r="U64" s="44">
        <f t="shared" si="41"/>
        <v>2688</v>
      </c>
      <c r="V64" s="44">
        <f t="shared" si="41"/>
        <v>5376</v>
      </c>
      <c r="W64" s="44">
        <f t="shared" si="41"/>
        <v>10752</v>
      </c>
      <c r="X64" s="44">
        <f>X63*$E$64</f>
        <v>21504</v>
      </c>
      <c r="Y64" s="44">
        <f>Y63*$E$64</f>
        <v>43008</v>
      </c>
      <c r="Z64" s="44">
        <f>Z63*$E$64</f>
        <v>86016</v>
      </c>
      <c r="AA64" s="88">
        <f>AA63*$E$64</f>
        <v>134578.5</v>
      </c>
      <c r="AB64" s="59"/>
    </row>
    <row r="65" spans="1:28" x14ac:dyDescent="0.25">
      <c r="A65" s="55" t="s">
        <v>5</v>
      </c>
      <c r="B65" s="38">
        <v>4.5999999999999999E-2</v>
      </c>
      <c r="C65" s="22">
        <f>$B$1 * B65</f>
        <v>1179164</v>
      </c>
      <c r="D65" s="61"/>
      <c r="E65" s="30"/>
      <c r="F65" s="30"/>
      <c r="G65" s="34">
        <f t="shared" ref="G65:W65" si="42">G$14*$B$65</f>
        <v>1.4375</v>
      </c>
      <c r="H65" s="35">
        <f t="shared" si="42"/>
        <v>2.875</v>
      </c>
      <c r="I65" s="35">
        <f t="shared" si="42"/>
        <v>5.75</v>
      </c>
      <c r="J65" s="35">
        <f t="shared" si="42"/>
        <v>11.5</v>
      </c>
      <c r="K65" s="35">
        <f t="shared" si="42"/>
        <v>23</v>
      </c>
      <c r="L65" s="35">
        <f t="shared" si="42"/>
        <v>46</v>
      </c>
      <c r="M65" s="35">
        <f t="shared" si="42"/>
        <v>92</v>
      </c>
      <c r="N65" s="35">
        <f t="shared" si="42"/>
        <v>184</v>
      </c>
      <c r="O65" s="35">
        <f t="shared" si="42"/>
        <v>368</v>
      </c>
      <c r="P65" s="35">
        <f t="shared" si="42"/>
        <v>736</v>
      </c>
      <c r="Q65" s="35">
        <f t="shared" si="42"/>
        <v>1472</v>
      </c>
      <c r="R65" s="35">
        <f t="shared" si="42"/>
        <v>2944</v>
      </c>
      <c r="S65" s="35">
        <f t="shared" si="42"/>
        <v>5888</v>
      </c>
      <c r="T65" s="35">
        <f t="shared" si="42"/>
        <v>11776</v>
      </c>
      <c r="U65" s="35">
        <f t="shared" si="42"/>
        <v>23552</v>
      </c>
      <c r="V65" s="35">
        <f t="shared" si="42"/>
        <v>47104</v>
      </c>
      <c r="W65" s="35">
        <f t="shared" si="42"/>
        <v>94208</v>
      </c>
      <c r="X65" s="35">
        <f>X$14*$B$65</f>
        <v>188416</v>
      </c>
      <c r="Y65" s="35">
        <f>Y$14*$B$65</f>
        <v>376832</v>
      </c>
      <c r="Z65" s="35">
        <f>Z$14*$B$65</f>
        <v>753664</v>
      </c>
      <c r="AA65" s="89">
        <f>AA$14*$B$65</f>
        <v>1179164</v>
      </c>
      <c r="AB65" s="59"/>
    </row>
    <row r="66" spans="1:28" x14ac:dyDescent="0.25">
      <c r="A66" s="55"/>
      <c r="B66" s="30"/>
      <c r="C66" s="30"/>
      <c r="D66" s="39"/>
      <c r="E66" s="60">
        <v>7.2999999999999995E-2</v>
      </c>
      <c r="F66" s="30"/>
      <c r="G66" s="43">
        <f t="shared" ref="G66:W66" si="43">G65*$E$66</f>
        <v>0.10493749999999999</v>
      </c>
      <c r="H66" s="44">
        <f t="shared" si="43"/>
        <v>0.20987499999999998</v>
      </c>
      <c r="I66" s="44">
        <f t="shared" si="43"/>
        <v>0.41974999999999996</v>
      </c>
      <c r="J66" s="44">
        <f t="shared" si="43"/>
        <v>0.83949999999999991</v>
      </c>
      <c r="K66" s="44">
        <f t="shared" si="43"/>
        <v>1.6789999999999998</v>
      </c>
      <c r="L66" s="44">
        <f t="shared" si="43"/>
        <v>3.3579999999999997</v>
      </c>
      <c r="M66" s="44">
        <f t="shared" si="43"/>
        <v>6.7159999999999993</v>
      </c>
      <c r="N66" s="44">
        <f t="shared" si="43"/>
        <v>13.431999999999999</v>
      </c>
      <c r="O66" s="44">
        <f t="shared" si="43"/>
        <v>26.863999999999997</v>
      </c>
      <c r="P66" s="44">
        <f t="shared" si="43"/>
        <v>53.727999999999994</v>
      </c>
      <c r="Q66" s="44">
        <f t="shared" si="43"/>
        <v>107.45599999999999</v>
      </c>
      <c r="R66" s="44">
        <f t="shared" si="43"/>
        <v>214.91199999999998</v>
      </c>
      <c r="S66" s="44">
        <f t="shared" si="43"/>
        <v>429.82399999999996</v>
      </c>
      <c r="T66" s="44">
        <f t="shared" si="43"/>
        <v>859.64799999999991</v>
      </c>
      <c r="U66" s="44">
        <f t="shared" si="43"/>
        <v>1719.2959999999998</v>
      </c>
      <c r="V66" s="44">
        <f t="shared" si="43"/>
        <v>3438.5919999999996</v>
      </c>
      <c r="W66" s="44">
        <f t="shared" si="43"/>
        <v>6877.1839999999993</v>
      </c>
      <c r="X66" s="44">
        <f>X65*$E$66</f>
        <v>13754.367999999999</v>
      </c>
      <c r="Y66" s="44">
        <f>Y65*$E$66</f>
        <v>27508.735999999997</v>
      </c>
      <c r="Z66" s="44">
        <f>Z65*$E$66</f>
        <v>55017.471999999994</v>
      </c>
      <c r="AA66" s="88">
        <f>AA65*$E$66</f>
        <v>86078.971999999994</v>
      </c>
      <c r="AB66" s="59"/>
    </row>
    <row r="67" spans="1:28" x14ac:dyDescent="0.25">
      <c r="A67" s="55" t="s">
        <v>7</v>
      </c>
      <c r="B67" s="38">
        <v>0.31</v>
      </c>
      <c r="C67" s="22">
        <f>$B$1 * B67</f>
        <v>7946540</v>
      </c>
      <c r="D67" s="61"/>
      <c r="E67" s="30"/>
      <c r="F67" s="30"/>
      <c r="G67" s="34">
        <f t="shared" ref="G67:W67" si="44">G$14*$B$67</f>
        <v>9.6875</v>
      </c>
      <c r="H67" s="35">
        <f t="shared" si="44"/>
        <v>19.375</v>
      </c>
      <c r="I67" s="35">
        <f t="shared" si="44"/>
        <v>38.75</v>
      </c>
      <c r="J67" s="35">
        <f t="shared" si="44"/>
        <v>77.5</v>
      </c>
      <c r="K67" s="35">
        <f t="shared" si="44"/>
        <v>155</v>
      </c>
      <c r="L67" s="35">
        <f t="shared" si="44"/>
        <v>310</v>
      </c>
      <c r="M67" s="35">
        <f t="shared" si="44"/>
        <v>620</v>
      </c>
      <c r="N67" s="35">
        <f t="shared" si="44"/>
        <v>1240</v>
      </c>
      <c r="O67" s="35">
        <f t="shared" si="44"/>
        <v>2480</v>
      </c>
      <c r="P67" s="35">
        <f t="shared" si="44"/>
        <v>4960</v>
      </c>
      <c r="Q67" s="35">
        <f t="shared" si="44"/>
        <v>9920</v>
      </c>
      <c r="R67" s="35">
        <f t="shared" si="44"/>
        <v>19840</v>
      </c>
      <c r="S67" s="35">
        <f t="shared" si="44"/>
        <v>39680</v>
      </c>
      <c r="T67" s="35">
        <f t="shared" si="44"/>
        <v>79360</v>
      </c>
      <c r="U67" s="35">
        <f t="shared" si="44"/>
        <v>158720</v>
      </c>
      <c r="V67" s="35">
        <f t="shared" si="44"/>
        <v>317440</v>
      </c>
      <c r="W67" s="35">
        <f t="shared" si="44"/>
        <v>634880</v>
      </c>
      <c r="X67" s="35">
        <f>X$14*$B$67</f>
        <v>1269760</v>
      </c>
      <c r="Y67" s="35">
        <f>Y$14*$B$67</f>
        <v>2539520</v>
      </c>
      <c r="Z67" s="35">
        <f>Z$14*$B$67</f>
        <v>5079040</v>
      </c>
      <c r="AA67" s="89">
        <f>AA$14*$B$67</f>
        <v>7946540</v>
      </c>
      <c r="AB67" s="59"/>
    </row>
    <row r="68" spans="1:28" x14ac:dyDescent="0.25">
      <c r="A68" s="55"/>
      <c r="B68" s="30"/>
      <c r="C68" s="30"/>
      <c r="D68" s="39"/>
      <c r="E68" s="60">
        <v>6.3E-2</v>
      </c>
      <c r="F68" s="30"/>
      <c r="G68" s="43">
        <f t="shared" ref="G68:W68" si="45">G67*$E$68</f>
        <v>0.61031250000000004</v>
      </c>
      <c r="H68" s="44">
        <f t="shared" si="45"/>
        <v>1.2206250000000001</v>
      </c>
      <c r="I68" s="44">
        <f t="shared" si="45"/>
        <v>2.4412500000000001</v>
      </c>
      <c r="J68" s="44">
        <f t="shared" si="45"/>
        <v>4.8825000000000003</v>
      </c>
      <c r="K68" s="44">
        <f t="shared" si="45"/>
        <v>9.7650000000000006</v>
      </c>
      <c r="L68" s="44">
        <f t="shared" si="45"/>
        <v>19.53</v>
      </c>
      <c r="M68" s="44">
        <f t="shared" si="45"/>
        <v>39.06</v>
      </c>
      <c r="N68" s="44">
        <f t="shared" si="45"/>
        <v>78.12</v>
      </c>
      <c r="O68" s="44">
        <f t="shared" si="45"/>
        <v>156.24</v>
      </c>
      <c r="P68" s="44">
        <f t="shared" si="45"/>
        <v>312.48</v>
      </c>
      <c r="Q68" s="44">
        <f t="shared" si="45"/>
        <v>624.96</v>
      </c>
      <c r="R68" s="44">
        <f t="shared" si="45"/>
        <v>1249.92</v>
      </c>
      <c r="S68" s="44">
        <f t="shared" si="45"/>
        <v>2499.84</v>
      </c>
      <c r="T68" s="44">
        <f t="shared" si="45"/>
        <v>4999.68</v>
      </c>
      <c r="U68" s="44">
        <f t="shared" si="45"/>
        <v>9999.36</v>
      </c>
      <c r="V68" s="44">
        <f t="shared" si="45"/>
        <v>19998.72</v>
      </c>
      <c r="W68" s="44">
        <f t="shared" si="45"/>
        <v>39997.440000000002</v>
      </c>
      <c r="X68" s="44">
        <f>X67*$E$68</f>
        <v>79994.880000000005</v>
      </c>
      <c r="Y68" s="44">
        <f>Y67*$E$68</f>
        <v>159989.76000000001</v>
      </c>
      <c r="Z68" s="44">
        <f>Z67*$E$68</f>
        <v>319979.52000000002</v>
      </c>
      <c r="AA68" s="88">
        <f>AA67*$E$68</f>
        <v>500632.02</v>
      </c>
      <c r="AB68" s="59"/>
    </row>
    <row r="69" spans="1:28" x14ac:dyDescent="0.25">
      <c r="A69" s="55" t="s">
        <v>8</v>
      </c>
      <c r="B69" s="38">
        <v>0.33700000000000002</v>
      </c>
      <c r="C69" s="22">
        <f>$B$1 * B69</f>
        <v>8638658</v>
      </c>
      <c r="D69" s="61"/>
      <c r="E69" s="30"/>
      <c r="F69" s="30"/>
      <c r="G69" s="34">
        <f t="shared" ref="G69:W69" si="46">G$14*$B$69</f>
        <v>10.53125</v>
      </c>
      <c r="H69" s="35">
        <f t="shared" si="46"/>
        <v>21.0625</v>
      </c>
      <c r="I69" s="35">
        <f t="shared" si="46"/>
        <v>42.125</v>
      </c>
      <c r="J69" s="35">
        <f t="shared" si="46"/>
        <v>84.25</v>
      </c>
      <c r="K69" s="35">
        <f t="shared" si="46"/>
        <v>168.5</v>
      </c>
      <c r="L69" s="35">
        <f t="shared" si="46"/>
        <v>337</v>
      </c>
      <c r="M69" s="35">
        <f t="shared" si="46"/>
        <v>674</v>
      </c>
      <c r="N69" s="35">
        <f t="shared" si="46"/>
        <v>1348</v>
      </c>
      <c r="O69" s="35">
        <f t="shared" si="46"/>
        <v>2696</v>
      </c>
      <c r="P69" s="35">
        <f t="shared" si="46"/>
        <v>5392</v>
      </c>
      <c r="Q69" s="35">
        <f t="shared" si="46"/>
        <v>10784</v>
      </c>
      <c r="R69" s="35">
        <f t="shared" si="46"/>
        <v>21568</v>
      </c>
      <c r="S69" s="35">
        <f t="shared" si="46"/>
        <v>43136</v>
      </c>
      <c r="T69" s="35">
        <f t="shared" si="46"/>
        <v>86272</v>
      </c>
      <c r="U69" s="35">
        <f t="shared" si="46"/>
        <v>172544</v>
      </c>
      <c r="V69" s="35">
        <f t="shared" si="46"/>
        <v>345088</v>
      </c>
      <c r="W69" s="35">
        <f t="shared" si="46"/>
        <v>690176</v>
      </c>
      <c r="X69" s="35">
        <f>X$14*$B$69</f>
        <v>1380352</v>
      </c>
      <c r="Y69" s="35">
        <f>Y$14*$B$69</f>
        <v>2760704</v>
      </c>
      <c r="Z69" s="35">
        <f>Z$14*$B$69</f>
        <v>5521408</v>
      </c>
      <c r="AA69" s="89">
        <f>AA$14*$B$69</f>
        <v>8638658</v>
      </c>
      <c r="AB69" s="59"/>
    </row>
    <row r="70" spans="1:28" x14ac:dyDescent="0.25">
      <c r="A70" s="55"/>
      <c r="B70" s="30"/>
      <c r="C70" s="30"/>
      <c r="D70" s="39"/>
      <c r="E70" s="60">
        <v>0.06</v>
      </c>
      <c r="F70" s="30"/>
      <c r="G70" s="43">
        <f t="shared" ref="G70:W70" si="47">G69*$E$70</f>
        <v>0.63187499999999996</v>
      </c>
      <c r="H70" s="44">
        <f t="shared" si="47"/>
        <v>1.2637499999999999</v>
      </c>
      <c r="I70" s="44">
        <f t="shared" si="47"/>
        <v>2.5274999999999999</v>
      </c>
      <c r="J70" s="44">
        <f t="shared" si="47"/>
        <v>5.0549999999999997</v>
      </c>
      <c r="K70" s="44">
        <f t="shared" si="47"/>
        <v>10.11</v>
      </c>
      <c r="L70" s="44">
        <f t="shared" si="47"/>
        <v>20.22</v>
      </c>
      <c r="M70" s="44">
        <f t="shared" si="47"/>
        <v>40.44</v>
      </c>
      <c r="N70" s="44">
        <f t="shared" si="47"/>
        <v>80.88</v>
      </c>
      <c r="O70" s="44">
        <f t="shared" si="47"/>
        <v>161.76</v>
      </c>
      <c r="P70" s="44">
        <f t="shared" si="47"/>
        <v>323.52</v>
      </c>
      <c r="Q70" s="44">
        <f t="shared" si="47"/>
        <v>647.04</v>
      </c>
      <c r="R70" s="44">
        <f t="shared" si="47"/>
        <v>1294.08</v>
      </c>
      <c r="S70" s="44">
        <f t="shared" si="47"/>
        <v>2588.16</v>
      </c>
      <c r="T70" s="44">
        <f t="shared" si="47"/>
        <v>5176.32</v>
      </c>
      <c r="U70" s="44">
        <f t="shared" si="47"/>
        <v>10352.64</v>
      </c>
      <c r="V70" s="44">
        <f t="shared" si="47"/>
        <v>20705.28</v>
      </c>
      <c r="W70" s="44">
        <f t="shared" si="47"/>
        <v>41410.559999999998</v>
      </c>
      <c r="X70" s="44">
        <f>X69*$E$70</f>
        <v>82821.119999999995</v>
      </c>
      <c r="Y70" s="44">
        <f>Y69*$E$70</f>
        <v>165642.23999999999</v>
      </c>
      <c r="Z70" s="44">
        <f>Z69*$E$70</f>
        <v>331284.47999999998</v>
      </c>
      <c r="AA70" s="88">
        <f>AA69*$E$70</f>
        <v>518319.48</v>
      </c>
      <c r="AB70" s="59"/>
    </row>
    <row r="71" spans="1:28" x14ac:dyDescent="0.25">
      <c r="A71" s="55" t="s">
        <v>9</v>
      </c>
      <c r="B71" s="38">
        <v>1.4999999999999999E-2</v>
      </c>
      <c r="C71" s="22">
        <f>$B$1 * B71</f>
        <v>384510</v>
      </c>
      <c r="D71" s="61"/>
      <c r="E71" s="30"/>
      <c r="F71" s="30"/>
      <c r="G71" s="34">
        <f t="shared" ref="G71:W71" si="48">G$14*$B$71</f>
        <v>0.46875</v>
      </c>
      <c r="H71" s="35">
        <f t="shared" si="48"/>
        <v>0.9375</v>
      </c>
      <c r="I71" s="35">
        <f t="shared" si="48"/>
        <v>1.875</v>
      </c>
      <c r="J71" s="35">
        <f t="shared" si="48"/>
        <v>3.75</v>
      </c>
      <c r="K71" s="35">
        <f t="shared" si="48"/>
        <v>7.5</v>
      </c>
      <c r="L71" s="35">
        <f t="shared" si="48"/>
        <v>15</v>
      </c>
      <c r="M71" s="35">
        <f t="shared" si="48"/>
        <v>30</v>
      </c>
      <c r="N71" s="35">
        <f t="shared" si="48"/>
        <v>60</v>
      </c>
      <c r="O71" s="35">
        <f t="shared" si="48"/>
        <v>120</v>
      </c>
      <c r="P71" s="35">
        <f t="shared" si="48"/>
        <v>240</v>
      </c>
      <c r="Q71" s="35">
        <f t="shared" si="48"/>
        <v>480</v>
      </c>
      <c r="R71" s="35">
        <f t="shared" si="48"/>
        <v>960</v>
      </c>
      <c r="S71" s="35">
        <f t="shared" si="48"/>
        <v>1920</v>
      </c>
      <c r="T71" s="35">
        <f t="shared" si="48"/>
        <v>3840</v>
      </c>
      <c r="U71" s="35">
        <f t="shared" si="48"/>
        <v>7680</v>
      </c>
      <c r="V71" s="35">
        <f t="shared" si="48"/>
        <v>15360</v>
      </c>
      <c r="W71" s="35">
        <f t="shared" si="48"/>
        <v>30720</v>
      </c>
      <c r="X71" s="35">
        <f>X$14*$B$71</f>
        <v>61440</v>
      </c>
      <c r="Y71" s="35">
        <f>Y$14*$B$71</f>
        <v>122880</v>
      </c>
      <c r="Z71" s="35">
        <f>Z$14*$B$71</f>
        <v>245760</v>
      </c>
      <c r="AA71" s="89">
        <f>AA$14*$B$71</f>
        <v>384510</v>
      </c>
      <c r="AB71" s="59"/>
    </row>
    <row r="72" spans="1:28" x14ac:dyDescent="0.25">
      <c r="A72" s="55"/>
      <c r="B72" s="30"/>
      <c r="C72" s="30"/>
      <c r="D72" s="39"/>
      <c r="E72" s="60">
        <v>5.6000000000000001E-2</v>
      </c>
      <c r="F72" s="30"/>
      <c r="G72" s="43">
        <f t="shared" ref="G72:W72" si="49">G71*$E$72</f>
        <v>2.6249999999999999E-2</v>
      </c>
      <c r="H72" s="44">
        <f t="shared" si="49"/>
        <v>5.2499999999999998E-2</v>
      </c>
      <c r="I72" s="44">
        <f t="shared" si="49"/>
        <v>0.105</v>
      </c>
      <c r="J72" s="44">
        <f t="shared" si="49"/>
        <v>0.21</v>
      </c>
      <c r="K72" s="44">
        <f t="shared" si="49"/>
        <v>0.42</v>
      </c>
      <c r="L72" s="44">
        <f t="shared" si="49"/>
        <v>0.84</v>
      </c>
      <c r="M72" s="44">
        <f t="shared" si="49"/>
        <v>1.68</v>
      </c>
      <c r="N72" s="44">
        <f t="shared" si="49"/>
        <v>3.36</v>
      </c>
      <c r="O72" s="44">
        <f t="shared" si="49"/>
        <v>6.72</v>
      </c>
      <c r="P72" s="44">
        <f t="shared" si="49"/>
        <v>13.44</v>
      </c>
      <c r="Q72" s="44">
        <f t="shared" si="49"/>
        <v>26.88</v>
      </c>
      <c r="R72" s="44">
        <f t="shared" si="49"/>
        <v>53.76</v>
      </c>
      <c r="S72" s="44">
        <f t="shared" si="49"/>
        <v>107.52</v>
      </c>
      <c r="T72" s="44">
        <f t="shared" si="49"/>
        <v>215.04</v>
      </c>
      <c r="U72" s="44">
        <f t="shared" si="49"/>
        <v>430.08</v>
      </c>
      <c r="V72" s="44">
        <f t="shared" si="49"/>
        <v>860.16</v>
      </c>
      <c r="W72" s="44">
        <f t="shared" si="49"/>
        <v>1720.32</v>
      </c>
      <c r="X72" s="44">
        <f>X71*$E$72</f>
        <v>3440.64</v>
      </c>
      <c r="Y72" s="44">
        <f>Y71*$E$72</f>
        <v>6881.28</v>
      </c>
      <c r="Z72" s="44">
        <f>Z71*$E$72</f>
        <v>13762.56</v>
      </c>
      <c r="AA72" s="88">
        <f>AA71*$E$72</f>
        <v>21532.560000000001</v>
      </c>
      <c r="AB72" s="59"/>
    </row>
    <row r="73" spans="1:28" x14ac:dyDescent="0.25">
      <c r="A73" s="55" t="s">
        <v>10</v>
      </c>
      <c r="B73" s="38">
        <v>0.161</v>
      </c>
      <c r="C73" s="22">
        <f>$B$1 * B73</f>
        <v>4127074</v>
      </c>
      <c r="D73" s="61"/>
      <c r="E73" s="30"/>
      <c r="F73" s="30"/>
      <c r="G73" s="34">
        <f t="shared" ref="G73:W73" si="50">G$14*$B$73</f>
        <v>5.03125</v>
      </c>
      <c r="H73" s="35">
        <f t="shared" si="50"/>
        <v>10.0625</v>
      </c>
      <c r="I73" s="35">
        <f t="shared" si="50"/>
        <v>20.125</v>
      </c>
      <c r="J73" s="35">
        <f t="shared" si="50"/>
        <v>40.25</v>
      </c>
      <c r="K73" s="35">
        <f t="shared" si="50"/>
        <v>80.5</v>
      </c>
      <c r="L73" s="35">
        <f t="shared" si="50"/>
        <v>161</v>
      </c>
      <c r="M73" s="35">
        <f t="shared" si="50"/>
        <v>322</v>
      </c>
      <c r="N73" s="35">
        <f t="shared" si="50"/>
        <v>644</v>
      </c>
      <c r="O73" s="35">
        <f t="shared" si="50"/>
        <v>1288</v>
      </c>
      <c r="P73" s="35">
        <f t="shared" si="50"/>
        <v>2576</v>
      </c>
      <c r="Q73" s="35">
        <f t="shared" si="50"/>
        <v>5152</v>
      </c>
      <c r="R73" s="35">
        <f t="shared" si="50"/>
        <v>10304</v>
      </c>
      <c r="S73" s="35">
        <f t="shared" si="50"/>
        <v>20608</v>
      </c>
      <c r="T73" s="35">
        <f t="shared" si="50"/>
        <v>41216</v>
      </c>
      <c r="U73" s="35">
        <f t="shared" si="50"/>
        <v>82432</v>
      </c>
      <c r="V73" s="35">
        <f t="shared" si="50"/>
        <v>164864</v>
      </c>
      <c r="W73" s="35">
        <f t="shared" si="50"/>
        <v>329728</v>
      </c>
      <c r="X73" s="35">
        <f>X$14*$B$73</f>
        <v>659456</v>
      </c>
      <c r="Y73" s="35">
        <f>Y$14*$B$73</f>
        <v>1318912</v>
      </c>
      <c r="Z73" s="35">
        <f>Z$14*$B$73</f>
        <v>2637824</v>
      </c>
      <c r="AA73" s="89">
        <f>AA$14*$B$73</f>
        <v>4127074</v>
      </c>
      <c r="AB73" s="59"/>
    </row>
    <row r="74" spans="1:28" x14ac:dyDescent="0.25">
      <c r="A74" s="51"/>
      <c r="B74" s="53"/>
      <c r="C74" s="53"/>
      <c r="D74" s="71"/>
      <c r="E74" s="72" t="s">
        <v>11</v>
      </c>
      <c r="F74" s="53"/>
      <c r="G74" s="45" t="s">
        <v>11</v>
      </c>
      <c r="H74" s="46" t="s">
        <v>11</v>
      </c>
      <c r="I74" s="46" t="s">
        <v>11</v>
      </c>
      <c r="J74" s="46" t="s">
        <v>11</v>
      </c>
      <c r="K74" s="46" t="s">
        <v>11</v>
      </c>
      <c r="L74" s="46" t="s">
        <v>11</v>
      </c>
      <c r="M74" s="46" t="s">
        <v>11</v>
      </c>
      <c r="N74" s="46" t="s">
        <v>11</v>
      </c>
      <c r="O74" s="46" t="s">
        <v>11</v>
      </c>
      <c r="P74" s="46" t="s">
        <v>11</v>
      </c>
      <c r="Q74" s="46" t="s">
        <v>11</v>
      </c>
      <c r="R74" s="46" t="s">
        <v>11</v>
      </c>
      <c r="S74" s="46" t="s">
        <v>11</v>
      </c>
      <c r="T74" s="46" t="s">
        <v>11</v>
      </c>
      <c r="U74" s="46" t="s">
        <v>11</v>
      </c>
      <c r="V74" s="46" t="s">
        <v>11</v>
      </c>
      <c r="W74" s="46" t="s">
        <v>11</v>
      </c>
      <c r="X74" s="46" t="s">
        <v>11</v>
      </c>
      <c r="Y74" s="46" t="s">
        <v>11</v>
      </c>
      <c r="Z74" s="46" t="s">
        <v>11</v>
      </c>
      <c r="AA74" s="90" t="s">
        <v>11</v>
      </c>
      <c r="AB74" s="59"/>
    </row>
    <row r="75" spans="1:28" x14ac:dyDescent="0.25">
      <c r="A75" s="55"/>
      <c r="B75" s="30"/>
      <c r="C75" s="30"/>
      <c r="D75" s="61"/>
      <c r="E75" s="30"/>
      <c r="F75" s="30"/>
      <c r="G75" s="34">
        <f>SUM(G63,G65,G67,G69,G71,G73)</f>
        <v>28.71875</v>
      </c>
      <c r="H75" s="35">
        <f t="shared" ref="H75:W75" si="51">SUM(H63,H65,H67,H69,H71,H73)</f>
        <v>57.4375</v>
      </c>
      <c r="I75" s="35">
        <f t="shared" si="51"/>
        <v>114.875</v>
      </c>
      <c r="J75" s="35">
        <f t="shared" si="51"/>
        <v>229.75</v>
      </c>
      <c r="K75" s="35">
        <f t="shared" si="51"/>
        <v>459.5</v>
      </c>
      <c r="L75" s="35">
        <f t="shared" si="51"/>
        <v>919</v>
      </c>
      <c r="M75" s="35">
        <f>SUM(M63,M65,M67,M69,M71,M73)</f>
        <v>1838</v>
      </c>
      <c r="N75" s="35">
        <f t="shared" si="51"/>
        <v>3676</v>
      </c>
      <c r="O75" s="35">
        <f t="shared" si="51"/>
        <v>7352</v>
      </c>
      <c r="P75" s="35">
        <f t="shared" si="51"/>
        <v>14704</v>
      </c>
      <c r="Q75" s="35">
        <f t="shared" si="51"/>
        <v>29408</v>
      </c>
      <c r="R75" s="35">
        <f t="shared" si="51"/>
        <v>58816</v>
      </c>
      <c r="S75" s="35">
        <f t="shared" si="51"/>
        <v>117632</v>
      </c>
      <c r="T75" s="35">
        <f t="shared" si="51"/>
        <v>235264</v>
      </c>
      <c r="U75" s="35">
        <f t="shared" si="51"/>
        <v>470528</v>
      </c>
      <c r="V75" s="35">
        <f t="shared" si="51"/>
        <v>941056</v>
      </c>
      <c r="W75" s="35">
        <f t="shared" si="51"/>
        <v>1882112</v>
      </c>
      <c r="X75" s="35">
        <f t="shared" ref="X75:AA76" si="52">SUM(X63,X65,X67,X69,X71,X73)</f>
        <v>3764224</v>
      </c>
      <c r="Y75" s="35">
        <f t="shared" si="52"/>
        <v>7528448</v>
      </c>
      <c r="Z75" s="35">
        <f t="shared" si="52"/>
        <v>15056896</v>
      </c>
      <c r="AA75" s="89">
        <f t="shared" si="52"/>
        <v>23557646</v>
      </c>
      <c r="AB75" s="59"/>
    </row>
    <row r="76" spans="1:28" x14ac:dyDescent="0.25">
      <c r="A76" s="51" t="s">
        <v>133</v>
      </c>
      <c r="B76" s="53"/>
      <c r="C76" s="53"/>
      <c r="D76" s="53"/>
      <c r="E76" s="53"/>
      <c r="F76" s="53"/>
      <c r="G76" s="45">
        <f>SUM(G64,G66,G68,G70,G72,G74)</f>
        <v>1.5374375000000002</v>
      </c>
      <c r="H76" s="46">
        <f t="shared" ref="H76:W76" si="53">SUM(H64,H66,H68,H70,H72,H74)</f>
        <v>3.0748750000000005</v>
      </c>
      <c r="I76" s="46">
        <f t="shared" si="53"/>
        <v>6.1497500000000009</v>
      </c>
      <c r="J76" s="46">
        <f t="shared" si="53"/>
        <v>12.299500000000002</v>
      </c>
      <c r="K76" s="46">
        <f t="shared" si="53"/>
        <v>24.599000000000004</v>
      </c>
      <c r="L76" s="46">
        <f t="shared" si="53"/>
        <v>49.198000000000008</v>
      </c>
      <c r="M76" s="46">
        <f t="shared" si="53"/>
        <v>98.396000000000015</v>
      </c>
      <c r="N76" s="46">
        <f t="shared" si="53"/>
        <v>196.79200000000003</v>
      </c>
      <c r="O76" s="46">
        <f t="shared" si="53"/>
        <v>393.58400000000006</v>
      </c>
      <c r="P76" s="46">
        <f t="shared" si="53"/>
        <v>787.16800000000012</v>
      </c>
      <c r="Q76" s="46">
        <f t="shared" si="53"/>
        <v>1574.3360000000002</v>
      </c>
      <c r="R76" s="46">
        <f t="shared" si="53"/>
        <v>3148.6720000000005</v>
      </c>
      <c r="S76" s="46">
        <f t="shared" si="53"/>
        <v>6297.344000000001</v>
      </c>
      <c r="T76" s="46">
        <f t="shared" si="53"/>
        <v>12594.688000000002</v>
      </c>
      <c r="U76" s="46">
        <f t="shared" si="53"/>
        <v>25189.376000000004</v>
      </c>
      <c r="V76" s="46">
        <f t="shared" si="53"/>
        <v>50378.752000000008</v>
      </c>
      <c r="W76" s="46">
        <f t="shared" si="53"/>
        <v>100757.50400000002</v>
      </c>
      <c r="X76" s="46">
        <f t="shared" si="52"/>
        <v>201515.00800000003</v>
      </c>
      <c r="Y76" s="46">
        <f t="shared" si="52"/>
        <v>403030.01600000006</v>
      </c>
      <c r="Z76" s="46">
        <f t="shared" si="52"/>
        <v>806060.03200000012</v>
      </c>
      <c r="AA76" s="90">
        <f t="shared" si="52"/>
        <v>1261141.5320000001</v>
      </c>
      <c r="AB76" s="59"/>
    </row>
  </sheetData>
  <hyperlinks>
    <hyperlink ref="D39" r:id="rId1" xr:uid="{98D6456F-EA03-4FCB-8D3D-1822F6B38CCF}"/>
    <hyperlink ref="E39" r:id="rId2" location="case-fatality-rate-of-covid-19-by-age" xr:uid="{0058192C-B05A-45D2-8597-C1F9B3D9241E}"/>
    <hyperlink ref="E62" r:id="rId3" location="case-fatality-rate-of-covid-19-by-preexisting-health-conditions" xr:uid="{110A2613-24A6-4768-B90C-571B307D13E2}"/>
    <hyperlink ref="B1" r:id="rId4" display="https://www.abs.gov.au/ausstats/abs@.nsf/0/1647509ef7e25faaca2568a900154b63?opendocument" xr:uid="{63727E5E-0850-4414-8DD8-E50A09A5AEE8}"/>
    <hyperlink ref="B39" r:id="rId5" xr:uid="{E432DB14-5D35-4B35-8F24-1C070D7F22B3}"/>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150</v>
      </c>
    </row>
    <row r="2" spans="1:12" x14ac:dyDescent="0.25">
      <c r="A2" s="6" t="s">
        <v>22</v>
      </c>
      <c r="B2" s="7">
        <v>302684</v>
      </c>
      <c r="L2" s="94"/>
    </row>
    <row r="3" spans="1:12" x14ac:dyDescent="0.25">
      <c r="A3" s="8" t="s">
        <v>23</v>
      </c>
      <c r="B3" s="9">
        <v>304818</v>
      </c>
      <c r="L3" s="94"/>
    </row>
    <row r="4" spans="1:12" x14ac:dyDescent="0.25">
      <c r="A4" s="8" t="s">
        <v>24</v>
      </c>
      <c r="B4" s="9">
        <v>311200</v>
      </c>
      <c r="L4" s="94"/>
    </row>
    <row r="5" spans="1:12" x14ac:dyDescent="0.25">
      <c r="A5" s="8" t="s">
        <v>25</v>
      </c>
      <c r="B5" s="9">
        <v>326896</v>
      </c>
      <c r="L5" s="94"/>
    </row>
    <row r="6" spans="1:12" x14ac:dyDescent="0.25">
      <c r="A6" s="8" t="s">
        <v>26</v>
      </c>
      <c r="B6" s="9">
        <v>321565</v>
      </c>
      <c r="L6" s="94"/>
    </row>
    <row r="7" spans="1:12" x14ac:dyDescent="0.25">
      <c r="A7" s="10" t="s">
        <v>27</v>
      </c>
      <c r="B7" s="11">
        <v>1567163</v>
      </c>
      <c r="L7" s="95"/>
    </row>
    <row r="8" spans="1:12" x14ac:dyDescent="0.25">
      <c r="A8" s="8" t="s">
        <v>28</v>
      </c>
      <c r="B8" s="9">
        <v>321643</v>
      </c>
      <c r="L8" s="94"/>
    </row>
    <row r="9" spans="1:12" x14ac:dyDescent="0.25">
      <c r="A9" s="8" t="s">
        <v>29</v>
      </c>
      <c r="B9" s="9">
        <v>326729</v>
      </c>
      <c r="L9" s="94"/>
    </row>
    <row r="10" spans="1:12" x14ac:dyDescent="0.25">
      <c r="A10" s="8" t="s">
        <v>30</v>
      </c>
      <c r="B10" s="9">
        <v>323562</v>
      </c>
      <c r="L10" s="94"/>
    </row>
    <row r="11" spans="1:12" x14ac:dyDescent="0.25">
      <c r="A11" s="8" t="s">
        <v>31</v>
      </c>
      <c r="B11" s="9">
        <v>322648</v>
      </c>
      <c r="L11" s="94"/>
    </row>
    <row r="12" spans="1:12" x14ac:dyDescent="0.25">
      <c r="A12" s="8" t="s">
        <v>32</v>
      </c>
      <c r="B12" s="9">
        <v>324065</v>
      </c>
      <c r="L12" s="94"/>
    </row>
    <row r="13" spans="1:12" x14ac:dyDescent="0.25">
      <c r="A13" s="12" t="s">
        <v>33</v>
      </c>
      <c r="B13" s="13">
        <v>1618647</v>
      </c>
      <c r="C13" s="2">
        <f>SUM(B7,B13)</f>
        <v>3185810</v>
      </c>
      <c r="D13" s="1">
        <f>C13/$B$108</f>
        <v>0.1255958322404806</v>
      </c>
      <c r="L13" s="95"/>
    </row>
    <row r="14" spans="1:12" x14ac:dyDescent="0.25">
      <c r="A14" s="6" t="s">
        <v>34</v>
      </c>
      <c r="B14" s="7">
        <v>319703</v>
      </c>
      <c r="L14" s="94"/>
    </row>
    <row r="15" spans="1:12" x14ac:dyDescent="0.25">
      <c r="A15" s="8" t="s">
        <v>35</v>
      </c>
      <c r="B15" s="9">
        <v>319972</v>
      </c>
      <c r="L15" s="94"/>
    </row>
    <row r="16" spans="1:12" x14ac:dyDescent="0.25">
      <c r="A16" s="8" t="s">
        <v>36</v>
      </c>
      <c r="B16" s="9">
        <v>316523</v>
      </c>
      <c r="L16" s="94"/>
    </row>
    <row r="17" spans="1:12" x14ac:dyDescent="0.25">
      <c r="A17" s="8" t="s">
        <v>37</v>
      </c>
      <c r="B17" s="9">
        <v>305472</v>
      </c>
      <c r="L17" s="94"/>
    </row>
    <row r="18" spans="1:12" x14ac:dyDescent="0.25">
      <c r="A18" s="8" t="s">
        <v>38</v>
      </c>
      <c r="B18" s="9">
        <v>294067</v>
      </c>
      <c r="L18" s="94"/>
    </row>
    <row r="19" spans="1:12" x14ac:dyDescent="0.25">
      <c r="A19" s="10" t="s">
        <v>39</v>
      </c>
      <c r="B19" s="11">
        <v>1555737</v>
      </c>
      <c r="L19" s="95"/>
    </row>
    <row r="20" spans="1:12" x14ac:dyDescent="0.25">
      <c r="A20" s="8" t="s">
        <v>40</v>
      </c>
      <c r="B20" s="9">
        <v>290601</v>
      </c>
      <c r="L20" s="94"/>
    </row>
    <row r="21" spans="1:12" x14ac:dyDescent="0.25">
      <c r="A21" s="8" t="s">
        <v>41</v>
      </c>
      <c r="B21" s="9">
        <v>288611</v>
      </c>
      <c r="L21" s="94"/>
    </row>
    <row r="22" spans="1:12" x14ac:dyDescent="0.25">
      <c r="A22" s="8" t="s">
        <v>42</v>
      </c>
      <c r="B22" s="9">
        <v>290316</v>
      </c>
      <c r="L22" s="94"/>
    </row>
    <row r="23" spans="1:12" x14ac:dyDescent="0.25">
      <c r="A23" s="8" t="s">
        <v>43</v>
      </c>
      <c r="B23" s="9">
        <v>307634</v>
      </c>
      <c r="L23" s="94"/>
    </row>
    <row r="24" spans="1:12" x14ac:dyDescent="0.25">
      <c r="A24" s="8" t="s">
        <v>44</v>
      </c>
      <c r="B24" s="9">
        <v>325295</v>
      </c>
      <c r="L24" s="94"/>
    </row>
    <row r="25" spans="1:12" x14ac:dyDescent="0.25">
      <c r="A25" s="12" t="s">
        <v>45</v>
      </c>
      <c r="B25" s="13">
        <v>1502457</v>
      </c>
      <c r="C25" s="2">
        <f>SUM(B25,B19)</f>
        <v>3058194</v>
      </c>
      <c r="D25" s="1">
        <f>C25/$B$108</f>
        <v>0.12056476079328157</v>
      </c>
      <c r="L25" s="95"/>
    </row>
    <row r="26" spans="1:12" x14ac:dyDescent="0.25">
      <c r="A26" s="6" t="s">
        <v>46</v>
      </c>
      <c r="B26" s="7">
        <v>330388</v>
      </c>
      <c r="L26" s="94"/>
    </row>
    <row r="27" spans="1:12" x14ac:dyDescent="0.25">
      <c r="A27" s="8" t="s">
        <v>47</v>
      </c>
      <c r="B27" s="9">
        <v>335483</v>
      </c>
      <c r="L27" s="94"/>
    </row>
    <row r="28" spans="1:12" x14ac:dyDescent="0.25">
      <c r="A28" s="8" t="s">
        <v>48</v>
      </c>
      <c r="B28" s="9">
        <v>347121</v>
      </c>
      <c r="L28" s="94"/>
    </row>
    <row r="29" spans="1:12" x14ac:dyDescent="0.25">
      <c r="A29" s="8" t="s">
        <v>49</v>
      </c>
      <c r="B29" s="9">
        <v>365323</v>
      </c>
      <c r="L29" s="94"/>
    </row>
    <row r="30" spans="1:12" x14ac:dyDescent="0.25">
      <c r="A30" s="8" t="s">
        <v>50</v>
      </c>
      <c r="B30" s="9">
        <v>380725</v>
      </c>
      <c r="L30" s="94"/>
    </row>
    <row r="31" spans="1:12" x14ac:dyDescent="0.25">
      <c r="A31" s="10" t="s">
        <v>51</v>
      </c>
      <c r="B31" s="11">
        <v>1759040</v>
      </c>
      <c r="L31" s="95"/>
    </row>
    <row r="32" spans="1:12" x14ac:dyDescent="0.25">
      <c r="A32" s="8" t="s">
        <v>52</v>
      </c>
      <c r="B32" s="9">
        <v>379564</v>
      </c>
      <c r="L32" s="94"/>
    </row>
    <row r="33" spans="1:12" x14ac:dyDescent="0.25">
      <c r="A33" s="8" t="s">
        <v>53</v>
      </c>
      <c r="B33" s="9">
        <v>376903</v>
      </c>
      <c r="L33" s="94"/>
    </row>
    <row r="34" spans="1:12" x14ac:dyDescent="0.25">
      <c r="A34" s="8" t="s">
        <v>54</v>
      </c>
      <c r="B34" s="9">
        <v>378326</v>
      </c>
      <c r="L34" s="94"/>
    </row>
    <row r="35" spans="1:12" x14ac:dyDescent="0.25">
      <c r="A35" s="8" t="s">
        <v>55</v>
      </c>
      <c r="B35" s="9">
        <v>384454</v>
      </c>
      <c r="L35" s="94"/>
    </row>
    <row r="36" spans="1:12" x14ac:dyDescent="0.25">
      <c r="A36" s="8" t="s">
        <v>56</v>
      </c>
      <c r="B36" s="9">
        <v>389152</v>
      </c>
      <c r="L36" s="94"/>
    </row>
    <row r="37" spans="1:12" x14ac:dyDescent="0.25">
      <c r="A37" s="12" t="s">
        <v>57</v>
      </c>
      <c r="B37" s="13">
        <v>1908399</v>
      </c>
      <c r="C37" s="2">
        <f>SUM(B31,B37)</f>
        <v>3667439</v>
      </c>
      <c r="D37" s="1">
        <f>C37/$B$108</f>
        <v>0.14458334093878666</v>
      </c>
      <c r="L37" s="95"/>
    </row>
    <row r="38" spans="1:12" x14ac:dyDescent="0.25">
      <c r="A38" s="6" t="s">
        <v>58</v>
      </c>
      <c r="B38" s="7">
        <v>381627</v>
      </c>
      <c r="L38" s="94"/>
    </row>
    <row r="39" spans="1:12" x14ac:dyDescent="0.25">
      <c r="A39" s="8" t="s">
        <v>59</v>
      </c>
      <c r="B39" s="9">
        <v>380703</v>
      </c>
      <c r="L39" s="94"/>
    </row>
    <row r="40" spans="1:12" x14ac:dyDescent="0.25">
      <c r="A40" s="8" t="s">
        <v>60</v>
      </c>
      <c r="B40" s="9">
        <v>376308</v>
      </c>
      <c r="L40" s="94"/>
    </row>
    <row r="41" spans="1:12" x14ac:dyDescent="0.25">
      <c r="A41" s="8" t="s">
        <v>61</v>
      </c>
      <c r="B41" s="9">
        <v>378900</v>
      </c>
      <c r="L41" s="94"/>
    </row>
    <row r="42" spans="1:12" x14ac:dyDescent="0.25">
      <c r="A42" s="8" t="s">
        <v>62</v>
      </c>
      <c r="B42" s="9">
        <v>374563</v>
      </c>
      <c r="L42" s="94"/>
    </row>
    <row r="43" spans="1:12" x14ac:dyDescent="0.25">
      <c r="A43" s="10" t="s">
        <v>63</v>
      </c>
      <c r="B43" s="11">
        <v>1892101</v>
      </c>
      <c r="L43" s="95"/>
    </row>
    <row r="44" spans="1:12" x14ac:dyDescent="0.25">
      <c r="A44" s="8" t="s">
        <v>64</v>
      </c>
      <c r="B44" s="9">
        <v>371946</v>
      </c>
      <c r="L44" s="94"/>
    </row>
    <row r="45" spans="1:12" x14ac:dyDescent="0.25">
      <c r="A45" s="8" t="s">
        <v>65</v>
      </c>
      <c r="B45" s="9">
        <v>368877</v>
      </c>
      <c r="L45" s="94"/>
    </row>
    <row r="46" spans="1:12" x14ac:dyDescent="0.25">
      <c r="A46" s="8" t="s">
        <v>66</v>
      </c>
      <c r="B46" s="9">
        <v>357736</v>
      </c>
      <c r="L46" s="94"/>
    </row>
    <row r="47" spans="1:12" x14ac:dyDescent="0.25">
      <c r="A47" s="8" t="s">
        <v>67</v>
      </c>
      <c r="B47" s="9">
        <v>348170</v>
      </c>
      <c r="L47" s="94"/>
    </row>
    <row r="48" spans="1:12" x14ac:dyDescent="0.25">
      <c r="A48" s="8" t="s">
        <v>68</v>
      </c>
      <c r="B48" s="9">
        <v>334445</v>
      </c>
      <c r="L48" s="94"/>
    </row>
    <row r="49" spans="1:12" x14ac:dyDescent="0.25">
      <c r="A49" s="12" t="s">
        <v>69</v>
      </c>
      <c r="B49" s="13">
        <v>1781174</v>
      </c>
      <c r="C49" s="2">
        <f>SUM(B43,B49)</f>
        <v>3673275</v>
      </c>
      <c r="D49" s="1">
        <f>C49/$B$108</f>
        <v>0.14481341657950456</v>
      </c>
      <c r="L49" s="95"/>
    </row>
    <row r="50" spans="1:12" x14ac:dyDescent="0.25">
      <c r="A50" s="6" t="s">
        <v>70</v>
      </c>
      <c r="B50" s="7">
        <v>324591</v>
      </c>
      <c r="L50" s="94"/>
    </row>
    <row r="51" spans="1:12" x14ac:dyDescent="0.25">
      <c r="A51" s="8" t="s">
        <v>71</v>
      </c>
      <c r="B51" s="9">
        <v>318448</v>
      </c>
      <c r="L51" s="94"/>
    </row>
    <row r="52" spans="1:12" x14ac:dyDescent="0.25">
      <c r="A52" s="8" t="s">
        <v>72</v>
      </c>
      <c r="B52" s="9">
        <v>315770</v>
      </c>
      <c r="L52" s="94"/>
    </row>
    <row r="53" spans="1:12" x14ac:dyDescent="0.25">
      <c r="A53" s="8" t="s">
        <v>73</v>
      </c>
      <c r="B53" s="9">
        <v>318107</v>
      </c>
      <c r="L53" s="94"/>
    </row>
    <row r="54" spans="1:12" x14ac:dyDescent="0.25">
      <c r="A54" s="8" t="s">
        <v>74</v>
      </c>
      <c r="B54" s="9">
        <v>318926</v>
      </c>
      <c r="L54" s="94"/>
    </row>
    <row r="55" spans="1:12" x14ac:dyDescent="0.25">
      <c r="A55" s="10" t="s">
        <v>75</v>
      </c>
      <c r="B55" s="11">
        <v>1595842</v>
      </c>
      <c r="L55" s="95"/>
    </row>
    <row r="56" spans="1:12" x14ac:dyDescent="0.25">
      <c r="A56" s="8" t="s">
        <v>76</v>
      </c>
      <c r="B56" s="9">
        <v>327436</v>
      </c>
      <c r="L56" s="94"/>
    </row>
    <row r="57" spans="1:12" x14ac:dyDescent="0.25">
      <c r="A57" s="8" t="s">
        <v>77</v>
      </c>
      <c r="B57" s="9">
        <v>332934</v>
      </c>
      <c r="L57" s="94"/>
    </row>
    <row r="58" spans="1:12" x14ac:dyDescent="0.25">
      <c r="A58" s="8" t="s">
        <v>78</v>
      </c>
      <c r="B58" s="9">
        <v>344168</v>
      </c>
      <c r="L58" s="94"/>
    </row>
    <row r="59" spans="1:12" x14ac:dyDescent="0.25">
      <c r="A59" s="8" t="s">
        <v>79</v>
      </c>
      <c r="B59" s="9">
        <v>347705</v>
      </c>
      <c r="L59" s="94"/>
    </row>
    <row r="60" spans="1:12" x14ac:dyDescent="0.25">
      <c r="A60" s="8" t="s">
        <v>80</v>
      </c>
      <c r="B60" s="9">
        <v>326172</v>
      </c>
      <c r="L60" s="94"/>
    </row>
    <row r="61" spans="1:12" x14ac:dyDescent="0.25">
      <c r="A61" s="12" t="s">
        <v>81</v>
      </c>
      <c r="B61" s="13">
        <v>1678415</v>
      </c>
      <c r="C61" s="2">
        <f>SUM(B55,B61)</f>
        <v>3274257</v>
      </c>
      <c r="D61" s="1">
        <f>C61/$B$108</f>
        <v>0.12908272398046944</v>
      </c>
      <c r="L61" s="95"/>
    </row>
    <row r="62" spans="1:12" x14ac:dyDescent="0.25">
      <c r="A62" s="6" t="s">
        <v>82</v>
      </c>
      <c r="B62" s="7">
        <v>320460</v>
      </c>
      <c r="L62" s="94"/>
    </row>
    <row r="63" spans="1:12" x14ac:dyDescent="0.25">
      <c r="A63" s="8" t="s">
        <v>83</v>
      </c>
      <c r="B63" s="9">
        <v>310043</v>
      </c>
      <c r="L63" s="94"/>
    </row>
    <row r="64" spans="1:12" x14ac:dyDescent="0.25">
      <c r="A64" s="8" t="s">
        <v>84</v>
      </c>
      <c r="B64" s="9">
        <v>301380</v>
      </c>
      <c r="L64" s="94"/>
    </row>
    <row r="65" spans="1:12" x14ac:dyDescent="0.25">
      <c r="A65" s="8" t="s">
        <v>85</v>
      </c>
      <c r="B65" s="9">
        <v>301965</v>
      </c>
      <c r="L65" s="94"/>
    </row>
    <row r="66" spans="1:12" x14ac:dyDescent="0.25">
      <c r="A66" s="8" t="s">
        <v>86</v>
      </c>
      <c r="B66" s="9">
        <v>300916</v>
      </c>
      <c r="L66" s="94"/>
    </row>
    <row r="67" spans="1:12" x14ac:dyDescent="0.25">
      <c r="A67" s="10" t="s">
        <v>87</v>
      </c>
      <c r="B67" s="11">
        <v>1534764</v>
      </c>
      <c r="L67" s="95"/>
    </row>
    <row r="68" spans="1:12" x14ac:dyDescent="0.25">
      <c r="A68" s="8" t="s">
        <v>88</v>
      </c>
      <c r="B68" s="9">
        <v>311890</v>
      </c>
      <c r="L68" s="94"/>
    </row>
    <row r="69" spans="1:12" x14ac:dyDescent="0.25">
      <c r="A69" s="8" t="s">
        <v>89</v>
      </c>
      <c r="B69" s="9">
        <v>313933</v>
      </c>
      <c r="L69" s="94"/>
    </row>
    <row r="70" spans="1:12" x14ac:dyDescent="0.25">
      <c r="A70" s="8" t="s">
        <v>90</v>
      </c>
      <c r="B70" s="9">
        <v>311527</v>
      </c>
      <c r="L70" s="94"/>
    </row>
    <row r="71" spans="1:12" x14ac:dyDescent="0.25">
      <c r="A71" s="8" t="s">
        <v>91</v>
      </c>
      <c r="B71" s="9">
        <v>309248</v>
      </c>
      <c r="L71" s="94"/>
    </row>
    <row r="72" spans="1:12" x14ac:dyDescent="0.25">
      <c r="A72" s="8" t="s">
        <v>92</v>
      </c>
      <c r="B72" s="9">
        <v>298726</v>
      </c>
      <c r="L72" s="94"/>
    </row>
    <row r="73" spans="1:12" x14ac:dyDescent="0.25">
      <c r="A73" s="14" t="s">
        <v>93</v>
      </c>
      <c r="B73" s="15">
        <v>1545324</v>
      </c>
      <c r="C73" s="2">
        <f>SUM(B67,B73)</f>
        <v>3080088</v>
      </c>
      <c r="D73" s="1">
        <f>C73/$B$108</f>
        <v>0.12142789925761971</v>
      </c>
      <c r="L73" s="95"/>
    </row>
    <row r="74" spans="1:12" x14ac:dyDescent="0.25">
      <c r="A74" s="6" t="s">
        <v>94</v>
      </c>
      <c r="B74" s="7">
        <v>290624</v>
      </c>
      <c r="L74" s="94"/>
    </row>
    <row r="75" spans="1:12" x14ac:dyDescent="0.25">
      <c r="A75" s="8" t="s">
        <v>95</v>
      </c>
      <c r="B75" s="9">
        <v>285521</v>
      </c>
      <c r="L75" s="94"/>
    </row>
    <row r="76" spans="1:12" x14ac:dyDescent="0.25">
      <c r="A76" s="8" t="s">
        <v>96</v>
      </c>
      <c r="B76" s="9">
        <v>277305</v>
      </c>
      <c r="L76" s="94"/>
    </row>
    <row r="77" spans="1:12" x14ac:dyDescent="0.25">
      <c r="A77" s="8" t="s">
        <v>97</v>
      </c>
      <c r="B77" s="9">
        <v>272986</v>
      </c>
      <c r="L77" s="94"/>
    </row>
    <row r="78" spans="1:12" x14ac:dyDescent="0.25">
      <c r="A78" s="8" t="s">
        <v>98</v>
      </c>
      <c r="B78" s="9">
        <v>261893</v>
      </c>
      <c r="L78" s="94"/>
    </row>
    <row r="79" spans="1:12" x14ac:dyDescent="0.25">
      <c r="A79" s="10" t="s">
        <v>99</v>
      </c>
      <c r="B79" s="11">
        <v>1388329</v>
      </c>
      <c r="L79" s="95"/>
    </row>
    <row r="80" spans="1:12" x14ac:dyDescent="0.25">
      <c r="A80" s="8" t="s">
        <v>100</v>
      </c>
      <c r="B80" s="9">
        <v>254839</v>
      </c>
      <c r="L80" s="94"/>
    </row>
    <row r="81" spans="1:12" x14ac:dyDescent="0.25">
      <c r="A81" s="8" t="s">
        <v>101</v>
      </c>
      <c r="B81" s="9">
        <v>251416</v>
      </c>
      <c r="L81" s="94"/>
    </row>
    <row r="82" spans="1:12" x14ac:dyDescent="0.25">
      <c r="A82" s="8" t="s">
        <v>102</v>
      </c>
      <c r="B82" s="9">
        <v>243468</v>
      </c>
      <c r="L82" s="94"/>
    </row>
    <row r="83" spans="1:12" x14ac:dyDescent="0.25">
      <c r="A83" s="8" t="s">
        <v>103</v>
      </c>
      <c r="B83" s="9">
        <v>240724</v>
      </c>
      <c r="L83" s="94"/>
    </row>
    <row r="84" spans="1:12" x14ac:dyDescent="0.25">
      <c r="A84" s="8" t="s">
        <v>104</v>
      </c>
      <c r="B84" s="9">
        <v>234326</v>
      </c>
      <c r="L84" s="94"/>
    </row>
    <row r="85" spans="1:12" x14ac:dyDescent="0.25">
      <c r="A85" s="12" t="s">
        <v>105</v>
      </c>
      <c r="B85" s="13">
        <v>1224773</v>
      </c>
      <c r="C85" s="2">
        <f>SUM(B79,B85)</f>
        <v>2613102</v>
      </c>
      <c r="D85" s="1">
        <f>C85/$B$108</f>
        <v>0.10301766910746854</v>
      </c>
      <c r="L85" s="95"/>
    </row>
    <row r="86" spans="1:12" x14ac:dyDescent="0.25">
      <c r="A86" s="6" t="s">
        <v>106</v>
      </c>
      <c r="B86" s="7">
        <v>226082</v>
      </c>
      <c r="L86" s="94"/>
    </row>
    <row r="87" spans="1:12" x14ac:dyDescent="0.25">
      <c r="A87" s="8" t="s">
        <v>107</v>
      </c>
      <c r="B87" s="9">
        <v>226412</v>
      </c>
      <c r="L87" s="94"/>
    </row>
    <row r="88" spans="1:12" x14ac:dyDescent="0.25">
      <c r="A88" s="8" t="s">
        <v>108</v>
      </c>
      <c r="B88" s="9">
        <v>231019</v>
      </c>
      <c r="L88" s="94"/>
    </row>
    <row r="89" spans="1:12" x14ac:dyDescent="0.25">
      <c r="A89" s="8" t="s">
        <v>109</v>
      </c>
      <c r="B89" s="9">
        <v>192937</v>
      </c>
      <c r="L89" s="94"/>
    </row>
    <row r="90" spans="1:12" x14ac:dyDescent="0.25">
      <c r="A90" s="8" t="s">
        <v>110</v>
      </c>
      <c r="B90" s="9">
        <v>181454</v>
      </c>
      <c r="L90" s="94"/>
    </row>
    <row r="91" spans="1:12" x14ac:dyDescent="0.25">
      <c r="A91" s="10" t="s">
        <v>111</v>
      </c>
      <c r="B91" s="11">
        <v>1057904</v>
      </c>
      <c r="L91" s="95"/>
    </row>
    <row r="92" spans="1:12" x14ac:dyDescent="0.25">
      <c r="A92" s="8" t="s">
        <v>112</v>
      </c>
      <c r="B92" s="9">
        <v>171139</v>
      </c>
      <c r="L92" s="94"/>
    </row>
    <row r="93" spans="1:12" x14ac:dyDescent="0.25">
      <c r="A93" s="8" t="s">
        <v>113</v>
      </c>
      <c r="B93" s="9">
        <v>151876</v>
      </c>
      <c r="L93" s="94"/>
    </row>
    <row r="94" spans="1:12" x14ac:dyDescent="0.25">
      <c r="A94" s="8" t="s">
        <v>114</v>
      </c>
      <c r="B94" s="9">
        <v>148212</v>
      </c>
      <c r="L94" s="94"/>
    </row>
    <row r="95" spans="1:12" x14ac:dyDescent="0.25">
      <c r="A95" s="8" t="s">
        <v>115</v>
      </c>
      <c r="B95" s="9">
        <v>135541</v>
      </c>
      <c r="L95" s="94"/>
    </row>
    <row r="96" spans="1:12" x14ac:dyDescent="0.25">
      <c r="A96" s="8" t="s">
        <v>116</v>
      </c>
      <c r="B96" s="9">
        <v>127491</v>
      </c>
      <c r="L96" s="94"/>
    </row>
    <row r="97" spans="1:12" x14ac:dyDescent="0.25">
      <c r="A97" s="12" t="s">
        <v>117</v>
      </c>
      <c r="B97" s="13">
        <v>734259</v>
      </c>
      <c r="C97" s="2">
        <f>SUM(B91,B97)</f>
        <v>1792163</v>
      </c>
      <c r="D97" s="1">
        <f>C97/$B$108</f>
        <v>7.065336711718416E-2</v>
      </c>
      <c r="L97" s="95"/>
    </row>
    <row r="98" spans="1:12" x14ac:dyDescent="0.25">
      <c r="A98" s="6" t="s">
        <v>118</v>
      </c>
      <c r="B98" s="7">
        <v>118484</v>
      </c>
      <c r="L98" s="94"/>
    </row>
    <row r="99" spans="1:12" x14ac:dyDescent="0.25">
      <c r="A99" s="8" t="s">
        <v>119</v>
      </c>
      <c r="B99" s="9">
        <v>109564</v>
      </c>
      <c r="L99" s="94"/>
    </row>
    <row r="100" spans="1:12" x14ac:dyDescent="0.25">
      <c r="A100" s="8" t="s">
        <v>120</v>
      </c>
      <c r="B100" s="9">
        <v>101897</v>
      </c>
      <c r="L100" s="94"/>
    </row>
    <row r="101" spans="1:12" x14ac:dyDescent="0.25">
      <c r="A101" s="8" t="s">
        <v>121</v>
      </c>
      <c r="B101" s="9">
        <v>93053</v>
      </c>
      <c r="L101" s="94"/>
    </row>
    <row r="102" spans="1:12" x14ac:dyDescent="0.25">
      <c r="A102" s="8" t="s">
        <v>122</v>
      </c>
      <c r="B102" s="9">
        <v>82541</v>
      </c>
      <c r="L102" s="94"/>
    </row>
    <row r="103" spans="1:12" x14ac:dyDescent="0.25">
      <c r="A103" s="10" t="s">
        <v>123</v>
      </c>
      <c r="B103" s="11">
        <v>505539</v>
      </c>
      <c r="L103" s="95"/>
    </row>
    <row r="104" spans="1:12" x14ac:dyDescent="0.25">
      <c r="A104" s="10" t="s">
        <v>124</v>
      </c>
      <c r="B104" s="11">
        <v>313008</v>
      </c>
      <c r="L104" s="95"/>
    </row>
    <row r="105" spans="1:12" x14ac:dyDescent="0.25">
      <c r="A105" s="10" t="s">
        <v>125</v>
      </c>
      <c r="B105" s="11">
        <v>153468</v>
      </c>
      <c r="L105" s="95"/>
    </row>
    <row r="106" spans="1:12" x14ac:dyDescent="0.25">
      <c r="A106" s="10" t="s">
        <v>126</v>
      </c>
      <c r="B106" s="11">
        <v>44201</v>
      </c>
      <c r="L106" s="95"/>
    </row>
    <row r="107" spans="1:12" x14ac:dyDescent="0.25">
      <c r="A107" s="12" t="s">
        <v>127</v>
      </c>
      <c r="B107" s="13">
        <v>5027</v>
      </c>
      <c r="C107" s="2">
        <f>SUM(B103:B107)</f>
        <v>1021243</v>
      </c>
      <c r="D107" s="1">
        <f>C107/$B$108</f>
        <v>4.0260989985204748E-2</v>
      </c>
      <c r="L107" s="95"/>
    </row>
    <row r="108" spans="1:12" x14ac:dyDescent="0.25">
      <c r="A108" s="4" t="s">
        <v>128</v>
      </c>
      <c r="B108" s="5">
        <v>25365571</v>
      </c>
      <c r="L108"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6"/>
  <sheetViews>
    <sheetView workbookViewId="0">
      <selection activeCell="I33" sqref="I33"/>
    </sheetView>
  </sheetViews>
  <sheetFormatPr defaultRowHeight="15" x14ac:dyDescent="0.25"/>
  <sheetData>
    <row r="3" spans="1:3" x14ac:dyDescent="0.25">
      <c r="A3" t="s">
        <v>137</v>
      </c>
      <c r="B3" t="s">
        <v>138</v>
      </c>
      <c r="C3" t="s">
        <v>139</v>
      </c>
    </row>
    <row r="4" spans="1:3" x14ac:dyDescent="0.25">
      <c r="A4" s="55" t="s">
        <v>13</v>
      </c>
      <c r="B4">
        <v>33</v>
      </c>
      <c r="C4" s="3">
        <f t="shared" ref="C4:C12" si="0">B4/$B$14</f>
        <v>3.3199195171026159E-2</v>
      </c>
    </row>
    <row r="5" spans="1:3" x14ac:dyDescent="0.25">
      <c r="A5" s="55" t="s">
        <v>14</v>
      </c>
      <c r="B5">
        <v>89</v>
      </c>
      <c r="C5" s="3">
        <f t="shared" si="0"/>
        <v>8.9537223340040245E-2</v>
      </c>
    </row>
    <row r="6" spans="1:3" x14ac:dyDescent="0.25">
      <c r="A6" s="55" t="s">
        <v>15</v>
      </c>
      <c r="B6">
        <v>164</v>
      </c>
      <c r="C6" s="3">
        <f t="shared" si="0"/>
        <v>0.16498993963782696</v>
      </c>
    </row>
    <row r="7" spans="1:3" x14ac:dyDescent="0.25">
      <c r="A7" s="55" t="s">
        <v>16</v>
      </c>
      <c r="B7">
        <v>170</v>
      </c>
      <c r="C7" s="3">
        <f t="shared" si="0"/>
        <v>0.17102615694164991</v>
      </c>
    </row>
    <row r="8" spans="1:3" x14ac:dyDescent="0.25">
      <c r="A8" s="55" t="s">
        <v>17</v>
      </c>
      <c r="B8">
        <v>146</v>
      </c>
      <c r="C8" s="3">
        <f t="shared" si="0"/>
        <v>0.14688128772635814</v>
      </c>
    </row>
    <row r="9" spans="1:3" x14ac:dyDescent="0.25">
      <c r="A9" s="55" t="s">
        <v>18</v>
      </c>
      <c r="B9">
        <v>174</v>
      </c>
      <c r="C9" s="3">
        <f t="shared" si="0"/>
        <v>0.1750503018108652</v>
      </c>
    </row>
    <row r="10" spans="1:3" x14ac:dyDescent="0.25">
      <c r="A10" s="55" t="s">
        <v>19</v>
      </c>
      <c r="B10">
        <v>179</v>
      </c>
      <c r="C10" s="3">
        <f t="shared" si="0"/>
        <v>0.18008048289738432</v>
      </c>
    </row>
    <row r="11" spans="1:3" ht="15.75" customHeight="1" x14ac:dyDescent="0.25">
      <c r="A11" s="56" t="s">
        <v>20</v>
      </c>
      <c r="B11">
        <v>33</v>
      </c>
      <c r="C11" s="3">
        <f t="shared" si="0"/>
        <v>3.3199195171026159E-2</v>
      </c>
    </row>
    <row r="12" spans="1:3" x14ac:dyDescent="0.25">
      <c r="A12" s="56" t="s">
        <v>21</v>
      </c>
      <c r="B12">
        <v>6</v>
      </c>
      <c r="C12" s="3">
        <f t="shared" si="0"/>
        <v>6.0362173038229373E-3</v>
      </c>
    </row>
    <row r="14" spans="1:3" x14ac:dyDescent="0.25">
      <c r="A14" t="s">
        <v>140</v>
      </c>
      <c r="B14">
        <f>SUM(B4:B12)</f>
        <v>994</v>
      </c>
    </row>
    <row r="16" spans="1:3" x14ac:dyDescent="0.25">
      <c r="B16" t="s">
        <v>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Projections</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2020-03-29T13:13:34Z</dcterms:modified>
</cp:coreProperties>
</file>