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3008DE81-3B69-415A-857F-829B14C72E89}" xr6:coauthVersionLast="45" xr6:coauthVersionMax="45" xr10:uidLastSave="{00000000-0000-0000-0000-000000000000}"/>
  <bookViews>
    <workbookView xWindow="240" yWindow="0" windowWidth="37605" windowHeight="2100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 name="US Death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314" i="1" l="1"/>
  <c r="L285" i="1" l="1"/>
  <c r="M285" i="1" s="1"/>
  <c r="L286" i="1"/>
  <c r="M286" i="1" s="1"/>
  <c r="N286" i="1" s="1"/>
  <c r="N285" i="1" l="1"/>
  <c r="D13" i="6"/>
  <c r="C13" i="6"/>
  <c r="D8" i="6" l="1"/>
  <c r="C8" i="6"/>
  <c r="D19" i="6"/>
  <c r="C19" i="6"/>
  <c r="R5" i="6" l="1"/>
  <c r="C18" i="6"/>
  <c r="D20" i="6"/>
  <c r="D18" i="6" l="1"/>
  <c r="D27" i="6" l="1"/>
  <c r="C27" i="6"/>
  <c r="AK314" i="1"/>
  <c r="D39" i="6" l="1"/>
  <c r="D38" i="6"/>
  <c r="D42" i="6"/>
  <c r="D43" i="6"/>
  <c r="D46" i="6"/>
  <c r="D40" i="6"/>
  <c r="D41" i="6"/>
  <c r="D44" i="6"/>
  <c r="D45" i="6"/>
  <c r="D47" i="6"/>
  <c r="D48" i="6"/>
  <c r="P4" i="6"/>
  <c r="Q4" i="6" s="1"/>
  <c r="S4" i="6" s="1"/>
  <c r="T4" i="6" s="1"/>
  <c r="C24" i="6"/>
  <c r="C25" i="6"/>
  <c r="C26" i="6"/>
  <c r="C28" i="6"/>
  <c r="C29" i="6"/>
  <c r="C30" i="6"/>
  <c r="C31" i="6"/>
  <c r="C32" i="6"/>
  <c r="C33" i="6"/>
  <c r="C34" i="6"/>
  <c r="D25" i="6"/>
  <c r="D26" i="6"/>
  <c r="D28" i="6"/>
  <c r="D29" i="6"/>
  <c r="D30" i="6"/>
  <c r="D31" i="6"/>
  <c r="D32" i="6"/>
  <c r="D33" i="6"/>
  <c r="D34" i="6"/>
  <c r="D24" i="6"/>
  <c r="AK219" i="1" l="1"/>
  <c r="AH152" i="1"/>
  <c r="B274" i="1" l="1"/>
  <c r="P291" i="1" l="1"/>
  <c r="AJ314" i="1" l="1"/>
  <c r="AI314" i="1" l="1"/>
  <c r="AG314" i="1" l="1"/>
  <c r="AH314" i="1"/>
  <c r="AF314" i="1" l="1"/>
  <c r="AE314" i="1" l="1"/>
  <c r="V79" i="1" l="1"/>
  <c r="BF287" i="1" l="1"/>
  <c r="Q314" i="1"/>
  <c r="R314" i="1"/>
  <c r="S314" i="1"/>
  <c r="T314" i="1"/>
  <c r="U314" i="1"/>
  <c r="V314" i="1"/>
  <c r="W314" i="1"/>
  <c r="X314" i="1"/>
  <c r="Y314" i="1"/>
  <c r="Z314" i="1"/>
  <c r="AA314" i="1"/>
  <c r="AB314" i="1"/>
  <c r="AC314" i="1"/>
  <c r="AD314" i="1"/>
  <c r="P314" i="1"/>
  <c r="E34" i="4" l="1"/>
  <c r="C45" i="4"/>
  <c r="BH291" i="1" l="1"/>
  <c r="BH288" i="1"/>
  <c r="BH287" i="1" s="1"/>
  <c r="BH295" i="1" s="1"/>
  <c r="BE291" i="1"/>
  <c r="BF291" i="1"/>
  <c r="BD291" i="1"/>
  <c r="BH293" i="1" l="1"/>
  <c r="BH292" i="1"/>
  <c r="C5" i="5"/>
  <c r="C4" i="5"/>
  <c r="B335" i="1"/>
  <c r="B331" i="1"/>
  <c r="B333" i="1"/>
  <c r="B329" i="1"/>
  <c r="B327" i="1"/>
  <c r="B325" i="1"/>
  <c r="B323" i="1"/>
  <c r="B321" i="1"/>
  <c r="B319"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Q286" i="1"/>
  <c r="P310" i="1"/>
  <c r="R286" i="1" l="1"/>
  <c r="Q312" i="1"/>
  <c r="S286" i="1" l="1"/>
  <c r="Q310" i="1"/>
  <c r="P312" i="1"/>
  <c r="P309" i="1"/>
  <c r="T286" i="1" l="1"/>
  <c r="R310" i="1"/>
  <c r="P297" i="1"/>
  <c r="P298" i="1" s="1"/>
  <c r="P299" i="1"/>
  <c r="P300" i="1" s="1"/>
  <c r="U286" i="1" l="1"/>
  <c r="S310" i="1"/>
  <c r="P295" i="1"/>
  <c r="P296" i="1" s="1"/>
  <c r="P293" i="1"/>
  <c r="P294" i="1" s="1"/>
  <c r="C12" i="5"/>
  <c r="C7" i="5"/>
  <c r="C8" i="5" s="1"/>
  <c r="C9" i="5" s="1"/>
  <c r="C21" i="5"/>
  <c r="C18" i="5"/>
  <c r="C15" i="5"/>
  <c r="C24" i="5"/>
  <c r="C3" i="5"/>
  <c r="V286" i="1" l="1"/>
  <c r="C30" i="5"/>
  <c r="P292" i="1"/>
  <c r="T310" i="1"/>
  <c r="P289" i="1"/>
  <c r="P290" i="1" s="1"/>
  <c r="C34" i="5"/>
  <c r="W286" i="1" l="1"/>
  <c r="U310" i="1"/>
  <c r="C13" i="5"/>
  <c r="C14" i="5" s="1"/>
  <c r="BG287" i="1"/>
  <c r="P305" i="1"/>
  <c r="P303" i="1"/>
  <c r="P306" i="1"/>
  <c r="P304" i="1"/>
  <c r="BH311" i="1" l="1"/>
  <c r="BG311" i="1"/>
  <c r="X286" i="1"/>
  <c r="BG344" i="1"/>
  <c r="BG345" i="1" s="1"/>
  <c r="BG342" i="1"/>
  <c r="BG348" i="1"/>
  <c r="BG349" i="1" s="1"/>
  <c r="BG352" i="1"/>
  <c r="BG346" i="1"/>
  <c r="BG347" i="1" s="1"/>
  <c r="BG350" i="1"/>
  <c r="BG351" i="1" s="1"/>
  <c r="V310" i="1"/>
  <c r="BG288" i="1"/>
  <c r="BH301" i="1"/>
  <c r="BH299" i="1"/>
  <c r="BH297" i="1"/>
  <c r="BG295" i="1"/>
  <c r="BG291" i="1"/>
  <c r="BG293" i="1" s="1"/>
  <c r="C22" i="5"/>
  <c r="C23" i="5" s="1"/>
  <c r="C35" i="5"/>
  <c r="C40" i="5" s="1"/>
  <c r="C25" i="5"/>
  <c r="C19" i="5"/>
  <c r="C20" i="5" s="1"/>
  <c r="C16" i="5"/>
  <c r="C17" i="5" s="1"/>
  <c r="C31" i="5"/>
  <c r="AP25" i="4"/>
  <c r="E31" i="4"/>
  <c r="B17" i="4" s="1"/>
  <c r="K20" i="4" l="1"/>
  <c r="B18" i="4"/>
  <c r="B19" i="4" s="1"/>
  <c r="Y286" i="1"/>
  <c r="BG343" i="1"/>
  <c r="BG355" i="1" s="1"/>
  <c r="BG354"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Z286" i="1"/>
  <c r="E18" i="4"/>
  <c r="K21" i="4" s="1"/>
  <c r="N20" i="4"/>
  <c r="H17" i="4"/>
  <c r="P342" i="1"/>
  <c r="P343" i="1" s="1"/>
  <c r="AA286" i="1" l="1"/>
  <c r="E19" i="4"/>
  <c r="Q20" i="4"/>
  <c r="H18" i="4"/>
  <c r="N22" i="4" s="1"/>
  <c r="K17" i="4"/>
  <c r="Y24" i="4"/>
  <c r="B14" i="3"/>
  <c r="AB286" i="1" l="1"/>
  <c r="H19" i="4"/>
  <c r="T20" i="4"/>
  <c r="K18" i="4"/>
  <c r="K19" i="4" s="1"/>
  <c r="N21" i="4"/>
  <c r="AB24" i="4" s="1"/>
  <c r="N17" i="4"/>
  <c r="AC286" i="1" l="1"/>
  <c r="Q17" i="4"/>
  <c r="T17" i="4" s="1"/>
  <c r="W20" i="4"/>
  <c r="N18" i="4"/>
  <c r="N19" i="4" s="1"/>
  <c r="Q21" i="4"/>
  <c r="AE24" i="4" s="1"/>
  <c r="Q22" i="4"/>
  <c r="AD286" i="1" l="1"/>
  <c r="T18" i="4"/>
  <c r="T19" i="4" s="1"/>
  <c r="AC20" i="4"/>
  <c r="Z20" i="4"/>
  <c r="Q18" i="4"/>
  <c r="Q19" i="4" s="1"/>
  <c r="T21" i="4"/>
  <c r="AH24" i="4" s="1"/>
  <c r="T22" i="4"/>
  <c r="T23" i="4"/>
  <c r="W17" i="4"/>
  <c r="W21" i="4" l="1"/>
  <c r="AK24" i="4" s="1"/>
  <c r="W23" i="4"/>
  <c r="AH286" i="1"/>
  <c r="W18" i="4"/>
  <c r="W19" i="4" s="1"/>
  <c r="AF20" i="4"/>
  <c r="W22" i="4"/>
  <c r="Z21" i="4"/>
  <c r="AN24" i="4" s="1"/>
  <c r="Z23" i="4"/>
  <c r="Z22" i="4"/>
  <c r="Z17" i="4"/>
  <c r="C352" i="1"/>
  <c r="C350" i="1"/>
  <c r="C348" i="1"/>
  <c r="C346" i="1"/>
  <c r="C344" i="1"/>
  <c r="C342" i="1"/>
  <c r="P301" i="1"/>
  <c r="C5" i="3"/>
  <c r="D321" i="1" s="1"/>
  <c r="AH312" i="1" l="1"/>
  <c r="AG286" i="1"/>
  <c r="AE286" i="1"/>
  <c r="AF286" i="1"/>
  <c r="AL286" i="1"/>
  <c r="Z18" i="4"/>
  <c r="Z19" i="4" s="1"/>
  <c r="AI20" i="4"/>
  <c r="BG321" i="1"/>
  <c r="BG322" i="1"/>
  <c r="AC21" i="4"/>
  <c r="AC22" i="4"/>
  <c r="AC23" i="4"/>
  <c r="AC17" i="4"/>
  <c r="BG301" i="1"/>
  <c r="C7" i="3"/>
  <c r="D325" i="1" s="1"/>
  <c r="C4" i="3"/>
  <c r="D319" i="1" s="1"/>
  <c r="C12" i="3"/>
  <c r="D335" i="1" s="1"/>
  <c r="C11" i="3"/>
  <c r="D333" i="1" s="1"/>
  <c r="C10" i="3"/>
  <c r="D331" i="1" s="1"/>
  <c r="C9" i="3"/>
  <c r="D329" i="1" s="1"/>
  <c r="C8" i="3"/>
  <c r="D327" i="1" s="1"/>
  <c r="C6" i="3"/>
  <c r="D323" i="1" s="1"/>
  <c r="C276" i="1"/>
  <c r="C10" i="5" s="1"/>
  <c r="C26" i="5" s="1"/>
  <c r="C27" i="5" s="1"/>
  <c r="C277" i="1"/>
  <c r="C11" i="5" s="1"/>
  <c r="C28" i="5" s="1"/>
  <c r="C29" i="5" s="1"/>
  <c r="P322" i="1"/>
  <c r="P352" i="1"/>
  <c r="P350" i="1"/>
  <c r="P348" i="1"/>
  <c r="P349" i="1" s="1"/>
  <c r="P346" i="1"/>
  <c r="P347" i="1" s="1"/>
  <c r="P344" i="1"/>
  <c r="P345" i="1" s="1"/>
  <c r="C321" i="1"/>
  <c r="C323" i="1"/>
  <c r="C325" i="1"/>
  <c r="C327" i="1"/>
  <c r="C329" i="1"/>
  <c r="C331" i="1"/>
  <c r="C333" i="1"/>
  <c r="C335" i="1"/>
  <c r="C319" i="1"/>
  <c r="P288" i="1"/>
  <c r="Q287" i="1"/>
  <c r="Q301" i="1" s="1"/>
  <c r="AJ286" i="1" l="1"/>
  <c r="AK286" i="1"/>
  <c r="AI286" i="1"/>
  <c r="AE309" i="1"/>
  <c r="AE310" i="1"/>
  <c r="AG310" i="1"/>
  <c r="AG309" i="1"/>
  <c r="AF310" i="1"/>
  <c r="AF309" i="1"/>
  <c r="AE312" i="1"/>
  <c r="AG312" i="1"/>
  <c r="AF312" i="1"/>
  <c r="AQ286" i="1"/>
  <c r="BG319" i="1"/>
  <c r="BG320" i="1"/>
  <c r="AL20" i="4"/>
  <c r="AC18" i="4"/>
  <c r="AC19" i="4" s="1"/>
  <c r="BG331" i="1"/>
  <c r="BG332" i="1"/>
  <c r="BG324" i="1"/>
  <c r="BG323" i="1"/>
  <c r="BG327" i="1"/>
  <c r="BG328" i="1"/>
  <c r="BG334" i="1"/>
  <c r="BG333" i="1"/>
  <c r="BG326" i="1"/>
  <c r="BG325" i="1"/>
  <c r="BG330" i="1"/>
  <c r="BG329" i="1"/>
  <c r="P336" i="1"/>
  <c r="BG336" i="1"/>
  <c r="BG335" i="1"/>
  <c r="Q299" i="1"/>
  <c r="Q300" i="1" s="1"/>
  <c r="Q295" i="1"/>
  <c r="Q296" i="1" s="1"/>
  <c r="Q303" i="1"/>
  <c r="Q306" i="1"/>
  <c r="Q309" i="1"/>
  <c r="Q304" i="1"/>
  <c r="Q305" i="1"/>
  <c r="Q291" i="1"/>
  <c r="AF22" i="4"/>
  <c r="AF23" i="4"/>
  <c r="AF21" i="4"/>
  <c r="AF17" i="4"/>
  <c r="P320" i="1"/>
  <c r="P319" i="1"/>
  <c r="P328" i="1"/>
  <c r="P327" i="1"/>
  <c r="P331" i="1"/>
  <c r="P330" i="1"/>
  <c r="P333" i="1"/>
  <c r="P323" i="1"/>
  <c r="R287" i="1"/>
  <c r="R301" i="1" s="1"/>
  <c r="Q346" i="1"/>
  <c r="Q347" i="1" s="1"/>
  <c r="P324" i="1"/>
  <c r="Q335" i="1"/>
  <c r="Q344" i="1"/>
  <c r="Q345" i="1" s="1"/>
  <c r="P332" i="1"/>
  <c r="Q333" i="1"/>
  <c r="Q352" i="1"/>
  <c r="P321" i="1"/>
  <c r="P329" i="1"/>
  <c r="Q350" i="1"/>
  <c r="Q351" i="1" s="1"/>
  <c r="Q348" i="1"/>
  <c r="Q349" i="1" s="1"/>
  <c r="Q331" i="1"/>
  <c r="Q324" i="1"/>
  <c r="Q328" i="1"/>
  <c r="Q332" i="1"/>
  <c r="Q336" i="1"/>
  <c r="P354" i="1"/>
  <c r="Q342" i="1"/>
  <c r="Q343" i="1" s="1"/>
  <c r="P325" i="1"/>
  <c r="Q321" i="1"/>
  <c r="P326" i="1"/>
  <c r="P334" i="1"/>
  <c r="Q325" i="1"/>
  <c r="Q322" i="1"/>
  <c r="Q329" i="1"/>
  <c r="P335" i="1"/>
  <c r="Q319" i="1"/>
  <c r="Q326" i="1"/>
  <c r="Q330" i="1"/>
  <c r="Q334" i="1"/>
  <c r="Q323" i="1"/>
  <c r="Q320" i="1"/>
  <c r="Q327" i="1"/>
  <c r="P351" i="1"/>
  <c r="P355" i="1" s="1"/>
  <c r="Q288" i="1"/>
  <c r="AK310" i="1" l="1"/>
  <c r="AK309" i="1"/>
  <c r="AJ309" i="1"/>
  <c r="AJ310" i="1"/>
  <c r="AI309" i="1"/>
  <c r="AI310" i="1"/>
  <c r="AM286" i="1"/>
  <c r="AO286" i="1"/>
  <c r="AN286" i="1"/>
  <c r="AP286" i="1"/>
  <c r="R295" i="1"/>
  <c r="R296" i="1" s="1"/>
  <c r="AV286" i="1"/>
  <c r="AO20" i="4"/>
  <c r="AF18" i="4"/>
  <c r="AF19" i="4" s="1"/>
  <c r="BG338" i="1"/>
  <c r="BG337" i="1"/>
  <c r="R344" i="1"/>
  <c r="R345" i="1" s="1"/>
  <c r="R325" i="1"/>
  <c r="R299" i="1"/>
  <c r="R300" i="1" s="1"/>
  <c r="R350" i="1"/>
  <c r="R351" i="1" s="1"/>
  <c r="R321" i="1"/>
  <c r="R320" i="1"/>
  <c r="R342" i="1"/>
  <c r="R343" i="1" s="1"/>
  <c r="R322" i="1"/>
  <c r="R288" i="1"/>
  <c r="Q292" i="1"/>
  <c r="Q293" i="1"/>
  <c r="Q294" i="1" s="1"/>
  <c r="R312" i="1"/>
  <c r="S287" i="1"/>
  <c r="S301" i="1" s="1"/>
  <c r="R291" i="1"/>
  <c r="R335" i="1"/>
  <c r="R334" i="1"/>
  <c r="R346" i="1"/>
  <c r="R347" i="1" s="1"/>
  <c r="R330" i="1"/>
  <c r="R329" i="1"/>
  <c r="R305" i="1"/>
  <c r="R303" i="1"/>
  <c r="R306" i="1"/>
  <c r="R309" i="1"/>
  <c r="R304" i="1"/>
  <c r="AI23" i="4"/>
  <c r="AI21" i="4"/>
  <c r="AI22" i="4"/>
  <c r="AI17" i="4"/>
  <c r="AI18" i="4" s="1"/>
  <c r="P338" i="1"/>
  <c r="Q338" i="1"/>
  <c r="R332" i="1"/>
  <c r="R331" i="1"/>
  <c r="R327" i="1"/>
  <c r="R324" i="1"/>
  <c r="R326" i="1"/>
  <c r="R319" i="1"/>
  <c r="R328" i="1"/>
  <c r="R333" i="1"/>
  <c r="R352" i="1"/>
  <c r="R323" i="1"/>
  <c r="R348" i="1"/>
  <c r="R349" i="1" s="1"/>
  <c r="R336" i="1"/>
  <c r="Q354" i="1"/>
  <c r="P337" i="1"/>
  <c r="Q337" i="1"/>
  <c r="Q355" i="1"/>
  <c r="AS286" i="1" l="1"/>
  <c r="AS310" i="1"/>
  <c r="AS309" i="1"/>
  <c r="AM309" i="1"/>
  <c r="AM310" i="1"/>
  <c r="AR286" i="1"/>
  <c r="BA286" i="1"/>
  <c r="AP310" i="1"/>
  <c r="AP309" i="1"/>
  <c r="AT286" i="1"/>
  <c r="AO310" i="1"/>
  <c r="AO309" i="1"/>
  <c r="AN310" i="1"/>
  <c r="AN309" i="1"/>
  <c r="AU286" i="1"/>
  <c r="S295" i="1"/>
  <c r="S296" i="1" s="1"/>
  <c r="S336" i="1"/>
  <c r="S326" i="1"/>
  <c r="S324" i="1"/>
  <c r="S322" i="1"/>
  <c r="S344" i="1"/>
  <c r="S345" i="1" s="1"/>
  <c r="S332" i="1"/>
  <c r="S331" i="1"/>
  <c r="S323" i="1"/>
  <c r="S334" i="1"/>
  <c r="S329" i="1"/>
  <c r="S352" i="1"/>
  <c r="S319" i="1"/>
  <c r="S299" i="1"/>
  <c r="S300" i="1" s="1"/>
  <c r="S330" i="1"/>
  <c r="S328" i="1"/>
  <c r="S321" i="1"/>
  <c r="S342" i="1"/>
  <c r="S343" i="1" s="1"/>
  <c r="S325" i="1"/>
  <c r="T287" i="1"/>
  <c r="T301" i="1" s="1"/>
  <c r="S335" i="1"/>
  <c r="S333" i="1"/>
  <c r="S346" i="1"/>
  <c r="S347" i="1" s="1"/>
  <c r="R355" i="1"/>
  <c r="S320" i="1"/>
  <c r="S348" i="1"/>
  <c r="S349" i="1" s="1"/>
  <c r="S350" i="1"/>
  <c r="S351" i="1" s="1"/>
  <c r="S288" i="1"/>
  <c r="S327" i="1"/>
  <c r="S312" i="1"/>
  <c r="R292" i="1"/>
  <c r="R293" i="1"/>
  <c r="R294" i="1" s="1"/>
  <c r="S304" i="1"/>
  <c r="S305" i="1"/>
  <c r="S306" i="1"/>
  <c r="S309" i="1"/>
  <c r="S303" i="1"/>
  <c r="R354" i="1"/>
  <c r="S291" i="1"/>
  <c r="AL22" i="4"/>
  <c r="AL21" i="4"/>
  <c r="AL23" i="4"/>
  <c r="AL17" i="4"/>
  <c r="AL18" i="4" s="1"/>
  <c r="AI19" i="4"/>
  <c r="R337" i="1"/>
  <c r="R338" i="1"/>
  <c r="AW286" i="1" l="1"/>
  <c r="BB286" i="1"/>
  <c r="AW310" i="1"/>
  <c r="AY286" i="1"/>
  <c r="AU310" i="1"/>
  <c r="AU309" i="1"/>
  <c r="AX286" i="1"/>
  <c r="AR309" i="1"/>
  <c r="AR310" i="1"/>
  <c r="AZ286" i="1"/>
  <c r="AT309" i="1"/>
  <c r="AT310" i="1"/>
  <c r="T331" i="1"/>
  <c r="T335" i="1"/>
  <c r="T332" i="1"/>
  <c r="T344" i="1"/>
  <c r="T345" i="1" s="1"/>
  <c r="T329" i="1"/>
  <c r="T330" i="1"/>
  <c r="T321" i="1"/>
  <c r="T327" i="1"/>
  <c r="T342" i="1"/>
  <c r="T343" i="1" s="1"/>
  <c r="S338" i="1"/>
  <c r="T328" i="1"/>
  <c r="T320" i="1"/>
  <c r="T350" i="1"/>
  <c r="T351" i="1" s="1"/>
  <c r="T334" i="1"/>
  <c r="T326" i="1"/>
  <c r="T333" i="1"/>
  <c r="T348" i="1"/>
  <c r="T349" i="1" s="1"/>
  <c r="S355" i="1"/>
  <c r="T295" i="1"/>
  <c r="T288" i="1"/>
  <c r="T322" i="1"/>
  <c r="T323" i="1"/>
  <c r="T346" i="1"/>
  <c r="T347" i="1" s="1"/>
  <c r="T291" i="1"/>
  <c r="T293" i="1" s="1"/>
  <c r="T325" i="1"/>
  <c r="U287" i="1"/>
  <c r="T336" i="1"/>
  <c r="S337" i="1"/>
  <c r="T324" i="1"/>
  <c r="T352" i="1"/>
  <c r="S354" i="1"/>
  <c r="T319" i="1"/>
  <c r="T312" i="1"/>
  <c r="S292" i="1"/>
  <c r="S293" i="1"/>
  <c r="S294" i="1" s="1"/>
  <c r="T304" i="1"/>
  <c r="T309" i="1"/>
  <c r="T305" i="1"/>
  <c r="T306" i="1"/>
  <c r="T303" i="1"/>
  <c r="AO21" i="4"/>
  <c r="AO22" i="4"/>
  <c r="AO23" i="4"/>
  <c r="AO17" i="4"/>
  <c r="AO18" i="4" s="1"/>
  <c r="AO19" i="4" s="1"/>
  <c r="AL19" i="4"/>
  <c r="AW309" i="1" l="1"/>
  <c r="U319" i="1"/>
  <c r="U301" i="1"/>
  <c r="AX309" i="1"/>
  <c r="AX310" i="1"/>
  <c r="AY310" i="1"/>
  <c r="AY309" i="1"/>
  <c r="U329" i="1"/>
  <c r="AZ310" i="1"/>
  <c r="AZ309" i="1"/>
  <c r="U332" i="1"/>
  <c r="BC286" i="1"/>
  <c r="BB309" i="1"/>
  <c r="BB310" i="1"/>
  <c r="U322" i="1"/>
  <c r="T337" i="1"/>
  <c r="T355" i="1"/>
  <c r="U335" i="1"/>
  <c r="V287" i="1"/>
  <c r="U324" i="1"/>
  <c r="U350" i="1"/>
  <c r="U351" i="1" s="1"/>
  <c r="U330" i="1"/>
  <c r="U331" i="1"/>
  <c r="T354" i="1"/>
  <c r="U327" i="1"/>
  <c r="T338" i="1"/>
  <c r="U288" i="1"/>
  <c r="U325" i="1"/>
  <c r="U348" i="1"/>
  <c r="U349" i="1" s="1"/>
  <c r="U295" i="1"/>
  <c r="U344" i="1"/>
  <c r="U345" i="1" s="1"/>
  <c r="U326" i="1"/>
  <c r="U291" i="1"/>
  <c r="U292" i="1" s="1"/>
  <c r="U334" i="1"/>
  <c r="U333" i="1"/>
  <c r="U328" i="1"/>
  <c r="U346" i="1"/>
  <c r="U347" i="1" s="1"/>
  <c r="U321" i="1"/>
  <c r="U342" i="1"/>
  <c r="U343" i="1" s="1"/>
  <c r="U352" i="1"/>
  <c r="U323" i="1"/>
  <c r="T292" i="1"/>
  <c r="U320" i="1"/>
  <c r="U336" i="1"/>
  <c r="U312" i="1"/>
  <c r="U304" i="1"/>
  <c r="U305" i="1"/>
  <c r="U303" i="1"/>
  <c r="U306" i="1"/>
  <c r="U309" i="1"/>
  <c r="V291" i="1" l="1"/>
  <c r="V301" i="1"/>
  <c r="V333" i="1"/>
  <c r="V295" i="1"/>
  <c r="BD286" i="1"/>
  <c r="BC310" i="1"/>
  <c r="BC309" i="1"/>
  <c r="V330" i="1"/>
  <c r="V342" i="1"/>
  <c r="V352" i="1"/>
  <c r="V327" i="1"/>
  <c r="V328" i="1"/>
  <c r="V320" i="1"/>
  <c r="V334" i="1"/>
  <c r="V321" i="1"/>
  <c r="V319" i="1"/>
  <c r="V324" i="1"/>
  <c r="V331" i="1"/>
  <c r="V332" i="1"/>
  <c r="V288" i="1"/>
  <c r="V344" i="1"/>
  <c r="V345" i="1" s="1"/>
  <c r="V329" i="1"/>
  <c r="V322" i="1"/>
  <c r="V348" i="1"/>
  <c r="V349" i="1" s="1"/>
  <c r="V346" i="1"/>
  <c r="V347" i="1" s="1"/>
  <c r="V326" i="1"/>
  <c r="V325" i="1"/>
  <c r="W287" i="1"/>
  <c r="W301" i="1" s="1"/>
  <c r="V336" i="1"/>
  <c r="V335" i="1"/>
  <c r="V350" i="1"/>
  <c r="V351" i="1" s="1"/>
  <c r="V323" i="1"/>
  <c r="U355" i="1"/>
  <c r="U338" i="1"/>
  <c r="U354" i="1"/>
  <c r="U337" i="1"/>
  <c r="U293" i="1"/>
  <c r="V312" i="1"/>
  <c r="V292" i="1"/>
  <c r="V293" i="1"/>
  <c r="V304" i="1"/>
  <c r="V305" i="1"/>
  <c r="V306" i="1"/>
  <c r="V303" i="1"/>
  <c r="V309" i="1"/>
  <c r="V343" i="1"/>
  <c r="W329" i="1" l="1"/>
  <c r="BE286" i="1"/>
  <c r="BD309" i="1"/>
  <c r="BD310" i="1"/>
  <c r="W332" i="1"/>
  <c r="W344" i="1"/>
  <c r="W345" i="1" s="1"/>
  <c r="W319" i="1"/>
  <c r="W342" i="1"/>
  <c r="W343" i="1" s="1"/>
  <c r="W330" i="1"/>
  <c r="W335" i="1"/>
  <c r="W352" i="1"/>
  <c r="W324" i="1"/>
  <c r="X287" i="1"/>
  <c r="X301" i="1" s="1"/>
  <c r="W331" i="1"/>
  <c r="W336" i="1"/>
  <c r="W320" i="1"/>
  <c r="V337" i="1"/>
  <c r="W326" i="1"/>
  <c r="V338" i="1"/>
  <c r="V354" i="1"/>
  <c r="W322" i="1"/>
  <c r="W333" i="1"/>
  <c r="W328" i="1"/>
  <c r="W327" i="1"/>
  <c r="W346" i="1"/>
  <c r="W347" i="1" s="1"/>
  <c r="V355" i="1"/>
  <c r="W291" i="1"/>
  <c r="W292" i="1" s="1"/>
  <c r="W348" i="1"/>
  <c r="W349" i="1" s="1"/>
  <c r="W295" i="1"/>
  <c r="W288" i="1"/>
  <c r="W321" i="1"/>
  <c r="W323" i="1"/>
  <c r="W334" i="1"/>
  <c r="W350" i="1"/>
  <c r="W351" i="1" s="1"/>
  <c r="W325" i="1"/>
  <c r="X312" i="1"/>
  <c r="W312" i="1"/>
  <c r="W310" i="1"/>
  <c r="W309" i="1"/>
  <c r="W304" i="1"/>
  <c r="W306" i="1"/>
  <c r="W305" i="1"/>
  <c r="W303" i="1"/>
  <c r="X295" i="1" l="1"/>
  <c r="BF286" i="1"/>
  <c r="BE309" i="1"/>
  <c r="BE310" i="1"/>
  <c r="X332" i="1"/>
  <c r="X335" i="1"/>
  <c r="X336" i="1"/>
  <c r="X288" i="1"/>
  <c r="X350" i="1"/>
  <c r="X351" i="1" s="1"/>
  <c r="X348" i="1"/>
  <c r="X349" i="1" s="1"/>
  <c r="X346" i="1"/>
  <c r="X347" i="1" s="1"/>
  <c r="X327" i="1"/>
  <c r="X344" i="1"/>
  <c r="X345" i="1" s="1"/>
  <c r="X330" i="1"/>
  <c r="X322" i="1"/>
  <c r="X320" i="1"/>
  <c r="X319" i="1"/>
  <c r="X328" i="1"/>
  <c r="X334" i="1"/>
  <c r="X321" i="1"/>
  <c r="X329" i="1"/>
  <c r="X333" i="1"/>
  <c r="X342" i="1"/>
  <c r="X343" i="1" s="1"/>
  <c r="X326" i="1"/>
  <c r="X331" i="1"/>
  <c r="X325" i="1"/>
  <c r="X324" i="1"/>
  <c r="Y287" i="1"/>
  <c r="X323" i="1"/>
  <c r="X352" i="1"/>
  <c r="X291" i="1"/>
  <c r="X292" i="1" s="1"/>
  <c r="W338" i="1"/>
  <c r="W293" i="1"/>
  <c r="W337" i="1"/>
  <c r="W354" i="1"/>
  <c r="W355" i="1"/>
  <c r="X309" i="1"/>
  <c r="X310" i="1"/>
  <c r="X304" i="1"/>
  <c r="X306" i="1"/>
  <c r="X303" i="1"/>
  <c r="X305" i="1"/>
  <c r="Y352" i="1"/>
  <c r="Y348" i="1"/>
  <c r="Y349" i="1" s="1"/>
  <c r="Y325" i="1" l="1"/>
  <c r="Y301" i="1"/>
  <c r="Y291" i="1"/>
  <c r="Y293" i="1" s="1"/>
  <c r="Y288" i="1"/>
  <c r="BG286" i="1"/>
  <c r="BF309" i="1"/>
  <c r="BF310" i="1"/>
  <c r="X355" i="1"/>
  <c r="X354" i="1"/>
  <c r="X338" i="1"/>
  <c r="X337" i="1"/>
  <c r="Y322" i="1"/>
  <c r="Y324" i="1"/>
  <c r="Y332" i="1"/>
  <c r="Y319" i="1"/>
  <c r="Z287" i="1"/>
  <c r="Z301" i="1" s="1"/>
  <c r="Y333" i="1"/>
  <c r="Y346" i="1"/>
  <c r="Y347" i="1" s="1"/>
  <c r="Y342" i="1"/>
  <c r="Y343" i="1" s="1"/>
  <c r="Y335" i="1"/>
  <c r="Y344" i="1"/>
  <c r="Y345" i="1" s="1"/>
  <c r="Y330" i="1"/>
  <c r="Y326" i="1"/>
  <c r="Y331" i="1"/>
  <c r="Y321" i="1"/>
  <c r="Y295" i="1"/>
  <c r="Y329" i="1"/>
  <c r="Y327" i="1"/>
  <c r="Y320" i="1"/>
  <c r="Y336" i="1"/>
  <c r="Y328" i="1"/>
  <c r="Y350" i="1"/>
  <c r="Y351" i="1" s="1"/>
  <c r="Y334" i="1"/>
  <c r="Y323" i="1"/>
  <c r="X293" i="1"/>
  <c r="Y292" i="1"/>
  <c r="Y312" i="1"/>
  <c r="Y310" i="1"/>
  <c r="Y309" i="1"/>
  <c r="Y305" i="1"/>
  <c r="Y306" i="1"/>
  <c r="Y303" i="1"/>
  <c r="Y304" i="1"/>
  <c r="Z295" i="1" l="1"/>
  <c r="Z324" i="1"/>
  <c r="Z329" i="1"/>
  <c r="Z327" i="1"/>
  <c r="Z344" i="1"/>
  <c r="Z345" i="1" s="1"/>
  <c r="Z331" i="1"/>
  <c r="Y337" i="1"/>
  <c r="Z335" i="1"/>
  <c r="Z342" i="1"/>
  <c r="Z343" i="1" s="1"/>
  <c r="Z321" i="1"/>
  <c r="Z328" i="1"/>
  <c r="Z346" i="1"/>
  <c r="Z347" i="1" s="1"/>
  <c r="Z333" i="1"/>
  <c r="Z330" i="1"/>
  <c r="Z336" i="1"/>
  <c r="Z322" i="1"/>
  <c r="Z326" i="1"/>
  <c r="Z348" i="1"/>
  <c r="Z349" i="1" s="1"/>
  <c r="Z334" i="1"/>
  <c r="AA287" i="1"/>
  <c r="Z319" i="1"/>
  <c r="Z291" i="1"/>
  <c r="Z293" i="1" s="1"/>
  <c r="Y338" i="1"/>
  <c r="Z332" i="1"/>
  <c r="Z325" i="1"/>
  <c r="Z350" i="1"/>
  <c r="Z351" i="1" s="1"/>
  <c r="Z320" i="1"/>
  <c r="Z323" i="1"/>
  <c r="Z352" i="1"/>
  <c r="Z288" i="1"/>
  <c r="Y354" i="1"/>
  <c r="Y355" i="1"/>
  <c r="Z312" i="1"/>
  <c r="Z310" i="1"/>
  <c r="Z309" i="1"/>
  <c r="Z306" i="1"/>
  <c r="Z303" i="1"/>
  <c r="Z305" i="1"/>
  <c r="Z304" i="1"/>
  <c r="AA333" i="1" l="1"/>
  <c r="AA301" i="1"/>
  <c r="AA346" i="1"/>
  <c r="AA347" i="1" s="1"/>
  <c r="AA331" i="1"/>
  <c r="AA288" i="1"/>
  <c r="AA324" i="1"/>
  <c r="AA350" i="1"/>
  <c r="AA351" i="1" s="1"/>
  <c r="Z292" i="1"/>
  <c r="AA352" i="1"/>
  <c r="AA336" i="1"/>
  <c r="AA326" i="1"/>
  <c r="AA327" i="1"/>
  <c r="AA325" i="1"/>
  <c r="AA322" i="1"/>
  <c r="AA335" i="1"/>
  <c r="AA319" i="1"/>
  <c r="Z354" i="1"/>
  <c r="Z337" i="1"/>
  <c r="AA329" i="1"/>
  <c r="AA334" i="1"/>
  <c r="AA332" i="1"/>
  <c r="AA295" i="1"/>
  <c r="AA323" i="1"/>
  <c r="AA321" i="1"/>
  <c r="AB287" i="1"/>
  <c r="AA320" i="1"/>
  <c r="AA291" i="1"/>
  <c r="AA293" i="1" s="1"/>
  <c r="AA330" i="1"/>
  <c r="AA348" i="1"/>
  <c r="AA349" i="1" s="1"/>
  <c r="AA328" i="1"/>
  <c r="Z338" i="1"/>
  <c r="Z355" i="1"/>
  <c r="AA344" i="1"/>
  <c r="AA345" i="1" s="1"/>
  <c r="AA342" i="1"/>
  <c r="AA343" i="1" s="1"/>
  <c r="AA310" i="1"/>
  <c r="AA312" i="1"/>
  <c r="AA303" i="1"/>
  <c r="AA305" i="1"/>
  <c r="AA309" i="1"/>
  <c r="AA304" i="1"/>
  <c r="AA306" i="1"/>
  <c r="AB352" i="1" l="1"/>
  <c r="AB301" i="1"/>
  <c r="AB327" i="1"/>
  <c r="AB344" i="1"/>
  <c r="AB345" i="1" s="1"/>
  <c r="AB333" i="1"/>
  <c r="AB326" i="1"/>
  <c r="AB323" i="1"/>
  <c r="AB295" i="1"/>
  <c r="AB329" i="1"/>
  <c r="AB346" i="1"/>
  <c r="AB347" i="1" s="1"/>
  <c r="AB331" i="1"/>
  <c r="AB330" i="1"/>
  <c r="AB334" i="1"/>
  <c r="AB321" i="1"/>
  <c r="AB291" i="1"/>
  <c r="AB292" i="1" s="1"/>
  <c r="AB348" i="1"/>
  <c r="AB349" i="1" s="1"/>
  <c r="AB288" i="1"/>
  <c r="AA338" i="1"/>
  <c r="AA337" i="1"/>
  <c r="AB319" i="1"/>
  <c r="AB320" i="1"/>
  <c r="AB328" i="1"/>
  <c r="AB324" i="1"/>
  <c r="AB322" i="1"/>
  <c r="AB325" i="1"/>
  <c r="AA292" i="1"/>
  <c r="AB335" i="1"/>
  <c r="AC287" i="1"/>
  <c r="AC301" i="1" s="1"/>
  <c r="AB350" i="1"/>
  <c r="AB351" i="1" s="1"/>
  <c r="AA354" i="1"/>
  <c r="AB342" i="1"/>
  <c r="AB343" i="1" s="1"/>
  <c r="AB332" i="1"/>
  <c r="AB336" i="1"/>
  <c r="AA355" i="1"/>
  <c r="AB310" i="1"/>
  <c r="AB312" i="1"/>
  <c r="AB303" i="1"/>
  <c r="AB305" i="1"/>
  <c r="AB306" i="1"/>
  <c r="AB309" i="1"/>
  <c r="AB304" i="1"/>
  <c r="AC295" i="1" l="1"/>
  <c r="AB293" i="1"/>
  <c r="AB338" i="1"/>
  <c r="AB337" i="1"/>
  <c r="AC320" i="1"/>
  <c r="AC321" i="1"/>
  <c r="AC333" i="1"/>
  <c r="AC336" i="1"/>
  <c r="AC319" i="1"/>
  <c r="AC330" i="1"/>
  <c r="AC352" i="1"/>
  <c r="AC328" i="1"/>
  <c r="AC325" i="1"/>
  <c r="AC323" i="1"/>
  <c r="AC344" i="1"/>
  <c r="AC345" i="1" s="1"/>
  <c r="AC326" i="1"/>
  <c r="AC322" i="1"/>
  <c r="AC332" i="1"/>
  <c r="AC329" i="1"/>
  <c r="AC324" i="1"/>
  <c r="AC288" i="1"/>
  <c r="AD287" i="1"/>
  <c r="AD301" i="1" s="1"/>
  <c r="AC291" i="1"/>
  <c r="AC292" i="1" s="1"/>
  <c r="AC346" i="1"/>
  <c r="AC347" i="1" s="1"/>
  <c r="AC331" i="1"/>
  <c r="AC335" i="1"/>
  <c r="AB355" i="1"/>
  <c r="AB354" i="1"/>
  <c r="AC342" i="1"/>
  <c r="AC343" i="1" s="1"/>
  <c r="AC327" i="1"/>
  <c r="AC334" i="1"/>
  <c r="AC350" i="1"/>
  <c r="AC351" i="1" s="1"/>
  <c r="AC348" i="1"/>
  <c r="AC349" i="1" s="1"/>
  <c r="AC310" i="1"/>
  <c r="AC312" i="1"/>
  <c r="AC306" i="1"/>
  <c r="AC305" i="1"/>
  <c r="AC303" i="1"/>
  <c r="AC309" i="1"/>
  <c r="AC304" i="1"/>
  <c r="AD295" i="1" l="1"/>
  <c r="AD326" i="1"/>
  <c r="AD325" i="1"/>
  <c r="AD327" i="1"/>
  <c r="AD331" i="1"/>
  <c r="AH287" i="1"/>
  <c r="AD322" i="1"/>
  <c r="AD324" i="1"/>
  <c r="AD350" i="1"/>
  <c r="AD351" i="1" s="1"/>
  <c r="AD330" i="1"/>
  <c r="AD288" i="1"/>
  <c r="AD328" i="1"/>
  <c r="AD344" i="1"/>
  <c r="AD345" i="1" s="1"/>
  <c r="AD291" i="1"/>
  <c r="AD292" i="1" s="1"/>
  <c r="AD320" i="1"/>
  <c r="AD352" i="1"/>
  <c r="AD346" i="1"/>
  <c r="AD347" i="1" s="1"/>
  <c r="AD348" i="1"/>
  <c r="AD349" i="1" s="1"/>
  <c r="AD332" i="1"/>
  <c r="AC338" i="1"/>
  <c r="AD334" i="1"/>
  <c r="AD333" i="1"/>
  <c r="AD335" i="1"/>
  <c r="AD329" i="1"/>
  <c r="AD319" i="1"/>
  <c r="AD336" i="1"/>
  <c r="AC337" i="1"/>
  <c r="AC293" i="1"/>
  <c r="AC355" i="1"/>
  <c r="AC354" i="1"/>
  <c r="AD321" i="1"/>
  <c r="AD323" i="1"/>
  <c r="AD342" i="1"/>
  <c r="AD343" i="1" s="1"/>
  <c r="AD310" i="1"/>
  <c r="AD312" i="1"/>
  <c r="AD306" i="1"/>
  <c r="AD303" i="1"/>
  <c r="AD305" i="1"/>
  <c r="AD309" i="1"/>
  <c r="AD304" i="1"/>
  <c r="AH331" i="1" l="1"/>
  <c r="AH301" i="1"/>
  <c r="AH328" i="1"/>
  <c r="AH326" i="1"/>
  <c r="AH321" i="1"/>
  <c r="AE287" i="1"/>
  <c r="AE301" i="1" s="1"/>
  <c r="AG287" i="1"/>
  <c r="AG301" i="1" s="1"/>
  <c r="AF287" i="1"/>
  <c r="AF301" i="1" s="1"/>
  <c r="AH348" i="1"/>
  <c r="AH349" i="1" s="1"/>
  <c r="AH322" i="1"/>
  <c r="AH350" i="1"/>
  <c r="AH351" i="1" s="1"/>
  <c r="AH319" i="1"/>
  <c r="AH329" i="1"/>
  <c r="AH334" i="1"/>
  <c r="AH344" i="1"/>
  <c r="AH345" i="1" s="1"/>
  <c r="AH333" i="1"/>
  <c r="AH336" i="1"/>
  <c r="AH323" i="1"/>
  <c r="AH335" i="1"/>
  <c r="AH288" i="1"/>
  <c r="AH295" i="1"/>
  <c r="AH320" i="1"/>
  <c r="AH332" i="1"/>
  <c r="AH324" i="1"/>
  <c r="AH291" i="1"/>
  <c r="AH292" i="1" s="1"/>
  <c r="AH330" i="1"/>
  <c r="AH346" i="1"/>
  <c r="AH347" i="1" s="1"/>
  <c r="AH352" i="1"/>
  <c r="AH325" i="1"/>
  <c r="AL287" i="1"/>
  <c r="AH327" i="1"/>
  <c r="AH342" i="1"/>
  <c r="AH343" i="1" s="1"/>
  <c r="AD355" i="1"/>
  <c r="AD338" i="1"/>
  <c r="AD293" i="1"/>
  <c r="AD337" i="1"/>
  <c r="AD354" i="1"/>
  <c r="AH310" i="1"/>
  <c r="AH303" i="1"/>
  <c r="AH305" i="1"/>
  <c r="AH309" i="1"/>
  <c r="AH304" i="1"/>
  <c r="AH306" i="1"/>
  <c r="AI287" i="1" l="1"/>
  <c r="AI301" i="1" s="1"/>
  <c r="AL301" i="1"/>
  <c r="AJ287" i="1"/>
  <c r="AJ301" i="1" s="1"/>
  <c r="AK287" i="1"/>
  <c r="AK301" i="1" s="1"/>
  <c r="AL332" i="1"/>
  <c r="AL322" i="1"/>
  <c r="AL334" i="1"/>
  <c r="AQ287" i="1"/>
  <c r="AQ311" i="1" s="1"/>
  <c r="AQ312" i="1" s="1"/>
  <c r="AL333" i="1"/>
  <c r="AH293" i="1"/>
  <c r="AL336" i="1"/>
  <c r="AL348" i="1"/>
  <c r="AL349" i="1" s="1"/>
  <c r="AL323" i="1"/>
  <c r="AL319" i="1"/>
  <c r="AL344" i="1"/>
  <c r="AL345" i="1" s="1"/>
  <c r="AL327" i="1"/>
  <c r="AL329" i="1"/>
  <c r="AL288" i="1"/>
  <c r="AL350" i="1"/>
  <c r="AL351" i="1" s="1"/>
  <c r="AL346" i="1"/>
  <c r="AL347" i="1" s="1"/>
  <c r="AL352" i="1"/>
  <c r="AL335" i="1"/>
  <c r="AL320" i="1"/>
  <c r="AL321" i="1"/>
  <c r="AL328" i="1"/>
  <c r="AL295" i="1"/>
  <c r="AL342" i="1"/>
  <c r="AL343" i="1" s="1"/>
  <c r="AL325" i="1"/>
  <c r="AH337" i="1"/>
  <c r="AH338" i="1"/>
  <c r="AL331" i="1"/>
  <c r="AH354" i="1"/>
  <c r="AL291" i="1"/>
  <c r="AL292" i="1" s="1"/>
  <c r="AL324" i="1"/>
  <c r="AL326" i="1"/>
  <c r="AL330" i="1"/>
  <c r="AH355" i="1"/>
  <c r="AF344" i="1"/>
  <c r="AF345" i="1" s="1"/>
  <c r="AF350" i="1"/>
  <c r="AF351" i="1" s="1"/>
  <c r="AF346" i="1"/>
  <c r="AF347" i="1" s="1"/>
  <c r="AF288" i="1"/>
  <c r="AF291" i="1"/>
  <c r="AF342" i="1"/>
  <c r="AF295" i="1"/>
  <c r="AF352" i="1"/>
  <c r="AF348" i="1"/>
  <c r="AF349" i="1" s="1"/>
  <c r="AF322" i="1"/>
  <c r="AF321" i="1"/>
  <c r="AF330" i="1"/>
  <c r="AF323" i="1"/>
  <c r="AF327" i="1"/>
  <c r="AF329" i="1"/>
  <c r="AF333" i="1"/>
  <c r="AF324" i="1"/>
  <c r="AF328" i="1"/>
  <c r="AF334" i="1"/>
  <c r="AF335" i="1"/>
  <c r="AF331" i="1"/>
  <c r="AF319" i="1"/>
  <c r="AF325" i="1"/>
  <c r="AF336" i="1"/>
  <c r="AF332" i="1"/>
  <c r="AF326" i="1"/>
  <c r="AF320" i="1"/>
  <c r="AG344" i="1"/>
  <c r="AG345" i="1" s="1"/>
  <c r="AG350" i="1"/>
  <c r="AG351" i="1" s="1"/>
  <c r="AG291" i="1"/>
  <c r="AG346" i="1"/>
  <c r="AG347" i="1" s="1"/>
  <c r="AG348" i="1"/>
  <c r="AG349" i="1" s="1"/>
  <c r="AG342" i="1"/>
  <c r="AG295" i="1"/>
  <c r="AG352" i="1"/>
  <c r="AG288" i="1"/>
  <c r="AG321" i="1"/>
  <c r="AG322" i="1"/>
  <c r="AG333" i="1"/>
  <c r="AG334" i="1"/>
  <c r="AG323" i="1"/>
  <c r="AG327" i="1"/>
  <c r="AG319" i="1"/>
  <c r="AG330" i="1"/>
  <c r="AG329" i="1"/>
  <c r="AG324" i="1"/>
  <c r="AG328" i="1"/>
  <c r="AG326" i="1"/>
  <c r="AG335" i="1"/>
  <c r="AG331" i="1"/>
  <c r="AG325" i="1"/>
  <c r="AG336" i="1"/>
  <c r="AG332" i="1"/>
  <c r="AG320" i="1"/>
  <c r="AE288" i="1"/>
  <c r="AE295" i="1"/>
  <c r="AE342" i="1"/>
  <c r="AE291" i="1"/>
  <c r="AE352" i="1"/>
  <c r="AE348" i="1"/>
  <c r="AE349" i="1" s="1"/>
  <c r="AE344" i="1"/>
  <c r="AE345" i="1" s="1"/>
  <c r="AE350" i="1"/>
  <c r="AE351" i="1" s="1"/>
  <c r="AE346" i="1"/>
  <c r="AE347" i="1" s="1"/>
  <c r="AE321" i="1"/>
  <c r="AE322" i="1"/>
  <c r="AE323" i="1"/>
  <c r="AE327" i="1"/>
  <c r="AE329" i="1"/>
  <c r="AE333" i="1"/>
  <c r="AE324" i="1"/>
  <c r="AE328" i="1"/>
  <c r="AE334" i="1"/>
  <c r="AE330" i="1"/>
  <c r="AE331" i="1"/>
  <c r="AE319" i="1"/>
  <c r="AE325" i="1"/>
  <c r="AE336" i="1"/>
  <c r="AE332" i="1"/>
  <c r="AE320" i="1"/>
  <c r="AE335" i="1"/>
  <c r="AE326" i="1"/>
  <c r="AL312" i="1"/>
  <c r="AL310" i="1"/>
  <c r="AL309" i="1"/>
  <c r="AL304" i="1"/>
  <c r="AL303" i="1"/>
  <c r="AL305" i="1"/>
  <c r="AL306" i="1"/>
  <c r="AQ323" i="1"/>
  <c r="W294" i="1" l="1"/>
  <c r="AB302" i="1"/>
  <c r="AC302" i="1"/>
  <c r="AD302" i="1"/>
  <c r="AH302" i="1"/>
  <c r="AL302" i="1"/>
  <c r="AF302" i="1"/>
  <c r="AE302" i="1"/>
  <c r="AG302" i="1"/>
  <c r="AI302" i="1"/>
  <c r="AK302" i="1"/>
  <c r="AJ302" i="1"/>
  <c r="Z296" i="1"/>
  <c r="W299" i="1"/>
  <c r="W300" i="1" s="1"/>
  <c r="V294" i="1"/>
  <c r="U294" i="1"/>
  <c r="AB294" i="1"/>
  <c r="AE296" i="1"/>
  <c r="V297" i="1"/>
  <c r="V298" i="1" s="1"/>
  <c r="T297" i="1"/>
  <c r="T298" i="1" s="1"/>
  <c r="AE299" i="1"/>
  <c r="AE300" i="1" s="1"/>
  <c r="V299" i="1"/>
  <c r="V300" i="1" s="1"/>
  <c r="Y297" i="1"/>
  <c r="Y298" i="1" s="1"/>
  <c r="AA294" i="1"/>
  <c r="Y296" i="1"/>
  <c r="Q297" i="1"/>
  <c r="Q298" i="1" s="1"/>
  <c r="Q289" i="1" s="1"/>
  <c r="Q290" i="1" s="1"/>
  <c r="AC294" i="1"/>
  <c r="V296" i="1"/>
  <c r="U296" i="1"/>
  <c r="T294" i="1"/>
  <c r="U297" i="1"/>
  <c r="U298" i="1" s="1"/>
  <c r="X299" i="1"/>
  <c r="X300" i="1" s="1"/>
  <c r="U299" i="1"/>
  <c r="U300" i="1" s="1"/>
  <c r="T296" i="1"/>
  <c r="S297" i="1"/>
  <c r="S298" i="1" s="1"/>
  <c r="S289" i="1" s="1"/>
  <c r="S290" i="1" s="1"/>
  <c r="Z294" i="1"/>
  <c r="Y299" i="1"/>
  <c r="Y300" i="1" s="1"/>
  <c r="R297" i="1"/>
  <c r="R298" i="1" s="1"/>
  <c r="R289" i="1" s="1"/>
  <c r="R290" i="1" s="1"/>
  <c r="W297" i="1"/>
  <c r="W298" i="1" s="1"/>
  <c r="Z297" i="1"/>
  <c r="Z298" i="1" s="1"/>
  <c r="X296" i="1"/>
  <c r="T299" i="1"/>
  <c r="T300" i="1" s="1"/>
  <c r="W296" i="1"/>
  <c r="Y294" i="1"/>
  <c r="X294" i="1"/>
  <c r="Z299" i="1"/>
  <c r="Z300" i="1" s="1"/>
  <c r="X297" i="1"/>
  <c r="X298" i="1" s="1"/>
  <c r="AQ295" i="1"/>
  <c r="AQ348" i="1"/>
  <c r="AQ349" i="1" s="1"/>
  <c r="AN287" i="1"/>
  <c r="AQ342" i="1"/>
  <c r="AQ343" i="1" s="1"/>
  <c r="AM287" i="1"/>
  <c r="AO287" i="1"/>
  <c r="AO311" i="1" s="1"/>
  <c r="AO312" i="1" s="1"/>
  <c r="AP287" i="1"/>
  <c r="AP311" i="1" s="1"/>
  <c r="AP312" i="1" s="1"/>
  <c r="AQ291" i="1"/>
  <c r="AQ293" i="1" s="1"/>
  <c r="AV287" i="1"/>
  <c r="AQ326" i="1"/>
  <c r="AQ301" i="1"/>
  <c r="AQ335" i="1"/>
  <c r="AQ332" i="1"/>
  <c r="AQ325" i="1"/>
  <c r="AQ327" i="1"/>
  <c r="AQ336" i="1"/>
  <c r="AQ330" i="1"/>
  <c r="AQ352" i="1"/>
  <c r="AQ320" i="1"/>
  <c r="AQ328" i="1"/>
  <c r="AQ321" i="1"/>
  <c r="AQ334" i="1"/>
  <c r="AQ346" i="1"/>
  <c r="AQ347" i="1" s="1"/>
  <c r="AQ350" i="1"/>
  <c r="AQ351" i="1" s="1"/>
  <c r="AK291" i="1"/>
  <c r="AK346" i="1"/>
  <c r="AK347" i="1" s="1"/>
  <c r="AK350" i="1"/>
  <c r="AK351" i="1" s="1"/>
  <c r="AK319" i="1"/>
  <c r="AK323" i="1"/>
  <c r="AK327" i="1"/>
  <c r="AK331" i="1"/>
  <c r="AK335" i="1"/>
  <c r="AK342" i="1"/>
  <c r="AK326" i="1"/>
  <c r="AK320" i="1"/>
  <c r="AK324" i="1"/>
  <c r="AK328" i="1"/>
  <c r="AK332" i="1"/>
  <c r="AK336" i="1"/>
  <c r="AK334" i="1"/>
  <c r="AK344" i="1"/>
  <c r="AK345" i="1" s="1"/>
  <c r="AK348" i="1"/>
  <c r="AK349" i="1" s="1"/>
  <c r="AK352" i="1"/>
  <c r="AK321" i="1"/>
  <c r="AK325" i="1"/>
  <c r="AK329" i="1"/>
  <c r="AK333" i="1"/>
  <c r="AK330" i="1"/>
  <c r="AK322" i="1"/>
  <c r="AK295" i="1"/>
  <c r="AK288" i="1"/>
  <c r="AQ324" i="1"/>
  <c r="AQ288" i="1"/>
  <c r="AJ295" i="1"/>
  <c r="AJ346" i="1"/>
  <c r="AJ347" i="1" s="1"/>
  <c r="AJ350" i="1"/>
  <c r="AJ351" i="1" s="1"/>
  <c r="AJ319" i="1"/>
  <c r="AJ323" i="1"/>
  <c r="AJ327" i="1"/>
  <c r="AJ331" i="1"/>
  <c r="AJ335" i="1"/>
  <c r="AJ348" i="1"/>
  <c r="AJ349" i="1" s="1"/>
  <c r="AJ325" i="1"/>
  <c r="AJ322" i="1"/>
  <c r="AJ342" i="1"/>
  <c r="AJ344" i="1"/>
  <c r="AJ345" i="1" s="1"/>
  <c r="AJ321" i="1"/>
  <c r="AJ333" i="1"/>
  <c r="AJ330" i="1"/>
  <c r="AJ320" i="1"/>
  <c r="AJ324" i="1"/>
  <c r="AJ328" i="1"/>
  <c r="AJ332" i="1"/>
  <c r="AJ336" i="1"/>
  <c r="AJ352" i="1"/>
  <c r="AJ329" i="1"/>
  <c r="AJ326" i="1"/>
  <c r="AJ334" i="1"/>
  <c r="AJ288" i="1"/>
  <c r="AJ291" i="1"/>
  <c r="AQ331" i="1"/>
  <c r="AQ322" i="1"/>
  <c r="AQ329" i="1"/>
  <c r="AQ319" i="1"/>
  <c r="AQ333" i="1"/>
  <c r="AQ344" i="1"/>
  <c r="AQ345" i="1" s="1"/>
  <c r="AI342" i="1"/>
  <c r="AI330" i="1"/>
  <c r="AI323" i="1"/>
  <c r="AI327" i="1"/>
  <c r="AI320" i="1"/>
  <c r="AI324" i="1"/>
  <c r="AI328" i="1"/>
  <c r="AI332" i="1"/>
  <c r="AI336" i="1"/>
  <c r="AI322" i="1"/>
  <c r="AI346" i="1"/>
  <c r="AI347" i="1" s="1"/>
  <c r="AI331" i="1"/>
  <c r="AI335" i="1"/>
  <c r="AI344" i="1"/>
  <c r="AI345" i="1" s="1"/>
  <c r="AI348" i="1"/>
  <c r="AI349" i="1" s="1"/>
  <c r="AI352" i="1"/>
  <c r="AI321" i="1"/>
  <c r="AI325" i="1"/>
  <c r="AI329" i="1"/>
  <c r="AI333" i="1"/>
  <c r="AI334" i="1"/>
  <c r="AI319" i="1"/>
  <c r="AI326" i="1"/>
  <c r="AI350" i="1"/>
  <c r="AI351" i="1" s="1"/>
  <c r="AI288" i="1"/>
  <c r="AI295" i="1"/>
  <c r="AI291" i="1"/>
  <c r="AL293" i="1"/>
  <c r="AL354" i="1"/>
  <c r="AL337" i="1"/>
  <c r="AL355" i="1"/>
  <c r="AL338" i="1"/>
  <c r="AG338" i="1"/>
  <c r="AE338" i="1"/>
  <c r="AE292" i="1"/>
  <c r="AE293" i="1"/>
  <c r="AE294" i="1" s="1"/>
  <c r="AE354" i="1"/>
  <c r="AE343" i="1"/>
  <c r="AE355" i="1" s="1"/>
  <c r="AF337" i="1"/>
  <c r="AG343" i="1"/>
  <c r="AG355" i="1" s="1"/>
  <c r="AG354" i="1"/>
  <c r="AG337" i="1"/>
  <c r="AG292" i="1"/>
  <c r="AG293" i="1"/>
  <c r="AF343" i="1"/>
  <c r="AF355" i="1" s="1"/>
  <c r="AF354" i="1"/>
  <c r="AE337" i="1"/>
  <c r="AF292" i="1"/>
  <c r="AF293" i="1"/>
  <c r="AF338" i="1"/>
  <c r="AD294" i="1"/>
  <c r="AB296" i="1"/>
  <c r="AC296" i="1"/>
  <c r="AD296" i="1"/>
  <c r="AA296" i="1"/>
  <c r="AA299" i="1"/>
  <c r="AA300" i="1" s="1"/>
  <c r="AA297" i="1"/>
  <c r="AA298" i="1" s="1"/>
  <c r="AB297" i="1"/>
  <c r="AB298" i="1" s="1"/>
  <c r="AB299" i="1"/>
  <c r="AB300" i="1" s="1"/>
  <c r="AC299" i="1"/>
  <c r="AC300" i="1" s="1"/>
  <c r="AC297" i="1"/>
  <c r="AC298" i="1" s="1"/>
  <c r="AD299" i="1"/>
  <c r="AD300" i="1" s="1"/>
  <c r="AQ310" i="1"/>
  <c r="AQ304" i="1"/>
  <c r="AQ305" i="1"/>
  <c r="AQ303" i="1"/>
  <c r="AQ306" i="1"/>
  <c r="AQ309" i="1"/>
  <c r="AV301" i="1" l="1"/>
  <c r="AV311" i="1"/>
  <c r="AV312" i="1" s="1"/>
  <c r="AM301" i="1"/>
  <c r="AM311" i="1"/>
  <c r="AM312" i="1" s="1"/>
  <c r="AN311" i="1"/>
  <c r="AN312" i="1" s="1"/>
  <c r="AN301" i="1"/>
  <c r="V289" i="1"/>
  <c r="V290" i="1" s="1"/>
  <c r="U289" i="1"/>
  <c r="U290" i="1" s="1"/>
  <c r="T289" i="1"/>
  <c r="T290" i="1" s="1"/>
  <c r="W289" i="1"/>
  <c r="W290" i="1" s="1"/>
  <c r="AV323" i="1"/>
  <c r="Y289" i="1"/>
  <c r="Y290" i="1" s="1"/>
  <c r="X289" i="1"/>
  <c r="X290" i="1" s="1"/>
  <c r="Z289" i="1"/>
  <c r="Z290" i="1" s="1"/>
  <c r="AN344" i="1"/>
  <c r="AN345" i="1" s="1"/>
  <c r="AN348" i="1"/>
  <c r="AN349" i="1" s="1"/>
  <c r="AN352" i="1"/>
  <c r="AN320" i="1"/>
  <c r="AN323" i="1"/>
  <c r="AN326" i="1"/>
  <c r="AN329" i="1"/>
  <c r="AN332" i="1"/>
  <c r="AN335" i="1"/>
  <c r="AN324" i="1"/>
  <c r="AN336" i="1"/>
  <c r="AN321" i="1"/>
  <c r="AN330" i="1"/>
  <c r="AN333" i="1"/>
  <c r="AN342" i="1"/>
  <c r="AN346" i="1"/>
  <c r="AN347" i="1" s="1"/>
  <c r="AN327" i="1"/>
  <c r="AN350" i="1"/>
  <c r="AN351" i="1" s="1"/>
  <c r="AN319" i="1"/>
  <c r="AN322" i="1"/>
  <c r="AN325" i="1"/>
  <c r="AN328" i="1"/>
  <c r="AN331" i="1"/>
  <c r="AN334" i="1"/>
  <c r="AM335" i="1"/>
  <c r="AM328" i="1"/>
  <c r="AM331" i="1"/>
  <c r="AM344" i="1"/>
  <c r="AM345" i="1" s="1"/>
  <c r="AM348" i="1"/>
  <c r="AM349" i="1" s="1"/>
  <c r="AM352" i="1"/>
  <c r="AM320" i="1"/>
  <c r="AM323" i="1"/>
  <c r="AM326" i="1"/>
  <c r="AM329" i="1"/>
  <c r="AM332" i="1"/>
  <c r="AM322" i="1"/>
  <c r="AM325" i="1"/>
  <c r="AM342" i="1"/>
  <c r="AM346" i="1"/>
  <c r="AM347" i="1" s="1"/>
  <c r="AM321" i="1"/>
  <c r="AM324" i="1"/>
  <c r="AM327" i="1"/>
  <c r="AM330" i="1"/>
  <c r="AM333" i="1"/>
  <c r="AM336" i="1"/>
  <c r="AM334" i="1"/>
  <c r="AM350" i="1"/>
  <c r="AM351" i="1" s="1"/>
  <c r="AM319" i="1"/>
  <c r="AT287" i="1"/>
  <c r="AT311" i="1" s="1"/>
  <c r="AT312" i="1" s="1"/>
  <c r="AR287" i="1"/>
  <c r="AR311" i="1" s="1"/>
  <c r="AR312" i="1" s="1"/>
  <c r="AU287" i="1"/>
  <c r="AU311" i="1" s="1"/>
  <c r="AU312" i="1" s="1"/>
  <c r="AP324" i="1"/>
  <c r="AP350" i="1"/>
  <c r="AP351" i="1" s="1"/>
  <c r="AP319" i="1"/>
  <c r="AP322" i="1"/>
  <c r="AP325" i="1"/>
  <c r="AP328" i="1"/>
  <c r="AP331" i="1"/>
  <c r="AP334" i="1"/>
  <c r="AP330" i="1"/>
  <c r="AP321" i="1"/>
  <c r="AP342" i="1"/>
  <c r="AP346" i="1"/>
  <c r="AP347" i="1" s="1"/>
  <c r="AP344" i="1"/>
  <c r="AP345" i="1" s="1"/>
  <c r="AP348" i="1"/>
  <c r="AP349" i="1" s="1"/>
  <c r="AP352" i="1"/>
  <c r="AP320" i="1"/>
  <c r="AP323" i="1"/>
  <c r="AP326" i="1"/>
  <c r="AP329" i="1"/>
  <c r="AP332" i="1"/>
  <c r="AP335" i="1"/>
  <c r="AP327" i="1"/>
  <c r="AP336" i="1"/>
  <c r="AP333" i="1"/>
  <c r="AS287" i="1"/>
  <c r="AS311" i="1" s="1"/>
  <c r="AS312" i="1" s="1"/>
  <c r="AO350" i="1"/>
  <c r="AO351" i="1" s="1"/>
  <c r="AO319" i="1"/>
  <c r="AO322" i="1"/>
  <c r="AO325" i="1"/>
  <c r="AO328" i="1"/>
  <c r="AO331" i="1"/>
  <c r="AO334" i="1"/>
  <c r="AO324" i="1"/>
  <c r="AO330" i="1"/>
  <c r="AO344" i="1"/>
  <c r="AO345" i="1" s="1"/>
  <c r="AO348" i="1"/>
  <c r="AO349" i="1" s="1"/>
  <c r="AO352" i="1"/>
  <c r="AO320" i="1"/>
  <c r="AO323" i="1"/>
  <c r="AO326" i="1"/>
  <c r="AO329" i="1"/>
  <c r="AO332" i="1"/>
  <c r="AO335" i="1"/>
  <c r="AO333" i="1"/>
  <c r="AO327" i="1"/>
  <c r="AO336" i="1"/>
  <c r="AO342" i="1"/>
  <c r="AO346" i="1"/>
  <c r="AO347" i="1" s="1"/>
  <c r="AO321" i="1"/>
  <c r="AV325" i="1"/>
  <c r="AV327" i="1"/>
  <c r="AV331" i="1"/>
  <c r="AV329" i="1"/>
  <c r="AV319" i="1"/>
  <c r="AV321" i="1"/>
  <c r="BA287" i="1"/>
  <c r="AV288" i="1"/>
  <c r="AQ292" i="1"/>
  <c r="AV322" i="1"/>
  <c r="AI312" i="1"/>
  <c r="AJ312" i="1"/>
  <c r="AM302" i="1" s="1"/>
  <c r="AV352" i="1"/>
  <c r="AP288" i="1"/>
  <c r="AP301" i="1"/>
  <c r="AP291" i="1"/>
  <c r="AP295" i="1"/>
  <c r="AV326" i="1"/>
  <c r="AV335" i="1"/>
  <c r="AV330" i="1"/>
  <c r="AV324" i="1"/>
  <c r="AV346" i="1"/>
  <c r="AV347" i="1" s="1"/>
  <c r="AO288" i="1"/>
  <c r="AO301" i="1"/>
  <c r="AO291" i="1"/>
  <c r="AO295" i="1"/>
  <c r="AK312" i="1"/>
  <c r="AN302" i="1" s="1"/>
  <c r="AM288" i="1"/>
  <c r="AM291" i="1"/>
  <c r="AM295" i="1"/>
  <c r="AV328" i="1"/>
  <c r="AV350" i="1"/>
  <c r="AV351" i="1" s="1"/>
  <c r="AV332" i="1"/>
  <c r="AV320" i="1"/>
  <c r="AV348" i="1"/>
  <c r="AV349" i="1" s="1"/>
  <c r="AV295" i="1"/>
  <c r="AV344" i="1"/>
  <c r="AV345" i="1" s="1"/>
  <c r="AV333" i="1"/>
  <c r="AV336" i="1"/>
  <c r="AV342" i="1"/>
  <c r="AV291" i="1"/>
  <c r="AV293" i="1" s="1"/>
  <c r="AN288" i="1"/>
  <c r="AN291" i="1"/>
  <c r="AN295" i="1"/>
  <c r="AV334" i="1"/>
  <c r="AK337" i="1"/>
  <c r="AQ337" i="1"/>
  <c r="AQ354" i="1"/>
  <c r="AQ338" i="1"/>
  <c r="AQ355" i="1"/>
  <c r="AI293" i="1"/>
  <c r="AI292" i="1"/>
  <c r="AJ293" i="1"/>
  <c r="AJ292" i="1"/>
  <c r="AJ337" i="1"/>
  <c r="AK338" i="1"/>
  <c r="AI338" i="1"/>
  <c r="AI343" i="1"/>
  <c r="AI355" i="1" s="1"/>
  <c r="AI354" i="1"/>
  <c r="AK343" i="1"/>
  <c r="AK355" i="1" s="1"/>
  <c r="AK354" i="1"/>
  <c r="AK293" i="1"/>
  <c r="AK292" i="1"/>
  <c r="AJ343" i="1"/>
  <c r="AJ355" i="1" s="1"/>
  <c r="AJ354" i="1"/>
  <c r="AI337" i="1"/>
  <c r="AJ338" i="1"/>
  <c r="AC289" i="1"/>
  <c r="AC290" i="1" s="1"/>
  <c r="AB289" i="1"/>
  <c r="AB290" i="1" s="1"/>
  <c r="AA289" i="1"/>
  <c r="AA290" i="1" s="1"/>
  <c r="AV310" i="1"/>
  <c r="AV305" i="1"/>
  <c r="AV304" i="1"/>
  <c r="AV303" i="1"/>
  <c r="AV306" i="1"/>
  <c r="AV309" i="1"/>
  <c r="BA311" i="1" l="1"/>
  <c r="D283" i="1"/>
  <c r="AW297" i="1"/>
  <c r="BA325" i="1"/>
  <c r="BA342" i="1"/>
  <c r="BA320" i="1"/>
  <c r="BA348" i="1"/>
  <c r="BA349" i="1" s="1"/>
  <c r="BA346" i="1"/>
  <c r="BA347" i="1" s="1"/>
  <c r="BA331" i="1"/>
  <c r="BA291" i="1"/>
  <c r="BA293" i="1" s="1"/>
  <c r="AW299" i="1"/>
  <c r="AX287" i="1"/>
  <c r="AX311" i="1" s="1"/>
  <c r="AX312" i="1" s="1"/>
  <c r="AY287" i="1"/>
  <c r="AY311" i="1" s="1"/>
  <c r="AY312" i="1" s="1"/>
  <c r="AZ287" i="1"/>
  <c r="AZ311" i="1" s="1"/>
  <c r="AZ312" i="1" s="1"/>
  <c r="AW287" i="1"/>
  <c r="AW311" i="1" s="1"/>
  <c r="AW312" i="1" s="1"/>
  <c r="BA328" i="1"/>
  <c r="BA335" i="1"/>
  <c r="BA330" i="1"/>
  <c r="BA333" i="1"/>
  <c r="BA344" i="1"/>
  <c r="BA345" i="1" s="1"/>
  <c r="AM337" i="1"/>
  <c r="AM338" i="1"/>
  <c r="BA329" i="1"/>
  <c r="BA326" i="1"/>
  <c r="BA332" i="1"/>
  <c r="BA295" i="1"/>
  <c r="BA334" i="1"/>
  <c r="BA324" i="1"/>
  <c r="BA336" i="1"/>
  <c r="BA321" i="1"/>
  <c r="BA319" i="1"/>
  <c r="BA352" i="1"/>
  <c r="BA301" i="1"/>
  <c r="BA288" i="1"/>
  <c r="BA350" i="1"/>
  <c r="BA351" i="1" s="1"/>
  <c r="AR297" i="1"/>
  <c r="AO337" i="1"/>
  <c r="AS342" i="1"/>
  <c r="AS346" i="1"/>
  <c r="AS347" i="1" s="1"/>
  <c r="AS321" i="1"/>
  <c r="AS324" i="1"/>
  <c r="AS327" i="1"/>
  <c r="AS330" i="1"/>
  <c r="AS333" i="1"/>
  <c r="AS336" i="1"/>
  <c r="AS350" i="1"/>
  <c r="AS351" i="1" s="1"/>
  <c r="AS319" i="1"/>
  <c r="AS322" i="1"/>
  <c r="AS325" i="1"/>
  <c r="AS328" i="1"/>
  <c r="AS331" i="1"/>
  <c r="AS334" i="1"/>
  <c r="AS288" i="1"/>
  <c r="AS301" i="1"/>
  <c r="AS344" i="1"/>
  <c r="AS345" i="1" s="1"/>
  <c r="AS348" i="1"/>
  <c r="AS349" i="1" s="1"/>
  <c r="AS352" i="1"/>
  <c r="AS320" i="1"/>
  <c r="AS323" i="1"/>
  <c r="AS326" i="1"/>
  <c r="AS329" i="1"/>
  <c r="AS332" i="1"/>
  <c r="AS335" i="1"/>
  <c r="AS291" i="1"/>
  <c r="AS295" i="1"/>
  <c r="AP338" i="1"/>
  <c r="AU295" i="1"/>
  <c r="AU342" i="1"/>
  <c r="AU346" i="1"/>
  <c r="AU347" i="1" s="1"/>
  <c r="AU321" i="1"/>
  <c r="AU324" i="1"/>
  <c r="AU327" i="1"/>
  <c r="AU330" i="1"/>
  <c r="AU333" i="1"/>
  <c r="AU336" i="1"/>
  <c r="AU350" i="1"/>
  <c r="AU351" i="1" s="1"/>
  <c r="AU319" i="1"/>
  <c r="AU322" i="1"/>
  <c r="AU325" i="1"/>
  <c r="AU328" i="1"/>
  <c r="AU331" i="1"/>
  <c r="AU334" i="1"/>
  <c r="AU288" i="1"/>
  <c r="AU301" i="1"/>
  <c r="AU344" i="1"/>
  <c r="AU345" i="1" s="1"/>
  <c r="AU348" i="1"/>
  <c r="AU349" i="1" s="1"/>
  <c r="AU352" i="1"/>
  <c r="AU320" i="1"/>
  <c r="AU323" i="1"/>
  <c r="AU326" i="1"/>
  <c r="AU329" i="1"/>
  <c r="AU332" i="1"/>
  <c r="AU335" i="1"/>
  <c r="AU291" i="1"/>
  <c r="AN354" i="1"/>
  <c r="AN343" i="1"/>
  <c r="AN355" i="1" s="1"/>
  <c r="AO343" i="1"/>
  <c r="AO355" i="1" s="1"/>
  <c r="AO354" i="1"/>
  <c r="AP343" i="1"/>
  <c r="AP355" i="1" s="1"/>
  <c r="AP354" i="1"/>
  <c r="AR342" i="1"/>
  <c r="AR346" i="1"/>
  <c r="AR347" i="1" s="1"/>
  <c r="AR321" i="1"/>
  <c r="AR324" i="1"/>
  <c r="AR327" i="1"/>
  <c r="AR330" i="1"/>
  <c r="AR333" i="1"/>
  <c r="AR336" i="1"/>
  <c r="AR350" i="1"/>
  <c r="AR351" i="1" s="1"/>
  <c r="AR319" i="1"/>
  <c r="AR322" i="1"/>
  <c r="AR325" i="1"/>
  <c r="AR328" i="1"/>
  <c r="AR331" i="1"/>
  <c r="AR334" i="1"/>
  <c r="AR288" i="1"/>
  <c r="AR301" i="1"/>
  <c r="AR344" i="1"/>
  <c r="AR345" i="1" s="1"/>
  <c r="AR348" i="1"/>
  <c r="AR349" i="1" s="1"/>
  <c r="AR352" i="1"/>
  <c r="AR320" i="1"/>
  <c r="AR323" i="1"/>
  <c r="AR326" i="1"/>
  <c r="AR329" i="1"/>
  <c r="AR332" i="1"/>
  <c r="AR335" i="1"/>
  <c r="AR291" i="1"/>
  <c r="AR295" i="1"/>
  <c r="AR296" i="1" s="1"/>
  <c r="AM354" i="1"/>
  <c r="AM343" i="1"/>
  <c r="AM355" i="1" s="1"/>
  <c r="AP337" i="1"/>
  <c r="AT326" i="1"/>
  <c r="AT291" i="1"/>
  <c r="AT332" i="1"/>
  <c r="AT342" i="1"/>
  <c r="AT346" i="1"/>
  <c r="AT347" i="1" s="1"/>
  <c r="AT321" i="1"/>
  <c r="AT324" i="1"/>
  <c r="AT327" i="1"/>
  <c r="AT330" i="1"/>
  <c r="AT333" i="1"/>
  <c r="AT336" i="1"/>
  <c r="AT348" i="1"/>
  <c r="AT349" i="1" s="1"/>
  <c r="AT320" i="1"/>
  <c r="AT323" i="1"/>
  <c r="AT329" i="1"/>
  <c r="AT350" i="1"/>
  <c r="AT351" i="1" s="1"/>
  <c r="AT319" i="1"/>
  <c r="AT322" i="1"/>
  <c r="AT325" i="1"/>
  <c r="AT328" i="1"/>
  <c r="AT331" i="1"/>
  <c r="AT334" i="1"/>
  <c r="AT288" i="1"/>
  <c r="AT344" i="1"/>
  <c r="AT345" i="1" s="1"/>
  <c r="AT301" i="1"/>
  <c r="AT335" i="1"/>
  <c r="AT295" i="1"/>
  <c r="AT352" i="1"/>
  <c r="AN338" i="1"/>
  <c r="AV354" i="1"/>
  <c r="AO338" i="1"/>
  <c r="AN337" i="1"/>
  <c r="AR302" i="1"/>
  <c r="BA327" i="1"/>
  <c r="BB287" i="1"/>
  <c r="BB325" i="1" s="1"/>
  <c r="AV337" i="1"/>
  <c r="BA323" i="1"/>
  <c r="BA322" i="1"/>
  <c r="AV292" i="1"/>
  <c r="AN296" i="1"/>
  <c r="AV338" i="1"/>
  <c r="AO293" i="1"/>
  <c r="AO294" i="1" s="1"/>
  <c r="AO292" i="1"/>
  <c r="AN293" i="1"/>
  <c r="AN292" i="1"/>
  <c r="AP292" i="1"/>
  <c r="AP293" i="1"/>
  <c r="AV343" i="1"/>
  <c r="AV355" i="1" s="1"/>
  <c r="AI296" i="1"/>
  <c r="AN299" i="1"/>
  <c r="AN300" i="1" s="1"/>
  <c r="AN297" i="1"/>
  <c r="AP302" i="1"/>
  <c r="AM299" i="1"/>
  <c r="AM300" i="1" s="1"/>
  <c r="AM296" i="1"/>
  <c r="AM293" i="1"/>
  <c r="AM294" i="1" s="1"/>
  <c r="AM292" i="1"/>
  <c r="AJ297" i="1"/>
  <c r="AI297" i="1"/>
  <c r="AJ299" i="1"/>
  <c r="AJ300" i="1" s="1"/>
  <c r="AI299" i="1"/>
  <c r="AI300" i="1" s="1"/>
  <c r="AK297" i="1"/>
  <c r="AK299" i="1"/>
  <c r="AK300" i="1" s="1"/>
  <c r="AJ294" i="1"/>
  <c r="AI294" i="1"/>
  <c r="AK294" i="1"/>
  <c r="AJ296" i="1"/>
  <c r="AK296" i="1"/>
  <c r="BB350" i="1"/>
  <c r="BB351" i="1" s="1"/>
  <c r="BB348" i="1"/>
  <c r="BB349" i="1" s="1"/>
  <c r="BA310" i="1"/>
  <c r="AO299" i="1" s="1"/>
  <c r="AO300" i="1" s="1"/>
  <c r="BA306" i="1"/>
  <c r="BA303" i="1"/>
  <c r="BA309" i="1"/>
  <c r="BA304" i="1"/>
  <c r="BA305" i="1"/>
  <c r="BA343" i="1"/>
  <c r="AX299" i="1" l="1"/>
  <c r="AX297" i="1"/>
  <c r="BA312" i="1"/>
  <c r="BB311" i="1"/>
  <c r="BA292" i="1"/>
  <c r="BA355" i="1"/>
  <c r="BB301" i="1"/>
  <c r="BB322" i="1"/>
  <c r="BB320" i="1"/>
  <c r="BB288" i="1"/>
  <c r="AT296" i="1"/>
  <c r="AU296" i="1"/>
  <c r="BA296" i="1"/>
  <c r="AW342" i="1"/>
  <c r="AW346" i="1"/>
  <c r="AW347" i="1" s="1"/>
  <c r="AW350" i="1"/>
  <c r="AW351" i="1" s="1"/>
  <c r="AW288" i="1"/>
  <c r="AW344" i="1"/>
  <c r="AW345" i="1" s="1"/>
  <c r="AW301" i="1"/>
  <c r="AW348" i="1"/>
  <c r="AW349" i="1" s="1"/>
  <c r="AW352" i="1"/>
  <c r="AW291" i="1"/>
  <c r="AW295" i="1"/>
  <c r="AW296" i="1" s="1"/>
  <c r="AW322" i="1"/>
  <c r="AW321" i="1"/>
  <c r="AW324" i="1"/>
  <c r="AW327" i="1"/>
  <c r="AW332" i="1"/>
  <c r="AW319" i="1"/>
  <c r="AW335" i="1"/>
  <c r="AW320" i="1"/>
  <c r="AW336" i="1"/>
  <c r="AW329" i="1"/>
  <c r="AW331" i="1"/>
  <c r="AW334" i="1"/>
  <c r="AW325" i="1"/>
  <c r="AW328" i="1"/>
  <c r="AW323" i="1"/>
  <c r="AW330" i="1"/>
  <c r="AW333" i="1"/>
  <c r="AW326" i="1"/>
  <c r="AZ348" i="1"/>
  <c r="AZ349" i="1" s="1"/>
  <c r="AZ342" i="1"/>
  <c r="AZ346" i="1"/>
  <c r="AZ347" i="1" s="1"/>
  <c r="AZ301" i="1"/>
  <c r="AZ291" i="1"/>
  <c r="AZ350" i="1"/>
  <c r="AZ351" i="1" s="1"/>
  <c r="AZ288" i="1"/>
  <c r="AZ352" i="1"/>
  <c r="AZ295" i="1"/>
  <c r="AZ344" i="1"/>
  <c r="AZ345" i="1" s="1"/>
  <c r="AZ322" i="1"/>
  <c r="AZ321" i="1"/>
  <c r="AZ336" i="1"/>
  <c r="AZ328" i="1"/>
  <c r="AZ334" i="1"/>
  <c r="AZ331" i="1"/>
  <c r="AZ326" i="1"/>
  <c r="AZ335" i="1"/>
  <c r="AZ330" i="1"/>
  <c r="AZ319" i="1"/>
  <c r="AZ332" i="1"/>
  <c r="AZ333" i="1"/>
  <c r="AZ324" i="1"/>
  <c r="AZ329" i="1"/>
  <c r="AZ320" i="1"/>
  <c r="AZ327" i="1"/>
  <c r="AZ325" i="1"/>
  <c r="AZ323" i="1"/>
  <c r="AY295" i="1"/>
  <c r="AY342" i="1"/>
  <c r="AY346" i="1"/>
  <c r="AY347" i="1" s="1"/>
  <c r="AY352" i="1"/>
  <c r="AY350" i="1"/>
  <c r="AY351" i="1" s="1"/>
  <c r="AY288" i="1"/>
  <c r="AY291" i="1"/>
  <c r="AY301" i="1"/>
  <c r="AY344" i="1"/>
  <c r="AY345" i="1" s="1"/>
  <c r="AY348" i="1"/>
  <c r="AY349" i="1" s="1"/>
  <c r="AY322" i="1"/>
  <c r="AY321" i="1"/>
  <c r="AY331" i="1"/>
  <c r="AY323" i="1"/>
  <c r="AY336" i="1"/>
  <c r="AY326" i="1"/>
  <c r="AY332" i="1"/>
  <c r="AY319" i="1"/>
  <c r="AY333" i="1"/>
  <c r="AY325" i="1"/>
  <c r="AY335" i="1"/>
  <c r="AY330" i="1"/>
  <c r="AY334" i="1"/>
  <c r="AY324" i="1"/>
  <c r="AY327" i="1"/>
  <c r="AY329" i="1"/>
  <c r="AY320" i="1"/>
  <c r="AY328" i="1"/>
  <c r="AX342" i="1"/>
  <c r="AX346" i="1"/>
  <c r="AX347" i="1" s="1"/>
  <c r="AX350" i="1"/>
  <c r="AX351" i="1" s="1"/>
  <c r="AX288" i="1"/>
  <c r="AX295" i="1"/>
  <c r="AX296" i="1" s="1"/>
  <c r="AX301" i="1"/>
  <c r="AX352" i="1"/>
  <c r="AX291" i="1"/>
  <c r="AX348" i="1"/>
  <c r="AX349" i="1" s="1"/>
  <c r="AX344" i="1"/>
  <c r="AX345" i="1" s="1"/>
  <c r="AX321" i="1"/>
  <c r="AX322" i="1"/>
  <c r="AX323" i="1"/>
  <c r="AX326" i="1"/>
  <c r="AX328" i="1"/>
  <c r="AX330" i="1"/>
  <c r="AX333" i="1"/>
  <c r="AX335" i="1"/>
  <c r="AX332" i="1"/>
  <c r="AX324" i="1"/>
  <c r="AX319" i="1"/>
  <c r="AX327" i="1"/>
  <c r="AX329" i="1"/>
  <c r="AX334" i="1"/>
  <c r="AX320" i="1"/>
  <c r="AX325" i="1"/>
  <c r="AX336" i="1"/>
  <c r="AX331" i="1"/>
  <c r="BB323" i="1"/>
  <c r="BB321" i="1"/>
  <c r="BA338" i="1"/>
  <c r="AM297" i="1"/>
  <c r="AM298" i="1" s="1"/>
  <c r="AM289" i="1" s="1"/>
  <c r="AM290" i="1" s="1"/>
  <c r="AP297" i="1"/>
  <c r="AR299" i="1"/>
  <c r="AR300" i="1" s="1"/>
  <c r="AR298" i="1" s="1"/>
  <c r="AR289" i="1" s="1"/>
  <c r="AR290" i="1" s="1"/>
  <c r="AS296" i="1"/>
  <c r="AS297" i="1"/>
  <c r="AS302" i="1"/>
  <c r="AS299" i="1"/>
  <c r="AS300" i="1" s="1"/>
  <c r="AO296" i="1"/>
  <c r="AO302" i="1"/>
  <c r="AN294" i="1"/>
  <c r="BA337" i="1"/>
  <c r="AP296" i="1"/>
  <c r="BA354" i="1"/>
  <c r="AP299" i="1"/>
  <c r="AP300" i="1" s="1"/>
  <c r="AO297" i="1"/>
  <c r="AO298" i="1" s="1"/>
  <c r="AO289" i="1" s="1"/>
  <c r="AO290" i="1" s="1"/>
  <c r="AP294" i="1"/>
  <c r="AT337" i="1"/>
  <c r="BB295" i="1"/>
  <c r="BB296" i="1" s="1"/>
  <c r="BB352" i="1"/>
  <c r="BB319" i="1"/>
  <c r="AT354" i="1"/>
  <c r="AT343" i="1"/>
  <c r="AT355" i="1" s="1"/>
  <c r="BC287" i="1"/>
  <c r="BC336" i="1" s="1"/>
  <c r="BB342" i="1"/>
  <c r="BB343" i="1" s="1"/>
  <c r="BB346" i="1"/>
  <c r="BB347" i="1" s="1"/>
  <c r="AT292" i="1"/>
  <c r="AT293" i="1"/>
  <c r="AT294" i="1" s="1"/>
  <c r="AS292" i="1"/>
  <c r="AS293" i="1"/>
  <c r="AS294" i="1" s="1"/>
  <c r="AS337" i="1"/>
  <c r="BB336" i="1"/>
  <c r="BB344" i="1"/>
  <c r="BB345" i="1" s="1"/>
  <c r="BB291" i="1"/>
  <c r="BB293" i="1" s="1"/>
  <c r="BB294" i="1" s="1"/>
  <c r="AR354" i="1"/>
  <c r="AR343" i="1"/>
  <c r="AR355" i="1" s="1"/>
  <c r="AS354" i="1"/>
  <c r="AS343" i="1"/>
  <c r="AS355" i="1" s="1"/>
  <c r="AS338" i="1"/>
  <c r="BB333" i="1"/>
  <c r="AU338" i="1"/>
  <c r="BB334" i="1"/>
  <c r="BB332" i="1"/>
  <c r="BB331" i="1"/>
  <c r="AU292" i="1"/>
  <c r="AU293" i="1"/>
  <c r="AU337" i="1"/>
  <c r="BB335" i="1"/>
  <c r="BB330" i="1"/>
  <c r="BB328" i="1"/>
  <c r="BB329" i="1"/>
  <c r="AR338" i="1"/>
  <c r="AU354" i="1"/>
  <c r="AU343" i="1"/>
  <c r="AU355" i="1" s="1"/>
  <c r="BB326" i="1"/>
  <c r="BB327" i="1"/>
  <c r="BB324" i="1"/>
  <c r="AT338" i="1"/>
  <c r="AR292" i="1"/>
  <c r="AR293" i="1"/>
  <c r="AR294" i="1" s="1"/>
  <c r="AR337" i="1"/>
  <c r="AN298" i="1"/>
  <c r="AN289" i="1" s="1"/>
  <c r="AN290" i="1" s="1"/>
  <c r="AK298" i="1"/>
  <c r="AK289" i="1" s="1"/>
  <c r="AK290" i="1" s="1"/>
  <c r="AI298" i="1"/>
  <c r="AI289" i="1" s="1"/>
  <c r="AI290" i="1" s="1"/>
  <c r="AJ298" i="1"/>
  <c r="AJ289" i="1" s="1"/>
  <c r="AJ290" i="1" s="1"/>
  <c r="AH297" i="1"/>
  <c r="AL297" i="1"/>
  <c r="AF299" i="1"/>
  <c r="AF300" i="1" s="1"/>
  <c r="AF296" i="1"/>
  <c r="AF294" i="1"/>
  <c r="AH296" i="1"/>
  <c r="AL296" i="1"/>
  <c r="AQ296" i="1"/>
  <c r="AG296" i="1"/>
  <c r="AQ294" i="1"/>
  <c r="AG297" i="1"/>
  <c r="AG294" i="1"/>
  <c r="AG299" i="1"/>
  <c r="AG300" i="1" s="1"/>
  <c r="AF297" i="1"/>
  <c r="BB302" i="1"/>
  <c r="AH294" i="1"/>
  <c r="AL294" i="1"/>
  <c r="AH299" i="1"/>
  <c r="AH300" i="1" s="1"/>
  <c r="BB299" i="1"/>
  <c r="BB300" i="1" s="1"/>
  <c r="BB297" i="1"/>
  <c r="AD297" i="1"/>
  <c r="AD298" i="1" s="1"/>
  <c r="AQ302" i="1"/>
  <c r="BG310" i="1"/>
  <c r="BG312" i="1"/>
  <c r="BG297" i="1" s="1"/>
  <c r="BG306" i="1"/>
  <c r="BG303" i="1"/>
  <c r="BG309" i="1"/>
  <c r="BH286" i="1"/>
  <c r="BG305" i="1"/>
  <c r="BG304" i="1"/>
  <c r="BC311" i="1" l="1"/>
  <c r="BB312" i="1"/>
  <c r="AX302" i="1"/>
  <c r="AX300" i="1"/>
  <c r="AX298" i="1" s="1"/>
  <c r="AX289" i="1" s="1"/>
  <c r="AX290" i="1" s="1"/>
  <c r="AV294" i="1"/>
  <c r="AW302" i="1"/>
  <c r="AW300" i="1"/>
  <c r="AW298" i="1" s="1"/>
  <c r="AW289" i="1" s="1"/>
  <c r="AW290" i="1" s="1"/>
  <c r="BC288" i="1"/>
  <c r="BC328" i="1"/>
  <c r="AT297" i="1"/>
  <c r="AT302" i="1"/>
  <c r="AT299" i="1"/>
  <c r="AT300" i="1" s="1"/>
  <c r="AT298" i="1" s="1"/>
  <c r="AT289" i="1" s="1"/>
  <c r="AU299" i="1"/>
  <c r="AU300" i="1" s="1"/>
  <c r="AU302" i="1"/>
  <c r="AU297" i="1"/>
  <c r="AY296" i="1"/>
  <c r="BA297" i="1"/>
  <c r="AP298" i="1"/>
  <c r="AP289" i="1" s="1"/>
  <c r="AP290" i="1" s="1"/>
  <c r="BA302" i="1"/>
  <c r="BA294" i="1"/>
  <c r="AU294" i="1"/>
  <c r="AV296" i="1"/>
  <c r="BC333" i="1"/>
  <c r="BC331" i="1"/>
  <c r="BC327" i="1"/>
  <c r="BC334" i="1"/>
  <c r="BC332" i="1"/>
  <c r="AZ296" i="1"/>
  <c r="AW337" i="1"/>
  <c r="AV302" i="1"/>
  <c r="AY292" i="1"/>
  <c r="AY293" i="1"/>
  <c r="AY294" i="1" s="1"/>
  <c r="AY337" i="1"/>
  <c r="AX338" i="1"/>
  <c r="AX354" i="1"/>
  <c r="AX343" i="1"/>
  <c r="AX355" i="1" s="1"/>
  <c r="AZ337" i="1"/>
  <c r="AY338" i="1"/>
  <c r="AW354" i="1"/>
  <c r="AW343" i="1"/>
  <c r="AW355" i="1" s="1"/>
  <c r="AY354" i="1"/>
  <c r="AY343" i="1"/>
  <c r="AY355" i="1" s="1"/>
  <c r="AZ292" i="1"/>
  <c r="AZ293" i="1"/>
  <c r="AZ294" i="1" s="1"/>
  <c r="AX292" i="1"/>
  <c r="AX293" i="1"/>
  <c r="AX294" i="1" s="1"/>
  <c r="AZ299" i="1"/>
  <c r="AZ300" i="1" s="1"/>
  <c r="AZ297" i="1"/>
  <c r="AZ302" i="1"/>
  <c r="AW293" i="1"/>
  <c r="AW294" i="1" s="1"/>
  <c r="AW292" i="1"/>
  <c r="AZ354" i="1"/>
  <c r="AZ343" i="1"/>
  <c r="AZ355" i="1" s="1"/>
  <c r="AY299" i="1"/>
  <c r="AY300" i="1" s="1"/>
  <c r="AY297" i="1"/>
  <c r="AY302" i="1"/>
  <c r="BB337" i="1"/>
  <c r="AX337" i="1"/>
  <c r="AZ338" i="1"/>
  <c r="AW338" i="1"/>
  <c r="BB338" i="1"/>
  <c r="AS298" i="1"/>
  <c r="AS289" i="1" s="1"/>
  <c r="AS290" i="1" s="1"/>
  <c r="BB292" i="1"/>
  <c r="BC329" i="1"/>
  <c r="BC330" i="1"/>
  <c r="BC325" i="1"/>
  <c r="BC326" i="1"/>
  <c r="BB354" i="1"/>
  <c r="BC322" i="1"/>
  <c r="BB355" i="1"/>
  <c r="BC319" i="1"/>
  <c r="BC320" i="1"/>
  <c r="BC321" i="1"/>
  <c r="BC348" i="1"/>
  <c r="BC349" i="1" s="1"/>
  <c r="BC350" i="1"/>
  <c r="BC351" i="1" s="1"/>
  <c r="BC352" i="1"/>
  <c r="BC324" i="1"/>
  <c r="BD287" i="1"/>
  <c r="BD334" i="1" s="1"/>
  <c r="BC342" i="1"/>
  <c r="BC343" i="1" s="1"/>
  <c r="BC346" i="1"/>
  <c r="BC347" i="1" s="1"/>
  <c r="BC323" i="1"/>
  <c r="BC295" i="1"/>
  <c r="BC296" i="1" s="1"/>
  <c r="BC291" i="1"/>
  <c r="BC293" i="1" s="1"/>
  <c r="BC294" i="1" s="1"/>
  <c r="BC344" i="1"/>
  <c r="BC345" i="1" s="1"/>
  <c r="BC301" i="1"/>
  <c r="BC335" i="1"/>
  <c r="AG298" i="1"/>
  <c r="AG289" i="1" s="1"/>
  <c r="AG290" i="1" s="1"/>
  <c r="AF298" i="1"/>
  <c r="AF289" i="1" s="1"/>
  <c r="AF290" i="1" s="1"/>
  <c r="BB298" i="1"/>
  <c r="BB289" i="1" s="1"/>
  <c r="BB290" i="1" s="1"/>
  <c r="AD289" i="1"/>
  <c r="AD290" i="1" s="1"/>
  <c r="BA299" i="1"/>
  <c r="BA300" i="1" s="1"/>
  <c r="BA298" i="1" s="1"/>
  <c r="AQ297" i="1"/>
  <c r="AH298" i="1"/>
  <c r="AV299" i="1"/>
  <c r="AV300" i="1" s="1"/>
  <c r="AL299" i="1"/>
  <c r="AL300" i="1" s="1"/>
  <c r="AV297" i="1"/>
  <c r="AQ299" i="1"/>
  <c r="AQ300" i="1" s="1"/>
  <c r="BH310" i="1"/>
  <c r="BH309" i="1"/>
  <c r="BH312" i="1"/>
  <c r="BC302" i="1" l="1"/>
  <c r="BC299" i="1"/>
  <c r="BC300" i="1" s="1"/>
  <c r="BC297" i="1"/>
  <c r="BD311" i="1"/>
  <c r="BC312" i="1"/>
  <c r="AU298" i="1"/>
  <c r="AU289" i="1" s="1"/>
  <c r="AU290" i="1" s="1"/>
  <c r="AT290" i="1"/>
  <c r="AY298" i="1"/>
  <c r="AY289" i="1" s="1"/>
  <c r="AY290" i="1" s="1"/>
  <c r="BD321" i="1"/>
  <c r="BD325" i="1"/>
  <c r="BC338" i="1"/>
  <c r="AZ298" i="1"/>
  <c r="AZ289" i="1" s="1"/>
  <c r="AZ290" i="1" s="1"/>
  <c r="BD350" i="1"/>
  <c r="BD351" i="1" s="1"/>
  <c r="BD323" i="1"/>
  <c r="BD332" i="1"/>
  <c r="BD336" i="1"/>
  <c r="BD330" i="1"/>
  <c r="BD328" i="1"/>
  <c r="BD295" i="1"/>
  <c r="BD296" i="1" s="1"/>
  <c r="BD326" i="1"/>
  <c r="BC337" i="1"/>
  <c r="BC355" i="1"/>
  <c r="BD324" i="1"/>
  <c r="BD331" i="1"/>
  <c r="BD322" i="1"/>
  <c r="BD344" i="1"/>
  <c r="BD345" i="1" s="1"/>
  <c r="BD320" i="1"/>
  <c r="BD346" i="1"/>
  <c r="BD347" i="1" s="1"/>
  <c r="BD352" i="1"/>
  <c r="BE287" i="1"/>
  <c r="BE346" i="1" s="1"/>
  <c r="BE347" i="1" s="1"/>
  <c r="BD327" i="1"/>
  <c r="BD333" i="1"/>
  <c r="BD301" i="1"/>
  <c r="BD319" i="1"/>
  <c r="BC354" i="1"/>
  <c r="BD288" i="1"/>
  <c r="BD335" i="1"/>
  <c r="BD348" i="1"/>
  <c r="BD349" i="1" s="1"/>
  <c r="BC292" i="1"/>
  <c r="BD342" i="1"/>
  <c r="BD343" i="1" s="1"/>
  <c r="BD329" i="1"/>
  <c r="BH302" i="1"/>
  <c r="AE297" i="1"/>
  <c r="AE298" i="1" s="1"/>
  <c r="AE289" i="1" s="1"/>
  <c r="AE290" i="1" s="1"/>
  <c r="AV298" i="1"/>
  <c r="AV289" i="1" s="1"/>
  <c r="AV290" i="1" s="1"/>
  <c r="BD292" i="1"/>
  <c r="BD293" i="1"/>
  <c r="BD294" i="1" s="1"/>
  <c r="AH289" i="1"/>
  <c r="AH290" i="1" s="1"/>
  <c r="AQ298" i="1"/>
  <c r="AQ289" i="1" s="1"/>
  <c r="AQ290" i="1" s="1"/>
  <c r="AL298" i="1"/>
  <c r="AL289" i="1" s="1"/>
  <c r="AL290" i="1" s="1"/>
  <c r="BA289" i="1"/>
  <c r="BA290" i="1" s="1"/>
  <c r="BD302" i="1" l="1"/>
  <c r="BD299" i="1"/>
  <c r="BD300" i="1" s="1"/>
  <c r="BD297" i="1"/>
  <c r="BD312" i="1"/>
  <c r="BE311" i="1"/>
  <c r="BC298" i="1"/>
  <c r="BC289" i="1" s="1"/>
  <c r="BC290" i="1" s="1"/>
  <c r="BE331" i="1"/>
  <c r="BD338" i="1"/>
  <c r="BE329" i="1"/>
  <c r="BE324" i="1"/>
  <c r="BE327" i="1"/>
  <c r="BE326" i="1"/>
  <c r="BE322" i="1"/>
  <c r="BE320" i="1"/>
  <c r="BE321" i="1"/>
  <c r="BE342" i="1"/>
  <c r="BE343" i="1" s="1"/>
  <c r="BE352" i="1"/>
  <c r="BE295" i="1"/>
  <c r="BE296" i="1" s="1"/>
  <c r="BE288" i="1"/>
  <c r="BE336" i="1"/>
  <c r="BE334" i="1"/>
  <c r="BE344" i="1"/>
  <c r="BE345" i="1" s="1"/>
  <c r="BE332" i="1"/>
  <c r="BE325" i="1"/>
  <c r="BE323" i="1"/>
  <c r="BE348" i="1"/>
  <c r="BE349" i="1" s="1"/>
  <c r="BE350" i="1"/>
  <c r="BE351" i="1" s="1"/>
  <c r="BE335" i="1"/>
  <c r="BE330" i="1"/>
  <c r="BE333" i="1"/>
  <c r="BE328" i="1"/>
  <c r="BD337" i="1"/>
  <c r="BE301" i="1"/>
  <c r="BE319" i="1"/>
  <c r="BD355" i="1"/>
  <c r="BD354" i="1"/>
  <c r="BF344" i="1"/>
  <c r="BF345" i="1" s="1"/>
  <c r="BF342" i="1"/>
  <c r="BF348" i="1"/>
  <c r="BF349" i="1" s="1"/>
  <c r="BF352" i="1"/>
  <c r="BF320" i="1"/>
  <c r="BF322" i="1"/>
  <c r="BF324" i="1"/>
  <c r="BF326" i="1"/>
  <c r="BF328" i="1"/>
  <c r="BF330" i="1"/>
  <c r="BF332" i="1"/>
  <c r="BF334" i="1"/>
  <c r="BF336" i="1"/>
  <c r="BF346" i="1"/>
  <c r="BF347" i="1" s="1"/>
  <c r="BF350" i="1"/>
  <c r="BF351" i="1" s="1"/>
  <c r="BF319" i="1"/>
  <c r="BF321" i="1"/>
  <c r="BF323" i="1"/>
  <c r="BF325" i="1"/>
  <c r="BF327" i="1"/>
  <c r="BF329" i="1"/>
  <c r="BF331" i="1"/>
  <c r="BF333" i="1"/>
  <c r="BF335" i="1"/>
  <c r="BE293" i="1"/>
  <c r="BE294" i="1" s="1"/>
  <c r="BE292" i="1"/>
  <c r="BF301" i="1"/>
  <c r="BF288" i="1"/>
  <c r="BF295" i="1"/>
  <c r="BF311" i="1" l="1"/>
  <c r="BF312" i="1" s="1"/>
  <c r="BE312" i="1"/>
  <c r="BE297" i="1"/>
  <c r="BE302" i="1"/>
  <c r="BE299" i="1"/>
  <c r="BE300" i="1" s="1"/>
  <c r="BD298" i="1"/>
  <c r="BD289" i="1" s="1"/>
  <c r="BD290" i="1" s="1"/>
  <c r="BE338" i="1"/>
  <c r="BE337" i="1"/>
  <c r="BE355" i="1"/>
  <c r="BE354" i="1"/>
  <c r="BF337" i="1"/>
  <c r="BF338" i="1"/>
  <c r="BF292" i="1"/>
  <c r="BF293" i="1"/>
  <c r="BF294" i="1" s="1"/>
  <c r="BF343" i="1"/>
  <c r="BF355" i="1" s="1"/>
  <c r="BF354" i="1"/>
  <c r="BE298" i="1" l="1"/>
  <c r="BF302" i="1"/>
  <c r="BF299" i="1"/>
  <c r="BF300" i="1" s="1"/>
  <c r="BF297" i="1"/>
  <c r="BG302" i="1"/>
  <c r="BG299" i="1"/>
  <c r="BG300" i="1" s="1"/>
  <c r="BG298" i="1" s="1"/>
  <c r="BG294" i="1"/>
  <c r="BG296" i="1"/>
  <c r="BF296" i="1"/>
  <c r="BE289" i="1"/>
  <c r="BE290" i="1" s="1"/>
  <c r="BF298" i="1" l="1"/>
  <c r="BF289" i="1" s="1"/>
  <c r="BF290" i="1" s="1"/>
  <c r="BG289" i="1"/>
  <c r="BG290" i="1" s="1"/>
</calcChain>
</file>

<file path=xl/sharedStrings.xml><?xml version="1.0" encoding="utf-8"?>
<sst xmlns="http://schemas.openxmlformats.org/spreadsheetml/2006/main" count="774" uniqueCount="568">
  <si>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</si>
  <si>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</si>
  <si>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</si>
  <si>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</si>
  <si>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</si>
  <si>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</si>
  <si>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</si>
  <si>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</si>
  <si>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</si>
  <si>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</si>
  <si>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</si>
  <si>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</si>
  <si>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</si>
  <si>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</si>
  <si>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</si>
  <si>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</si>
  <si>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</si>
  <si>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</si>
  <si>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</si>
  <si>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</si>
  <si>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</si>
  <si>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</si>
  <si>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</si>
  <si>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</si>
  <si>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</si>
  <si>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</si>
  <si>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</si>
  <si>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</si>
  <si>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</si>
  <si>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</si>
  <si>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</si>
  <si>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</si>
  <si>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</si>
  <si>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</si>
  <si>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</si>
  <si>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</si>
  <si>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</si>
  <si>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</si>
  <si>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</si>
  <si>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</si>
  <si>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</si>
  <si>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</si>
  <si>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</si>
  <si>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</si>
  <si>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</si>
  <si>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</si>
  <si>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</si>
  <si>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</si>
  <si>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</si>
  <si>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</si>
  <si>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</si>
  <si>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</si>
  <si>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</si>
  <si>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</si>
  <si>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</si>
  <si>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</si>
  <si>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</si>
  <si>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</si>
  <si>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</si>
  <si>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</si>
  <si>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</si>
  <si>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</si>
  <si>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</si>
  <si>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</si>
  <si>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</si>
  <si>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</si>
  <si>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</si>
  <si>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</si>
  <si>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</si>
  <si>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</si>
  <si>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</si>
  <si>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</si>
  <si>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</si>
  <si>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</si>
  <si>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</si>
  <si>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</si>
  <si>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</si>
  <si>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</si>
  <si>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</si>
  <si>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</si>
  <si>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</si>
  <si>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</si>
  <si>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</si>
  <si>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</si>
  <si>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</si>
  <si>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</si>
  <si>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</si>
  <si>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</si>
  <si>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</si>
  <si>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</si>
  <si>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</si>
  <si>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</si>
  <si>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</si>
  <si>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</si>
  <si>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</si>
  <si>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</si>
  <si>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</si>
  <si>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</si>
  <si>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</si>
  <si>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</si>
  <si>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</si>
  <si>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</si>
  <si>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</si>
  <si>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</si>
  <si>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</si>
  <si>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</si>
  <si>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</si>
  <si>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</si>
  <si>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</si>
  <si>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</si>
  <si>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</si>
  <si>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</si>
  <si>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</si>
  <si>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</si>
  <si>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</si>
  <si>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</si>
  <si>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</si>
  <si>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</si>
  <si>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</si>
  <si>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</si>
  <si>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</si>
  <si>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</si>
  <si>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</si>
  <si>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</si>
  <si>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</si>
  <si>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</si>
  <si>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</si>
  <si>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</si>
  <si>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</si>
  <si>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</si>
  <si>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</si>
  <si>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</si>
  <si>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</si>
  <si>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</si>
  <si>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</si>
  <si>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</si>
  <si>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</si>
  <si>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</si>
  <si>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</si>
  <si>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</si>
  <si>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</si>
  <si>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</si>
  <si>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</si>
  <si>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</si>
  <si>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</si>
  <si>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</si>
  <si>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</si>
  <si>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</si>
  <si>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</si>
  <si>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</si>
  <si>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</si>
  <si>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</si>
  <si>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</si>
  <si>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</si>
  <si>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</si>
  <si>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</si>
  <si>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</si>
  <si>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</si>
  <si>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</si>
  <si>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</si>
  <si>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</si>
  <si>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</si>
  <si>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</si>
  <si>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</si>
  <si>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</si>
  <si>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</si>
  <si>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</si>
  <si>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</si>
  <si>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</si>
  <si>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</si>
  <si>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</si>
  <si>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</si>
  <si>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</si>
  <si>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</si>
  <si>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</si>
  <si>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</si>
  <si>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</si>
  <si>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</si>
  <si>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</si>
  <si>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</si>
  <si>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</si>
  <si>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</si>
  <si>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</si>
  <si>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</si>
  <si>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</si>
  <si>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</si>
  <si>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</si>
  <si>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</si>
  <si>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</si>
  <si>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</si>
  <si>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</si>
  <si>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</si>
  <si>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</si>
  <si>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</si>
  <si>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</si>
  <si>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</si>
  <si>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</si>
  <si>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</si>
  <si>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</si>
  <si>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</si>
  <si>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</si>
  <si>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</si>
  <si>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</si>
  <si>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</si>
  <si>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</si>
  <si>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</si>
  <si>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</si>
  <si>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</si>
  <si>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</si>
  <si>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</si>
  <si>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</si>
  <si>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</si>
  <si>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</si>
  <si>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</si>
  <si>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</si>
  <si>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</si>
  <si>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</si>
  <si>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</si>
  <si>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</si>
  <si>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</si>
  <si>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</si>
  <si>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</si>
  <si>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</si>
  <si>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</si>
  <si>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</si>
  <si>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</si>
  <si>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</si>
  <si>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</si>
  <si>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</si>
  <si>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</si>
  <si>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</si>
  <si>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</si>
  <si>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</si>
  <si>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</si>
  <si>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</si>
  <si>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</si>
  <si>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</si>
  <si>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</si>
  <si>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</si>
  <si>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</si>
  <si>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</si>
  <si>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</si>
  <si>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</si>
  <si>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</si>
  <si>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</si>
  <si>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</si>
  <si>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</si>
  <si>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</si>
  <si>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</si>
  <si>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</si>
  <si>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</si>
  <si>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</si>
  <si>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</si>
  <si>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</si>
  <si>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</si>
  <si>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</si>
  <si>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</si>
  <si>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</si>
  <si>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</si>
  <si>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</si>
  <si>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</si>
  <si>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</si>
  <si>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</si>
  <si>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</si>
  <si>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</si>
  <si>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</si>
  <si>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</si>
  <si>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</si>
  <si>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</si>
  <si>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</si>
  <si>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</si>
  <si>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</si>
  <si>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</si>
  <si>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</si>
  <si>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</si>
  <si>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</si>
  <si>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</si>
  <si>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</si>
  <si>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</si>
  <si>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</si>
  <si>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</si>
  <si>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</si>
  <si>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</si>
  <si>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</si>
  <si>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</si>
  <si>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</si>
  <si>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</si>
  <si>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</si>
  <si>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</si>
  <si>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</si>
  <si>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</si>
  <si>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</si>
  <si>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</si>
  <si>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</si>
  <si>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</si>
  <si>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</si>
  <si>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</si>
  <si>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</si>
  <si>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</si>
  <si>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</si>
  <si>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</si>
  <si>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</si>
  <si>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</si>
  <si>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</si>
  <si>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</si>
  <si>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</si>
  <si>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</si>
  <si>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</si>
  <si>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</si>
  <si>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</si>
  <si>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</si>
  <si>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</si>
  <si>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</si>
  <si>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</si>
  <si>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</si>
  <si>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</si>
  <si>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</si>
  <si>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</si>
  <si>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</si>
  <si>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</si>
  <si>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</si>
  <si>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</si>
  <si>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</si>
  <si>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</si>
  <si>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</si>
  <si>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</si>
  <si>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</si>
  <si>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</si>
  <si>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Projections less meaningful as rates begin to decrease</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</si>
  <si>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</si>
  <si>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</si>
  <si>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Rick Bright lodges a whistleblower complaint against the WH, painting the WH response to the novel coronavirus in an unfavourable light</t>
  </si>
  <si>
    <t>A personal valet to Trump, a member of the US Navy, has tested positive to coronavirus</t>
  </si>
  <si>
    <t>Katie Miller, Pence's press secretary has tested positive to coronavirus. Her husband, Stephen Miller is a senior advisor to Trump.</t>
  </si>
  <si>
    <t>The Office of Special Counsel has determined that there were reasonable grounds to believe Rick Bright was removed for reliatory reasons, and will recommend that he is reinstated to the Department of Health and Human Services while it investigates.</t>
  </si>
  <si>
    <t>Trump confirms that he is pushing ahead with attempts to abolish health care, without promising any details of what would go in its place.</t>
  </si>
  <si>
    <t>US unemployment hits 14.7%, the steepest plunge since the great depression, coming off a five decade low of 3.5% in Feb, and unemployment figures not seen since 1982.  Underemployment hits 22.8%, a record high.</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</si>
  <si>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</si>
  <si>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 xml:space="preserve"> Trump states that "testing isn't necessary" and is an imperfect guide and makes the United States "look bad".  Although he and Pence will in the coming days start to be tested daily themselves.  Birx in response states in an interview when asked about testing, states the need for testing and that such efforts are essential and should be stepped up.</t>
  </si>
  <si>
    <t>Members of the Coronavirus Taskforce, including Fauci and Pence self quarantine</t>
  </si>
  <si>
    <t>Trump tweeted: "We are getting great marks for the handling of the CoronaVirus pandemic, especially the very early BAN of people from China, the infectious source, entering the USA"</t>
  </si>
  <si>
    <t>Trump in relation to Katie Miller testing positive: "This is why the whole concept of tests aren’t necessarily great. The tests are perfect but something can happen between a test where it’s good and then something happens." He also said "The media likes to say we have the most cases, but we do, by far, the most testing. If we did very little testing, we wouldn’t have the most cases. So, in a way, by doing all of this testing, we make ourselves look bad."</t>
  </si>
  <si>
    <t>Barack Obama describes Trump handling of the coronavirus pandemic as "an absolute chaotic disaster."</t>
  </si>
  <si>
    <t>The WH has ordered everyone entering the West Wing to wear a face mask, other than for Trump who is exempt.</t>
  </si>
  <si>
    <t>Trump tweets: "Coronavirus numbers are looking MUCH better, going down almost everywhere. Big progress being made!"</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</si>
  <si>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 He also stated that he believes the U.S. can never declare “total victory” over the coronavirus because too many people have died. But he added that he will count it a win when the virus is gone and the economy fully reopened.</t>
  </si>
  <si>
    <t>Trump "Thanks to the courage of our citizens and our aggressive strategy, hundreds of thousands of lives have been saved. In every generation, through every challenge and hardship and danger, America has risen to the task, we have met the moment and we have prevailed."  he also continued to encourage states to lift lockdown measures, saying "people are dying in the lockdown position too."</t>
  </si>
  <si>
    <t>Dr Thomas R Frieden, former director of the Centers for Disease Control and Prevention "We're not reopening based on science, we're reopening based on politics, ideology, and public pressure. And I think it's going to end badly."</t>
  </si>
  <si>
    <t>Trump tweets: "The great people of Pennsylvania want their freedom now, and they are fully aware of what that entails. The Democrats are moving slowly, all over the USA, for political purposes. They would wait until November 3rd if it were up to them. Don't play politics. Be safe, move quickly!"</t>
  </si>
  <si>
    <t>Fauci, in an email to a news outlet discussing his forthcoming Congress appearance on 12/5, stated ""If we skip over the checkpoints in the guidelines to 'Open America Again', then we risk the danger of multiple outbreaks throughout the country. This will not only result in needless suffering and death, but would actually set us back on our quest to return to normal."</t>
  </si>
  <si>
    <t>Trump in response to Fauci's warnings to congress about really serious consequences if states moving too quickly to reopen or restarting schools too soon, "I was surprised by his answer, actually, because, you know, it’s just, to me, it’s not an acceptable answer, especially when it comes to schools."  Trump also said "The state is not open if the schools are not open."</t>
  </si>
  <si>
    <t>Trump tweets "So last year 37,000 Americans died from the common Flu. It averages between 27,000 and 70,000 per year. Nothing is shut down, life &amp; the economy go on. At this moment there are 546 confirmed cases of CoronaVirus, with 22 deaths. Think about that!" Deaths from COVID-19 passed 70,000 by 5/5</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</si>
  <si>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stay at home orders.</t>
  </si>
  <si>
    <t>-</t>
  </si>
  <si>
    <t>CDC confirms first case of person to person transmission in the US</t>
  </si>
  <si>
    <t>+</t>
  </si>
  <si>
    <t>Cases</t>
  </si>
  <si>
    <t>14 Day lead time before expect to begin seeing results</t>
  </si>
  <si>
    <t>Pence travels to Iowa, signalling to religious leaders that they should reopen their houses of worship, claiming "for most healthy Americans, the risks that the coronavirus poses remains very low," and thanked them for stepping "forward back into the exercise of your faith."</t>
  </si>
  <si>
    <t>CDC was to release guidelines for reopening the previous Friday, but WH has now stated that it is to be shelved and will not see the light of day, due in part because of a "religious freedom" concern in placing restrictions on churches.  However Birx states that "No one has stopped those guidelines.  We're still in editing."</t>
  </si>
  <si>
    <t xml:space="preserve"> By 16/3 all states had declared a State of Emergency.  States progressively began implementing stay at home orders.  Seven states did not end up implementing any stay at home orders - Arkansas, Iowa, Nebraska, North Dakota, Oklahoma, Utah, and Wyoming, although some cities in these states issued their own local lockdowns</t>
  </si>
  <si>
    <t>Trump claims that state and local government officials were treating Christians worse than Muslims during the pandemic. "Our politicians seem to treat different faiths very differently. … The Christian faith is treated much differently."  At least 20 states include exemptions on large gatherings to allow church congregations to meet, putting themselves and the wider communities at greater risk and despite coronavirus not discriminating on the grounds of religion or seculism</t>
  </si>
  <si>
    <t>Only two states have yet to begin reopening - Connecticut and Massachusetts</t>
  </si>
  <si>
    <t>In response to Rick Bright testifying to Congress that the WH still had no pandemic plan, WH Press Secretary (No. 4) Kayleigh McEnany pushed back against reports that the WH admin threw out the Obama admin pandemic response plan, saying that the Trump admin had simply replaced it saying it was insufficient and it wasn't going to work, after previously saying that the Obama admin had not left any pandemic plan.  Holding up two binders, one a 2018 pandemic crisis action plan and the other a "Crimson Contagion 2019 after-action report" which gamed out the pandemic crisis action plan, "Some have erroneously suggested that the Trump administration threw out the pandemic response playbook left by the Obama-Biden administration.  What the critics failed to note, however, is that this thin packet of paper was replaced by two detailed, robust pandemic response reports commissioned by the Trump administration."  Asked about the action report she answered "What it basically did was say to us, look, some of the previous iterations of plans have put HHS in the lead, HHS of course plays a critical role in our response, but one of the things that was identified was you need a whole of government response from the highest levels".  It does not appear that any recommendations in the action report which apparently savaged the pandemic crises action plan were actioned before COVID-19 hit.</t>
  </si>
  <si>
    <t>After the UK alerted doctors to a new syndrome in April and Cuomo flagging a number of children in NY with inflammatory 'Kawasaki like' responses from COVID-19 over the previous days, the CDC has issued a health advisory on the new syndrome in children under 10</t>
  </si>
  <si>
    <t>Trump announces that his administration is working on a plan to manufacture in bulk the leading vaccine contenders to be ready for mass distribution once any of them are approved, targeting the end of the year.</t>
  </si>
  <si>
    <t>Trump flags that he is considering restoring 10% of funding of previous levels back to the WHO, matching current Chinese payment levels, but also stating "Have not made final decision. All funds are frozen. Thanks!"</t>
  </si>
  <si>
    <t>Trump "We’re looking at vaccines, we’re looking at cures and we are very, very far down the line. I think that’s not going to be in the very distant future. But even before that, I think we’ll be back to normal. … We want to get it back to where it was. We want big, big stadiums loaded with people, we want to get sports back. We miss sports. We need sports in terms of the psyche, the psyche of our country."</t>
  </si>
  <si>
    <t>Leaked projections from the CDC forecasts that the US will be recording 200,000 new cases each day and up to 3,000 deaths each day from COVID-10 by the end of May.  In a separate model, The Institute of Health Metrics and Evaluation now projects that 135,000 people will die from COVID-19, up from its previous estimate of 72,433 deaths</t>
  </si>
  <si>
    <t>Trump tweets contents of letter sent to the WHO which included "If the World Health Organisation does not commit to major substantive improvements within the next 30 days, I will make my temporary freeze of United States funding to the World Health Organisation permanent and reconsider our membership in the organisation."</t>
  </si>
  <si>
    <t>In defending the use of hydroxychloroquine, Trump states "If you look at the one survey, the only bad survey, they were giving it to people that were in very bad shape. They were very old. Almost dead. It was a Trump enemy statement." presumably referring to a study of hundreds of patients treated by the Department of Veterans Affairs in which more of those in a group who were administered hydroxychloroquine died than among those who weren’t.</t>
  </si>
  <si>
    <t>Trump states that he has been taking hydroxychloroquine for about a week and a half, following the positive COVID-19 tests of WH staff. "You'd be surprised at how many people are taking it, especially the frontline workers before you catch it, the frontline workers, many, many are taking it, I happen to be taking it. Here's my evidence: I get a lot of positive calls about it. I've heard a lot of good stories and if it's not good, I'll tell you right I'm not going to get hurt by it."  He added that he was taking a daily zinc supplement and received a single does of the antibiotic azithromycin, saying that he had requested the medication.</t>
  </si>
  <si>
    <t>Trump "You know when you say that we lead in cases, that's because we have more testing than anybody else. It's a great tribute to the testing and all of the work that a lot of of professionals have done."  Trump also suggested he might close the border with Brazil, "I don't want people coming over here and infecting our people.  I don't want people over there sick either."</t>
  </si>
  <si>
    <t>Donald Trump's son and executive VP of the Trump Organisation, Eric Trump: "They think they are taking away Donald Trump's greatest tool, which is being able to go into an arena and fill it with 50,000 people every single time. Joe Biden can't get 10 people in a room. My father is getting 50,000 in a room. And they want to do everything they can to stop it. You watch, they'll milk it every single day between now and Nov. 3. And guess what, after Nov. 3, coronavirus will magically all of a sudden go away and disappear and everybody will be able to reopen. ... This is a very cognizant strategy that they're trying to employ. It's no different than the mail-in voting that they want to do all these places. It's no different than wanting illegal immigrants to vote in our country. It is a cognizant strategy. And it's sad. And, again, it's not going to be allowed to happen and we're going to win in November." His brother, Trump Jr also stated that coronavirus was invented by the Democrats to cancel his father's campaign.</t>
  </si>
  <si>
    <t>Speaker Nancy Pelosi "As far as the President is concerned, he's our President and I would rather he not be taking something that has not been approved by the scientists, especially in his age group and in his, shall we say, weight group, morbidly obese, they say. So I think it's not a good idea."  To be fair to Trump, his BMI suggests that he is obese, rather than morbidly obese.  Trump responded "Pelosi is a sick woman. She’s got a lot of problems, a lot of mental problems."</t>
  </si>
  <si>
    <t>American biotech company Moderna announce findings from a Phase I trial of 8 people who received 2 doses of an experimental vaccine, showing no ill side effects and production of antibodies.</t>
  </si>
  <si>
    <t>The CDC finally releases its guidelines on how to reopen the US with little fanfare, after changes were made to remove specific guidance on religious practices as directed by the WH. The release comes as tensions between the WH and the CDC continue to rise and Birx accusing the CDC of antiquated processes, including the gathering and reporting of cases and deaths.</t>
  </si>
  <si>
    <t>Baltimore's Mayor requests that Trump sets an example with the stay-at-home order and not visit the state but Trump has said that he would still visit.</t>
  </si>
  <si>
    <t>Trump states "We are opening our churches again. I think the CDC is going to put something out very soon, spoke to them today. I think they are going to put something out very soon. We got to open our churches. I said you better put it out and they’re doing it and they’re going to be issuing something today or tomorrow and churches are going to get our churches open."  He also said "This country is poised for an epic comeback, this is going to be an incredible comeback.  Just watch.  It's already happening."</t>
  </si>
  <si>
    <t xml:space="preserve">Michigan AG warns Ford of letting Trump visit factory without a mask, and Ford released a statement that they had requested Trump to wear a mask during his visit, but Trump doesn't wear a mask anyway, claiming he had worn one "in the back area" but did not want to give reporters the pleasure of seeing him wear it.  During the Ford plant visit where the factory had been repurposed to produce ventilators, Trump praises the Ford companies "bloodlines" and Henry Ford's "good blood", which given Henry Ford's notorious anti-Semitism was interesting... </t>
  </si>
  <si>
    <t>Trump the previous day threatened to withhold funding from Michigan over mail-in ballots "We don’t want them to do mail-in ballots. We don’t want anyone to do mail-in ballots."  He repeated similar today "We don’t want them to do mail-in ballots because it’s going to lead to total election fraud. We don’t want to take any chances with fraud in our elections."</t>
  </si>
  <si>
    <t>COVID-19 base CFR</t>
  </si>
  <si>
    <t>Based on difference from base CFR, does not account for lag between detection and deaths</t>
  </si>
  <si>
    <t>The Lancet takes the unusual step to publish an article refuting Trump's claims regarding the Lancet and China with regard to Dec 2019, Jan 2020 timelines and recommended that Trump should not be voted back in. "Americans must put a president in the White House come January, 2021, who will understand that public health should not be guided by partisan politics."</t>
  </si>
  <si>
    <t>CDC  admits that its testing kits are faulty</t>
  </si>
  <si>
    <t>The last remaining CDC officer recalled home from the China CDC, leaving an intelligence vacuum when COVID-19 subsequently began to emerge</t>
  </si>
  <si>
    <t>Trump "Some governors have deemed liquor stores and abortion clinics essential, but have left out churches and houses of worship. It's not right. So I'm correcting this injustice and calling houses of worship essential. The governors need to do the right thing and allow these very important essential places of faith to open right now, this weekend. If they don't do it, I will override the governors. If there's any question, they're going to have to call me, but they're not going to be successful in that call. In America, we need more prayer not less."</t>
  </si>
  <si>
    <t>The CDC release a report of an Arkansas case study where church gatherings resulted in significant COVID-19 outbreaks, impacting not just the congregation, but the wider community as well.  From 2 initial infections who attended church events over 3 days, 38% of the congregation (35 of 92) became infected, and an additional 26 infections occured in the wider community from the infected congregation - resulting in 4 deaths.  The CDC highlight that the total number of infected from this one incident is likely underreported.</t>
  </si>
  <si>
    <t>The CDC releases an interim guidance for communities of faith, "The information offered is non-binding public health guidance for consideration only."</t>
  </si>
  <si>
    <t>Trump Jr referring to Democrats: "... like you said, we've seen this play out for four years. Anything that they can use to try to hurt Trump, they will. Anything he does in a positive sense, like you heard from the reporter that was just suspended from ABC, they will not give him credit for. The playbook is old at this point. But for them to try to take a pandemic and seemingly hope that it comes here, and kills millions of people so that they could end Donald Trump's streak of winning, is a new level of sickness. You know, I don't know if this is coronavirus or Trump derangement syndrome, but these people are infected badly."</t>
  </si>
  <si>
    <t>Trump regarding his morning coronavirus test "And I tested very positively in another sense. So this morning. I tested positively toward negative, right? So no, I tested perfectly this morning. Meaning I tested negative. But that's a way of saying it. Positively toward the negative."</t>
  </si>
  <si>
    <t>The federal DOJ sends letter to the governer of California stating that their reopening plan discriminates against churches.</t>
  </si>
  <si>
    <t>People around the US flout social distancing and mask laws to enjoy the Memorial Day w/e in large crowds at outdoor attractions.</t>
  </si>
  <si>
    <t>Trump tweets that schools "should be opened ASAP", at odds with advice from Fauci.</t>
  </si>
  <si>
    <t>77 Nobel prize-winning US scientists sent an open letter to the Trump administration stating that they are "gravely concernced" about the recent abrupt funding cancellation to EcoHealth Alliance, saying it "sets a dangerous precedent by interfering in the conduct of science, ...deprives the nation and the world of highly regarded science that could help control one of the greatest health crises in modern history and those that may arised in the future."</t>
  </si>
  <si>
    <t>The NIH removes funding from a US non-profit research group EcoHealth Alliance that had been trapping bats throughout China and the world to collect blood and saliva samples to understand potential virus pandemic risks.  It is assumed that because they are partnered with the Wuhan Institute of Virology, and the US government is buying into the leaked virus from the lab conspiracy/myth, that the funding cancellation has been political.</t>
  </si>
  <si>
    <t xml:space="preserve">Delays in implementing lockdown measures in the US had lead to at least 36,000 more deaths, </t>
  </si>
  <si>
    <t>Mike Pompeo scuttles joint G7 communique referring to the COVID-19 virus, insisting that it was called the "Wuhan virus" in the communique.</t>
  </si>
  <si>
    <t>Trump "I wish -- again, our relationship with China is a very good relationship. I wish they told us three months sooner that this was a problem. We didn't know about it. They knew about it and they should have told us. We could have saved a lot of lives throughout the world. If you look at what's happening in Italy and Spain and a lot of other countries, we could have saved a lot of lives throughout the world.  ... as much as I like President Xi and as much as I respect the country and admire the country -- I have great admiration for the country, what they've done in a short period of time. Of course, our presidents, our previous presidents allowed that to happen; you should say "thank you very much" to all of them. But they should have told us about this. And I did ask him whether or not we could send some people, and they didn't want that -- out of pride. I think, really, out of pride. They don't want -- they don't want us sending people into China, to help them. You know, China is a strong country. They have -- they have their scientists and they have their doctors -- very smart."</t>
  </si>
  <si>
    <t>Trump when asked if used the expression Chinese Virus was racist: "It's not racist at all.  No it's not at all. It's from China. That's why. It comes from China. I want to be accurate."  Asked if his aides were comfortable with the term "No, I have a great -- I have great love for all of the people from our country. But, as you know, China tried to say at one point -- maybe they stopped now -- that it was caused by American soldiers. That can't happen. It's not going to happen -- not as long as I'm President. It comes from China."</t>
  </si>
  <si>
    <t>Trump "I just spoke to President Xi last night, and, you know, we're working on the -- the problem, the virus. It's a -- it's a very tough situation. But I think he's going to handle it. I think he's handled it really well. We're helping wherever we can. But we have a great relationship. It's incredible. ...They respect us again and we respect them. And we think -- I think we have the best relationship we've had with China. But it's really incredible."</t>
  </si>
  <si>
    <t>Trump "I have great respect for President Xi and great respect for China, frankly"</t>
  </si>
  <si>
    <t>Trump when asked how confident China was in being 100 percent honest regarding coronavirus "Well, I'm confident that they're trying very hard. I mean, I know President Xi -- I get along with him very well. We've just made a great trade deal, which is going to be a lot of business for Arizona and every other place. But, they are trying very, very hard, and I think the numbers are going to get progressively better as we go along. They're working it -- they built they built a hospital in seven days, and now they're building another one. I think it's going to work out fine. I think when we get into April, in the warmer weather, that has a very negative effect on that and that type of a virus. So let's see what happens, but I think it's going to work out fine."</t>
  </si>
  <si>
    <t>Trump when asked if he trusted the data coming out of China "Look, I know this: President Xi loves the people of China, he loves his country, and he's doing a very good job with a very, very tough situation."</t>
  </si>
  <si>
    <t>Trump on coronavirus "Yeah, we're very much involved. We're very -- very cognizant of everything going on. We have it very much under control in this country. … Well, it's a big -- it's a big situation going on throughout the world. And I can say, the United States, we've very much closed our doors in certain areas, in about certain areas, through certain areas. And we'll see what happens. But we have the greatest doctors in the world. We have it very much under control. We accepted a few people -- a small number of people. They're very well confined and they should be getting better fairly soon. Very interestingly, we've had no deaths. We have a -- I mean, you know, we've had a great practice. We had 12, at one point. And now they've gotten very much better. Many of them are fully recovered."</t>
  </si>
  <si>
    <t>Trump on whether President Xi should be doing anything different: "No, I think President Xi is working very, very hard. I spoke to him. He's working very hard. I think he's doing a very good job. It's a big problem. But President Xi loves his country. He's working very hard to solve the problem and he will solve the problem. Okay?"</t>
  </si>
  <si>
    <t>Trump "Well, we're working on it very closely. I spoke to President Xi two days ago. They're working on it very professionally. It's a problem, we think and we hope, based on all signs that the problem goes away in April because -- which is not too far down the road, because heat kills this virus. We think, now we're going to find out, Geraldo, but we think, and they are having difficulty in China but they're working very, very hard. We're working with them. We're sending a lot of people and CDC has been great but it is -- it's a problem in China. Has not been spreading very much. In our country, we only have, basically, 12 cases and most of those people are recovering and some cases fully recovered. So it's actually less."  On whether the Chinese is telling the truth "Well, you never know. I think they want to put the best face on it. So you know, I mean, if somebody -- if you were running it, you'd probably -- you wouldn't want to run out to the world and go crazy and start saying whatever it is because you don't want to create a panic. But, no, I think they've handled it professionally and I think they're extremely capable and I think President Xi is extremely capable and I hope that it's going to be resolved. Again, the April date is very important. But you know this is a big thing. The April date is very, very important because if that's the case, if he does, in fact, kill that's when it starts getting hot and this virus reacts very poorly to heat and dies. So we'll see what happens."</t>
  </si>
  <si>
    <t>Trump tweets "Low Ratings Fake News MSDNC (Comcast) &amp; @CNN are doing everything possible to make the Caronavirus look as bad as possible, including panicking markets, if possible. Likewise their incompetent Do Nothing Democrat comrades are all talk, no action. USA in great shape!"</t>
  </si>
  <si>
    <t xml:space="preserve">First community spread case documented, Trump states "Now, at the same time, you do have some outbreaks in some countries. Italy and various countries are having some difficulty. China, you know about it, where it started. I spoke with President Xi. We had a great talk. He's working very hard, I have to say. He's working very, very hard. And if you can count on the reports coming out of China, that spread has gone down quite a bit. The infection seems to have gone down over the last two days. As opposed to getting larger, it's actually gotten smaller. In one instance where we think we can be -- it's somewhat reliable, it seems to have gotten quite a bit smaller... We’re going to be pretty soon at only five people. And we could be at just one or two people over the next short period of time. ... I want you to understand something that shocked me when I saw it that -- and I spoke with Dr. Fauci on this, and I was really amazed, and I think most people are amazed to hear it: The flu, in our country, kills from 25,000 people to 69,000 people a year. That was shocking to me. And, so far, if you look at what we have with the 15 people and their recovery, one is -- one is pretty sick but hopefully will recover, but the others are in great shape. But think of that: 25,000 to 69,000. Over the last 10 years, we've lost 360,000. These are people that have died from the flu -- from what we call the flu. "Hey, did you get your flu shot?" And that's something. Now, what we've done is we've stopped non-U.S. citizens from coming into America from China. That was done very early on. We're screening people, and we have been, at a very high level -- screening people coming into the country from infected areas. We have in quarantine those infected and those at risk. We have a lot of great quarantine facilities. We're rapidly developing a vaccine, and they can speak to you -- the professionals can speak to you about that. The vaccine is coming along well. And in speaking to the doctors, we think this is something that we can develop fairly rapidly, a vaccine for the future, and coordinate with the support of our partners. We have great relationships with all of the countries that we're talking about. Some fairly large number of countries. Some it's one person, and many countries have no problem whatsoever. And we'll see what happens. But we're very, very ready for this, for anything -- whether it's going to be a breakout of larger proportions or whether or not we're -- you know, we're at that very low level, and we want to keep it that way. So we're at the low level. As they get better, we take them off the list, so that we're going to be pretty soon at only five people. And we could be at just one or two people over the next short period of time. So we've had very good luck. The Johns Hopkins, I guess -- is a highly respected, great place -- they did a study, comprehensive: "The Countries Best and Worst Prepared for an Epidemic." And the United States is now -- we're rated number one. We're rated number one for being prepared. This is a list of different countries. I don't want to get in your way, especially since you do such a good job. This is a list of the different countries. The United States is rated number one most prepared. United Kingdom, Netherlands, Australia, Canada, Thailand, Sweden, Denmark, South Korea, Finland.  ...  And what I've done is I'm going to be announcing, exactly right now, that I'm going to be putting our Vice President, Mike Pence, in charge. And Mike will be working with the professionals, doctors, and everybody else that's working. The team is brilliant. I spent a lot of time with the team over the last couple of weeks, but they're totally brilliant, and we're doing really well. And Mike is going to be in charge, and Mike will report back to me. But he's got a certain talent for this. ... We do have plans of a much -- on a much larger scale, should we need that. We're working with states, we're working with virtually every state. And we do have plans on a larger scale if we need it. We don't think we're going to need it, but, you know, you always have to be prepared. ... No, because we're ready for it. It is what it is. We're ready for it. We're really prepared. We have -- as I said, we've had -- we have the greatest people in the world. We're very ready for it. We hope it doesn't spread. There's a chance that it won't spread too, and there's a chance that it will, and then it's a question of at what level. So far, we've done a great job. When you have 15 people, with this whole world coming into the United States, and the 15 people are either better or close to being better, that's pretty good." </t>
  </si>
  <si>
    <t>On whether the Chinese communist party and President Xi has been forthcoming about coronavirus "Well, I can tell you this: I speak to him; I had a talk with him recently. And he is working so hard on this problem. He is working so hard. And they're very tough and very smart. And it's a significant -- it's a significant group of very talented people that are working. And they're calling up Dr. Fauci. They're calling up our people. We're dealing with them. We're giving them certain advice. We actually have -- through World Health, we have them over there also. And we have a lot of our people making up that group that went over there. No, he's working very hard. It would be very easy for me to say, you know -- it doesn't matter what I say, really. I can tell you, he is working -- I had a long talk with him the other night. He is working really, really hard. He wants it to go away from China and go away fast, and he wants to get back to business as usual. ... We're working with China. We just did the biggest trade deal in history. We did two of them. Between USMCA and the China deal, it's the biggest in history. The relationship with China is a very good one. And I can tell you that, again, President Xi is working really hard. He wants this problem solved."</t>
  </si>
  <si>
    <t>With North Carolina experiencing increased rate of infections, Trump flagged that Republicans may need to reconsider another venue for its GOP convention if safe distancing rules are not lifted in the state</t>
  </si>
  <si>
    <t>As the number of deaths close in on 100,000, Trump spends time at his golf course on Sat and Sun, resulting in social media reposting his criticisms of Obama when he played a round during the Ebola crisis.</t>
  </si>
  <si>
    <t>Trump "Great reviews on our handling of Covid 19, sometimes referred to as the China Virus. Ventilators, Testing, Medical Supply Distribution, we made a lot of Governors look very good - And got no credit for so doing. Most importantly, we helped a lot of great people!", "Nobody in 50 years has been WEAKER on China than Sleepy Joe Biden. He was asleep at the wheel. He gave them EVERYTHING they wanted, including rip-off Trade Deals. I am getting it all back!"</t>
  </si>
  <si>
    <t>Trump "Together we will vanquish the virus and America will rise from this crisis to new and even greater heights. No obstacle, no challenge and no threat is a match for the sheer determination of the American people." at a Memorial Day address in Baltimore despite the mayor urging him to cancel the visit, saying it woudl set the wrong example considering the city is still in lockdown.</t>
  </si>
  <si>
    <t>Politico reports: The National Republican Senatorial Committee distributed a detailed, 57-page memo…advising GOP candidates to address the coronavirus crisis by aggressively attacking China, Don't defend Trump, other than the China Travel Ban – attack China - the memo contains tactics and instructions that focus on three lines of attack: China covered up COVID-19, Democrats are soft on China and the Republicans will sanction China for letting the pandemic getting out of control.</t>
  </si>
  <si>
    <t>The memorial day w/e sees rise in politicising of masks, with Republicans largely not wearing them and Democrats largely wearing them, and political point scoring from Republicans that Democrats are scare mongering by wearing masks, while some Republican governors implore their constituents to wear masks and that doing so should not be a political statement.</t>
  </si>
  <si>
    <t>Trump tweets "Republicans feel that Social Media Platforms totally silence conservatives voices. We will strongly regulate, or close them down, before we can ever allow this to happen."  Kayleigh McEnany, the White House press secretary, told reporters traveling aboard Air Force One on Wednesday that Trump soon planned to sign an executive order on social media companies.  In 2018 a federal judge ruled the president could not block people on Twitter, because it violates their first amendment rights to participate in a "public forum"</t>
  </si>
  <si>
    <t>Trump tweets "This might help explain why Trump doesn’t like to wear a mask in public." after Biden visits a memorial wearing a mask</t>
  </si>
  <si>
    <t>Kayleigh McEnany, while claiming that Trump was not shaming anyone with respect to his tweet about Biden says "It is a bit peculiar though that in his basement right next to his wife he's not wearing a mask but he's wearing one outdoors when he's socially distancing so I think that there was a discrepancy there." - scratching head...</t>
  </si>
  <si>
    <t>Trump suspends entry for foreigners who have been in Brazil within 14 days prior to seeking US admittance.  The new rules were to come into effect Thursday night, but were brought forward and implemented on Tuesday</t>
  </si>
  <si>
    <t>WHO officials cite China for its "openness" to the prospect of scientific inquiries involving foreign experts into the origins of the novel coronavirus, and also place a temporary suspension on the use of hydroxychloroquine from global studies citing concerns over health risks</t>
  </si>
  <si>
    <t>Trump referring to a second wave "We are going to put out the fires, we're not going to close the country, we're going to put out the fire. Whether it's an ember or it's a flame we're going to put it out."</t>
  </si>
  <si>
    <t>All 50 states have now sought to reopen, at least partially</t>
  </si>
  <si>
    <t xml:space="preserve">Trump tweets "Now that our Country is 'Transitioning back to Greatness', I am considering rescheduling the G-7, on the same or similar date, in Washington, D.C., at the legendary Camp David. The other members are also beginning their COMEBACK. It would be a great sign to all – normalization!" referring to the June G7 meeting which had previously been slated back in March to be held in July by videoconference.  </t>
  </si>
  <si>
    <t>Twitter flags a Trump tweet "There is NO WAY (ZERO!) that Mail-In Ballots will be anything less than substantially fraudulent. Mail boxes will be robbed, ballots will be forged &amp; even illegally printed out &amp; fraudulently signed. The Governor of California is sending Ballots to millions of people, anyone....." + "....living in the state, no matter who they are or how they got there, will get one. That will be followed up with professionals telling all of these people, many of whom have never even thought of voting before, how, and for whom, to vote. This will be a Rigged Election. No way!" to be false under its new "misleading information" policy designed to combat misinformation about coronavirus, singling this tweet out because it related to election integrity, Trump follows with a tweet ".@Twitter is now interfering in the 2020 Presidential Election. They are saying my statement on Mail-In Ballots, which will lead to massive corruption and fraud, is incorrect, based on fact-checking by Fake News CNN and the Amazon Washington Post...." + "....Twitter is completely stifling FREE SPEECH, and I, as President, will not allow it to happen!"  Twitter feels the heat for all sides, from conservative supporting Trump, and from critics saying that Twitter should be consistent and also call out the other baseless conspiracy theory about Joe Scarborough having killed his wife that Trump was also pushing that weekend.</t>
  </si>
  <si>
    <t>Trump signs an executive order targeting social media companies stating that it was to "defend free speech from one of the gravest dangers it has faced in American history. A small handful of social media monopolies controls a vast portion of all public and private communications in the United States. They've had unchecked power to censor, restrict, edit, shape, hide, alter, virtually any form of communication between private citizens and large public audiences. ...Imagine if your local phone companies tried to edit or censor what you said. Social media companies have far more power."</t>
  </si>
  <si>
    <t>WWII</t>
  </si>
  <si>
    <t>WWI</t>
  </si>
  <si>
    <t>Korean War</t>
  </si>
  <si>
    <t>Vietnam War</t>
  </si>
  <si>
    <t>Gulf War</t>
  </si>
  <si>
    <t>Conflict</t>
  </si>
  <si>
    <t>US Deaths</t>
  </si>
  <si>
    <t>% US Population</t>
  </si>
  <si>
    <t>Spanish-American War</t>
  </si>
  <si>
    <t>Philippine-American War</t>
  </si>
  <si>
    <t>War in Afghanistan</t>
  </si>
  <si>
    <t>Iraq War</t>
  </si>
  <si>
    <t>American Revolutionary War</t>
  </si>
  <si>
    <t>War of 1812</t>
  </si>
  <si>
    <t>American Civil War</t>
  </si>
  <si>
    <t>Mexican-American War</t>
  </si>
  <si>
    <t>COVID-19 Deaths</t>
  </si>
  <si>
    <t>Date COVID-19 Deaths passed this figure</t>
  </si>
  <si>
    <t>Leading Causes of Death in US</t>
  </si>
  <si>
    <t>Major US Conflicts</t>
  </si>
  <si>
    <t>Heart Disease</t>
  </si>
  <si>
    <t>Accidents</t>
  </si>
  <si>
    <t>Chronic Lower Respiratory Diseases</t>
  </si>
  <si>
    <t>Stroke</t>
  </si>
  <si>
    <t>Alzheimer's Disease</t>
  </si>
  <si>
    <t>Influenza and Pneumonia</t>
  </si>
  <si>
    <t>Suicide</t>
  </si>
  <si>
    <t>Leading Causes</t>
  </si>
  <si>
    <t>Kidney Disease (Nephritis, nephrotic syndrome and nephrosis)</t>
  </si>
  <si>
    <t>Daily Deaths</t>
  </si>
  <si>
    <t>US Epidemics</t>
  </si>
  <si>
    <t>1906-1907 Typhoid Fever (New York)</t>
  </si>
  <si>
    <t>1793 Yellow Fever (Philadelphia)</t>
  </si>
  <si>
    <t>1921-1925 Diptheria</t>
  </si>
  <si>
    <t>1981-1991 Measles</t>
  </si>
  <si>
    <t>2,000-10,000</t>
  </si>
  <si>
    <t>Epidemic</t>
  </si>
  <si>
    <t>US Disasters</t>
  </si>
  <si>
    <t>1900 Galveston Hurricane</t>
  </si>
  <si>
    <t>1899 San Ciriaco Hurricane</t>
  </si>
  <si>
    <t>1906 San Francisco Earthquake</t>
  </si>
  <si>
    <t>2001 September 11 Attacks</t>
  </si>
  <si>
    <t>2017 Hurricane Maria</t>
  </si>
  <si>
    <t>1928 Okeechobee Hurricane</t>
  </si>
  <si>
    <t>1941 Pearl Harbour</t>
  </si>
  <si>
    <t>1889 Johnstown Dam Flood</t>
  </si>
  <si>
    <t>1893 Cheniere Caminada Hurricane</t>
  </si>
  <si>
    <t>1980 Heat wave</t>
  </si>
  <si>
    <t>1871 Wildfire</t>
  </si>
  <si>
    <t>2005 Hurricane Katrina</t>
  </si>
  <si>
    <t>1904 PS General Slocum fire and sinking</t>
  </si>
  <si>
    <t>1943 HMT Rohna bombing and sinking</t>
  </si>
  <si>
    <t>1893 Sea Islands Hurricane</t>
  </si>
  <si>
    <t>1918 Cloquet wildfire</t>
  </si>
  <si>
    <t>1978 Jonestown mass suicide</t>
  </si>
  <si>
    <t>Peak</t>
  </si>
  <si>
    <t>1957-1958 H2N2 Flu Pandemic ("Asian Flu")</t>
  </si>
  <si>
    <t>10,000-50,000</t>
  </si>
  <si>
    <t>US seasonal flu deaths</t>
  </si>
  <si>
    <t>2017-2018 seasonal flu</t>
  </si>
  <si>
    <t>1952 Polio peak year of deaths</t>
  </si>
  <si>
    <t>COVID Deaths</t>
  </si>
  <si>
    <t>First Detected Death</t>
  </si>
  <si>
    <t>Now</t>
  </si>
  <si>
    <t>Current Deaths</t>
  </si>
  <si>
    <t>Avg Deaths / Day</t>
  </si>
  <si>
    <t>Year end at this rate (linear projection)</t>
  </si>
  <si>
    <t>Peak Deaths / Day</t>
  </si>
  <si>
    <t>1918-1919 H1N1 Flu Pandemic ("Spanish Flu")</t>
  </si>
  <si>
    <t>Believed to have originated in Kansas, origin still uncertain</t>
  </si>
  <si>
    <t xml:space="preserve">2009 H1N1 Flu Pandemic ("Swine Flu") </t>
  </si>
  <si>
    <t>1968 H3N2 Flu Pandemic ("Hong Kong Flu")</t>
  </si>
  <si>
    <t>Date COVID-19 Daily Deaths passed this death rate</t>
  </si>
  <si>
    <t>Date COVID-19 Daily Deaths passed deaths from this event</t>
  </si>
  <si>
    <t>Daily COVID-19 Deaths by Date</t>
  </si>
  <si>
    <t>% US Population at time</t>
  </si>
  <si>
    <t>Believed to have originated in Mexico</t>
  </si>
  <si>
    <t>Believed to have originated in China.</t>
  </si>
  <si>
    <t>Trump "I mean, nobody wants to do this.  It’s a brutal step.  'We’re going to close down your country.'  Who ever heard of a thing like this? But we would have had millions of people die if we didn’t do this.  Millions of people.  And I believe that, Mike.  I think — you know, in looking at things that we’ve been looking at over the last couple of days, I think — and, really, over the last couple of weeks — from the time we did it, shortly thereafter I said we made the right decision in closing down.  We made the right decision on borders, banning people coming in from China; banning, ultimately, people coming in from Europe. But we would have had millions of deaths instead of — it looks like we’ll be at about a 60,000 mark, which is 40,000 less than the lowest number thought of."</t>
  </si>
  <si>
    <t>Trump in answering this question "Mr. President, 50,000 people have died today.  You’re saying that you want credit for what the government has done.  Do you take any responsibility for these 50,000 deaths that have happened in this country?" His response: "I think we’ve done a great job.  As you know, minimal numbers were — minimal numbers were going to be 100,000 people.  Minimal numbers were going to be 100,000 people.  And we’re going to be, hopefully, far below that.  If we didn’t take quick action, you could have lost many millions of people."</t>
  </si>
  <si>
    <t>Trump " If we didn’t act quickly and smartly, we would have had, in my opinion and in the opinion of others, anywhere from 10 to 20 and maybe even 25 times the number of deaths.  We closed the border to China, meaning we put it on the ban — people coming in from China.  That was a very big moment.  As Dr. Fauci said, we saved thousands and thousands of lives when we did that.  And that’s true, but I think we would have had anywhere from 10 to 20 or 25 times the number of deaths if we didn’t act the way we did and also if we didn’t act swiftly.  So we’re very proud of our team and our task force and Mike.  Great job."</t>
  </si>
  <si>
    <t>Trump tweets "For all of the political hacks out there, if I hadn’t done my job well, &amp; early, we would have lost 1 1/2 to 2 Million People, as opposed to the 100,000 plus that looks like will be the number. That’s 15 to 20 times more than we will lose. I shut down entry from China very early!"</t>
  </si>
  <si>
    <t>Columbia Uni state, based on their modelling, that 35,000 lives would have been saved in the US if social distancing measures had begun just a week earlier than they actually did in Mid-March, warning of the risk of reopening too early, and 84% of lives could have been saved if social distancing measures had started two weeks earlier.  Trump has stated that if a second wave of the coronavirus was to hit the nation, he would not attempt to shut it down again.  In response to Columbia University's analysis, Trump attacked the Ivy League school as a "liberal, disgraceful institution."</t>
  </si>
  <si>
    <t>Imperial College release a report on the expected impact to lives of COVID-19 if no mitigation measures are taken.  It serves as an important catalyst to galvanise many governments around the world to begin taking the pandemic seriously.</t>
  </si>
  <si>
    <t>Road Fatalities</t>
  </si>
  <si>
    <t>Trump tweets "The W.H.O. really blew it. For some reason, funded largely by the United States, yet very China centric. We will be giving that a good look. Fortunately I rejected their advice on keeping our borders open to China early on. Why did they give us such a faulty recommendation?"</t>
  </si>
  <si>
    <t>Chinese authorities begin noticing cases of a mysterious disease</t>
  </si>
  <si>
    <t>CDC states that delays in rollout of coronavirus testing did not hinder the nation's response to the pandemic.  According to their analysis, coronavirus didn't begin circulating in the US until late Jan/early Feb.  According to the CDC, earlier testing would not have helped identify its spread.  The findings from the CDC that delayed testing did not have a negative impact on the US response was immediately recieved with skepticism and some criticism.  Howver, the analysis does undermine the narrative that some people in the US were infected in Dec/early Jan and note that travel restrictions such as from China and Europe did little to prevent the spread because community transmisssion was already occuring, undermining Trumps frequent references to saving millions of lives from the travel bans, particularly from China</t>
  </si>
  <si>
    <t>Trump "I really think the public has been incredible with what they — that’s one of the reasons we’re successful.  That’s one of the — if you call losing 80 or 90 thousand people "successful."  But it’s one of the reasons that we’re not at that high end of the plane as opposed to the low end of the plane. ...I used to say 65,000 —</t>
  </si>
  <si>
    <t>Trump "Not long ago, models predicted that between 1.5 million and 2.2 million people would have died in the United States without the mitigation.  Through our aggressive response and the remarkable commitment and bravery of American people, we have saved thousands and thousands of lives.  I can even make that, if you want, hundreds of thousands of lives.  People were thinking in terms of 1.5 million lives lost to 2.2 without the mitigation.  And hopefully, we’re going to come in below that 100,000 lives lost, which is a horrible number nevertheless.  It’s a horrible thing.  It could’ve been stopped.  It should’ve been stopped at source, but it wasn’t."</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</si>
  <si>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 ... It should be something — you know, think of it: We could save anywhere from a million to even a million-five.  And, I guess, if you think about it, we could save 2.1, 2.5 million lives, depending on what happens.  And with this invisible enemy, as we said, nobody knows what really happens, but we’ve learned a lot in the last two months."</t>
  </si>
  <si>
    <t>Trump "This plague should never have happened.  It could have been stopped, but people chose not to stop it. … And some of the facts are coming out, and we did all the right moves.  I’ll tell you, we did — we wouldn’t do — we were talking to Mike before.  If we didn’t do what we did, you would’ve had a million people die, maybe more.  Maybe 2 million people die.  And if you think that we’d be at 65 or 70 or 60 or whatever the final number will be — one is too many.  I always say it: One is far too many.  This should’ve never been allowed to happen.  It should’ve been stopped a long time ago, before it ever got here or to other countries."</t>
  </si>
  <si>
    <t>Trump "We are in a war.  This is a World War Two, this is a World War One — where, by the way, the war essentially ended because of a plague.  That was one of the worst ever.  They lost almost 100 million people.  But we’re in a big war. … I did it early, but I was the last person that wanted to close down one of the great economic — you can’t call it an experiment, but everything, I guess, in life is an experiment.  So I say experiments.  But one of the great economic stories in history.  I’m the last person who wanted to do it. But we did the right thing, because if we didn’t do it, you would have had a million people, a million and a half people, maybe 2 million people dead.  Now, we’re going toward 50, I’m hearing, or 60,000 people.  One is too many.  I always say it: One is too many.  But we’re going toward 50- or 60,000 people.  That’s at the lower — as you know, the low number was supposed to be 100,000 people.  We — we could end up at 50 to 60.  Okay?  It’s horrible.  If we didn’t do what we did, we would have had, I think, a million people, maybe 2 million people, maybe more than that. ... And many of the people that have this theory, “Oh, let’s — you know, maybe we could have just gone right through it,” I was — I was somebody that would have loved to have done that, but it wouldn’t have been sustainable.  You can’t lose a million people.  That’s more than — that’s almost double what we lost in the Civil War.  I use that as a guide.  Civil War: 600,000 people died.  So it’s not sustainable.  But it could have been much more than a million people. I mean, if you took a number and cut it half, and half, and in half again, you’d end up at 500,000 people — okay? — if you want to make a very conservative guesstimate.  Five hundred thousand people is not acceptable.  Is that a correct sort of an analogy? ... When we say 50 and they compare 50 to the 35 of the flu — because it averaged 35, 36,000 over a 10-year period.  It’s a lot.  Who would think that?  But we’re not talking about with the flu. ... And we’re still going to lose between 50 and 60. ... But, in this case, if we didn’t do anything, the number wouldn’t be 50 to 60,000.  The number would be a million people dead.  It would be a million-five, a million-two.  Maybe 700,000.  It would have been a number in — like that. ... But I just say this: If we would have done that, we would have lost anywhere from a million to more than 2 million people.  Now, with all of the death that we’ve seen — and 50- or 60,000 people, heading toward — right now it’s at 40.  But 50- or 60,000 people; probably over 50, from what I see.  But that’s with our guard up.  If we took our guard down and just said, “Okay, we’re just going to keep this open,” we would have lost millions of people.  Can you imagine? ... But if we didn’t do the moves that we made, you would have had a million, a million and a half, 2 million people dead.  So multiply that times 50; you’re talking about — you would have had 10 to 20 to 25 times more people dead than all of the people that we’ve been watching.  That’s not acceptable.  The 50,000 is not acceptable.  It’s so horrible.  But can you imagine multiplying that out by 20 or more?  It’s not acceptable."</t>
  </si>
  <si>
    <t>Trump "We’re talking about death.  We’re talking about the greatest economy in the world.  One day I have to close it off.  And we did the right thing, because maybe it would have been 2 million people died instead of whatever that final number will be, which could be 60, could be 70, could be 75, could be 55.  Thousands of people have died. ... One of the reasons we’re so far below that number is because nobody thought the American people could be so disciplined.  Nobody thought it was possible.  And, I guess, when they watched us up here every day, and they watched other people, and they listened to their representatives and governors — nobody thought that the American people could be so disciplined.  They’ve been unbelievable. And because of that — so you have a minimum number of 100,000, and then you had the 2.2 number that, if we did nothing — if we did — just kept working, everybody go to work — people would be dropping dead on the subways.  No. If we would have lost a million people — take the 2.2 million and cut it in half.  Make it — cut it in more than half.  Make it a million people, okay?  Now take that number and cut it in half.  Make it 500,000 people.  That’s if we did nothing, right?  It’s unacceptable.  It’s too many people. So we have — we’ve spent more money on stimulus.  Who cares by comparison?  You take 2.2, you cut it in half, you cut it in half, you cut it in half — you keep cutting it in half.  I don’t care what number you choose — 500,000, 400,000.  Well, we’re going to have — we’re talking 50, 60, 65 [thousand].  Maybe.  Maybe.  But if we would have done what one country tried — and it has been very tough for them.  You know that.  Very, very nasty.  Very tough.  But if we would have done that here — And again, you got to remember: UK tried it.  And I was a little surprised.  And I watched it.  They were going about — what, two weeks?  And they said, “We got to stop.”  Because it was — they were going to have a whole country infected. So, with all of that being said, we got to get back to work.  We got to get — we got to get our country open.  But we could have lost 2 million people.  We could have lost 1 million people.  We could have lost a half a million people. If we would’ve lost 500,000 people — and I’ll say this also: From the standpoint of being President and Vice President, and we’re up there and we’re doing that herd, and we’re going to bullet through — do you honestly think people like Jim and yourself and other people would’ve — Jeff — would have put up with it, as people are dying all over?  They would have said, “This man is crazy.”  Because the numbers, Tony, at a minimum, would have been many, many times greater than the numbers we’re talking about."</t>
  </si>
  <si>
    <t>Dr Birx "I think you know from that large blue mountain that you can see behind me — and I just want to thank the five or six international and domestic modelers from Harvard, from Columbia, from Northeastern, from Imperial who helped us tremendously.  It was their models that created the ability to see what these mitigations could do, how steeply they could depress the curve from that giant blue mountain down to that more stippled area. In their estimates, they had between 1.5 million and 2.2 million people in the United States succumbing to this virus without mitigation.  Yet, through their detailed studies and showing us what social distancing would do, what people — what would happen if people stayed home, what would happen if people were careful every day to wash their hands and worry about touching their faces, that what an extraordinary thing this could be if every American followed these.  And it takes us to that stippled mountain that’s much lower — a hill, actually — down to 100,000 to 200,000 deaths, which is still way too much." Dr Fauci "The modeling that Dr. Birx showed predicts that number that you saw.  We don’t accept that number that that’s what’s going to be.  We’re going to be doing everything we can to get it even significantly below that. So, you know, I don’t want it to be a mixed message.  This is the thing that we need to anticipate, but that doesn’t mean that that’s what we’re going to accept.  We want to do much, much better than that. ... as sobering a number as that is, we should be prepared for it.  Is it going to be that much?  I hope not.  And I think the more we push on the mitigation, the less likelihood it would be that number.  But as being realistic, we need to prepare ourselves that that is a possibility, that that’s what we will see."</t>
  </si>
  <si>
    <t>Trump on the projections "They’re very sobering, yeah.  When you see 100,000 people, that’s a — and that’s at a minimum number. Now, what we’re looking at — and as many people as we’re talking about — whatever we can do under that number and substantially under that number, we’ve done that through really great mitigation.  We’ve done that through a lot of very dedicated American people that, you know, 100,000 is — is, according to modeling, a very low number. In fact, when I first saw the number — and I asked this a while ago — they said it’s unlikely you’ll be able to attain that.  I think we’re doing better than that.  Now, I think.  We have to see.  But I think we’re doing better than that.  Because, as John said, that would be, you know, a lot of lives taking place over a relatively short period of time. But think of what would have happened if we didn’t do anything.  I mean, I’ve had many friends, business people, people with great, actually, common sense — they said, “Why don’t we ride it out?”  A lot of people have said.  A lot of people have thought about it.  “Ride it out.  Don’t do anything, just ride it out and think of it as the flu.”  But it’s not the flu.  It’s vicious. ... So we would have seen things had we done nothing.  But for a long while, a lot of people were asking that question, I think, right?  I was asking it also.  I mean, a lot of people were saying, “Well, let’s just ride it out.”  This is not to be ridden out because then you would have been looking at potentially 2.2 million people or more.  2.2 million people in a relatively short period of time. If you remember, they were looking at that concept.  It’s a a concept, I guess.  You know, it’s concept if you — if you don’t mind death.  A lot of death.  But they were looking at that in the UK.  Remember?  They were very much looking at it.  And all of a sudden, they went hard the other way because they started seeing things that weren’t good.  So they were — you know, they put themselves in a little bit of a problem. ... But that was something that everybody was talking about, Steve, like, “just don’t do anything.”  “Don’t do anything.  Forget about everything.  Just ride it out.”  They used the expression, “Ride it out.”  We would have had, at a minimum, 1.5, 1.6, but you would have had perhaps more than 2.2 million people dying in a very short period of time.  And that would have been a number that — the likes of which we’ve never seen."</t>
  </si>
  <si>
    <t>The number of US deaths from COVID-19 surpass the 3,300 Chinese deaths from COVID-19</t>
  </si>
  <si>
    <t>The number of US deaths from COVID-19 surpass the 2,977 victims and 19 hijackers of the 9/11 attacks of 2001</t>
  </si>
  <si>
    <t>The number of US deaths from COVID-19 surpass the 2,216 US deaths of the War in Afghanistan, to-date</t>
  </si>
  <si>
    <t>The number of US deaths from COVID-19 surpass the 4,497 US deaths of the Iraq War</t>
  </si>
  <si>
    <t>The number of US deaths from COVID-19 surpass the 10,771 deaths in the US from typhoid fever in 1906-1907</t>
  </si>
  <si>
    <t>The number of US deaths from COVID-19 surpass the 12,469 deaths in the US from the H1N1 "Swine flu" of 2009-2010. Some estimates put the real death toll at 18,000.</t>
  </si>
  <si>
    <t>The number of US deaths from COVID-19 surpass the 25,000 deaths of the American Revolutionary War</t>
  </si>
  <si>
    <t>The number of US deaths from COVID-19 surpass the 36,516 US deaths of the Korean war</t>
  </si>
  <si>
    <t>The number of US deaths from COVID-19 surpass the annual US road fatalities of 37,000 - 38,000 per year</t>
  </si>
  <si>
    <t>The number of US deaths from COVID-19 surpass the 58,220 US deaths of the Vietnam war</t>
  </si>
  <si>
    <t>The number of US deaths from COVID-19 surpass the 61,000 US deaths from the seasonal flu in 2017-2018, normally the number of deaths from the seasonal flu in the US is between 10,000 to 50,000 per season.</t>
  </si>
  <si>
    <t>The number of US deaths from COVID-19 surpass the 100,000 deaths in the US from the H3N2 flu pandemic of 1968.</t>
  </si>
  <si>
    <t>Trump announces that the US is terminating its relationship with the WHO three weeks ahead of a deadline he set earlier this month on 19/5. "Chinese officials ignored their reporting obligations to the World Health Organization and pressured the World Health Organization to mislead the world when the virus was first discovered by Chinese authorities. Countless lives have been taken and profound economic hardship has been inflicted all around the globe. ... China has total control over the World Health Organization ... Because they have failed to make the requested and greatly needed reforms, we will be today terminating our relationship with the World Health Organization and redirecting those funds to other worldwide and deserving, urgent global public health needs ... world needs answers from China on the virus. We must have transparency."</t>
  </si>
  <si>
    <t>Following the death of George Floyd at the hands of police 25/5, there have been ongoing protests and riots around the country, but focus in Minneapolis. Trump tweets "....These THUGS are dishonoring the memory of George Floyd, and I won’t let that happen. Just spoke to Governor Tim Walz and told him that the Military is with him all the way. Any difficulty and we will assume control but, when the looting starts, the shooting starts. Thank you!", echoing a 1960's phrase used by Miami Police Chief Walter Headley.  Twitter hides the tweet behind a flag saying that it "glorifies violence", ratcheting up the war between Trump, conservatives, and Twitter and social platforms in general.  Trump tweets in response "Twitter is doing nothing about all of the lies &amp; propaganda being put out by China or the Radical Left Democrat Party. They have targeted Republicans, Conservatives &amp; the President of the United States."</t>
  </si>
  <si>
    <t>of population</t>
  </si>
  <si>
    <t>Course grained projections based on broader rates of infection and recovery which may not be as applicable in the US context</t>
  </si>
  <si>
    <t>Fauci states that he has not spoken to Trump in over 2 weeks, raising fears that he has been frozen out of the WH response to coronavirus</t>
  </si>
  <si>
    <t>Trump announces that he is delaying the G7 until September and wants additional countries to attend - Russia, South Korea, Australia, and India as potential invitees.  Canada's PM, Justin Trudeau has pushed back on an invite being extended to Russia.</t>
  </si>
  <si>
    <t>2019 figures from the Gun Violence Archive</t>
  </si>
  <si>
    <t>Trump keeps escalating tensions following the death of George Floyd in lead up to elections and to deflect from the coronavirus response to date.  Widespread protests continue to grow and engulf US cities</t>
  </si>
  <si>
    <t>Recordings of WHO officials complaining in meetings during the week of 6/1 that Beijing was not sharing the data needed to evaluate the risk of the virus are leaked.  It was not until 20/1 that China confirmed that coronavirus was contagious.</t>
  </si>
  <si>
    <t>Origin unknown, first detected in Hong Kong</t>
  </si>
  <si>
    <t>Chinese state media announced the illness was the result of a new coronavirus but said it was not contagious</t>
  </si>
  <si>
    <t>WHO report preliminary Chinese studies suggest no clear evidence of human to human transmission, but stated that it was still an strong possibility</t>
  </si>
  <si>
    <t>Chines authorities lock down Wuhan, by which time at least 5 million residents had left before the lunar new year holiday and the city's hospitals were by this tme flooded with patients, and cases appearing across the region.</t>
  </si>
  <si>
    <t>China confirms that coronavirus was contagious.</t>
  </si>
  <si>
    <t>Chinese authorities install temperature checkpoints at the airport, train stations, and bus terminals in Wuhan.</t>
  </si>
  <si>
    <t>Trump "Germany and the United States are the two best in deaths per 100,000 people, which, frankly, to me, that’s perhaps the most important number there is.".  While not the worst, at this moment, the US has a worse death rate per 100,000 than the world average and it is by no means close to being among the two best .</t>
  </si>
  <si>
    <t>Gun Violence Deaths in US (2019)</t>
  </si>
  <si>
    <t>Death from mass shootings (2019)</t>
  </si>
  <si>
    <t>Death by US law enforcement (2015)</t>
  </si>
  <si>
    <t>Trump tweets "Why didn’t the I.G., who spent 8 years with the Obama Administration (Did she Report on the failed H1N1 Swine Flu debacle where 17,000 people died?), want to talk to the Admirals, Generals, V.P. &amp; others in charge, before doing her report. Another Fake Dossier!" Christi Grimm, the IG for the Department of Health and Human Services had published a survey of US hospital's preparedness for the pandemic and found many would struggle to treat the expected number of cases due to shortages in PPE and poor testing capacity.  The WH removes her, announcing that she was being replaced by Jason Weida.  Rep Jim Jordon (R-OH) claims that any allegation that Grimm was removed "for issuing a report is simply incorrect."  In total, 5 IGs have been removed by Trump as at the end of May.</t>
  </si>
  <si>
    <t>Initial pop est from 2.1M to 18M with over 90% killed from colonisation</t>
  </si>
  <si>
    <t>90%+</t>
  </si>
  <si>
    <t>Native North American Genocide</t>
  </si>
  <si>
    <t>Dr Brenda Fitzgerald resigns from the CDC after it was revealed that she held shares in tobacco companies.</t>
  </si>
  <si>
    <t>Dr Robert Redfield appointed CDC director by WH despite concerns over his conservative religious views related to AIDs policies, a history of research misconduct including when employed by the US Army and researching an AIDS/HIV vaccine, and his lack of experience in leading a public health agency</t>
  </si>
  <si>
    <t>A fall in unemployment for white and Hispanic people, a rise in unemployment for African-American and Asian people has Trump declaring "victory" with the economy a "rocketship" and "an affirmation of all the work we've been doing" and taking credit for the jobs invoking George Floyd "a great day for him, it’s a great day for everybody," as protests head into their second weekend.  Trump tweets "Really Big Jobs Report. Great going President Trump (kidding but true)!" April had seen the worst jobless rate since monthly record keeping began in 1948.  The US economy added 2.5M jobs in May as states began to ease lockdown restrictions, after 1.4M jobs lost in March and 20.7M positions vanished in April.</t>
  </si>
  <si>
    <t>Dr Brenda Fitzgerald appointed head of CDC by WH despite concerns expressed of her conflicts of interest with her stock portfolio and need to recuse herself on most matters of importance related to her office.</t>
  </si>
  <si>
    <t>Annual Deaths in Custody (estimate)</t>
  </si>
  <si>
    <t>From Guardian report into death by law enforcement 2015, also see https://mappingpoliceviolence.org/nationaltrends</t>
  </si>
  <si>
    <t>Congressional hearing grills the head of the CDC, Dr Robert Redfield, where he claims "There was never a moment in this nation when any health department couldn't get the test."  This was refuted by Jaime Herrera Beutler, a Republican congresswoman from Washington.  Leaks from the CDC paint a picture of the organisation obsessed with controlling the messaging and whitewashing what goes out to the public to support the Trump agenda rather than providing an honest picture of what is actually happening.</t>
  </si>
  <si>
    <t>A number of ex-military commanders and prominent republicans including Colin Powell and Senator Lisa Murkowski, George Bush and his brother Jeb, and Cindy McCain, widow of Senator John McCain all have come out to say they will not vote for Trump and some endorsing Biden.</t>
  </si>
  <si>
    <t>Dr Kerkhove attempts to explain her comments after a huge wave of pushback from around the world, so clarified that studies show ~16% of the population may be asymptomatic, but some models suggest as much as 40% of global transmission may be due to asymptomatic individuals, but there was still much unknown and much to be answered.</t>
  </si>
  <si>
    <t>Dr Maria Van Kerkhove, a WHO scientist in an interview draws a distinction between asymptomatic and presymptomatic infections and states "From the data we have, it still seems to be rare that an asymptomatic person actually transmits onward to a secondary individual, it's very rare."</t>
  </si>
  <si>
    <t>A CDC survey conducted in May of 502 adults found 39% had misused cleaning products such as bleach and disenfectants, and 25% had reported an adverse health effect that they believed was a result of the product. 19% had used bleach on food, 18% had applied household cleaners on skin, 10% had misted themselves with disinfectant sprays, 6% had inhaled vapors from the cleaners, and 4% had drunk or gargled diluted bleach solutions, soapy water, or other disinfectants.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</si>
</sst>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2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CFF"/>
        <bgColor indexed="64"/>
      </patternFill>
    </fill>
    <fill>
      <patternFill patternType="solid">
        <fgColor rgb="FFFFE7FF"/>
        <bgColor indexed="64"/>
      </patternFill>
    </fill>
    <fill>
      <patternFill patternType="solid">
        <fgColor rgb="FFD5B9FF"/>
        <bgColor indexed="64"/>
      </patternFill>
    </fill>
    <fill>
      <patternFill patternType="solid">
        <fgColor rgb="FFE8D9FF"/>
        <bgColor indexed="64"/>
      </patternFill>
    </fill>
  </fills>
  <borders count="2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59">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8" xfId="0" applyNumberForma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9" xfId="0" applyNumberFormat="1" applyFont="1" applyFill="1" applyBorder="1"/>
    <xf numFmtId="0" fontId="9" fillId="0" borderId="0" xfId="0" applyFont="1" applyFill="1"/>
    <xf numFmtId="171" fontId="0" fillId="0" borderId="0" xfId="0" applyNumberFormat="1"/>
    <xf numFmtId="170" fontId="0" fillId="0" borderId="11" xfId="0" applyNumberFormat="1" applyBorder="1"/>
    <xf numFmtId="0" fontId="0" fillId="4" borderId="0" xfId="0" applyFill="1"/>
    <xf numFmtId="0" fontId="0" fillId="16" borderId="7" xfId="0" applyFill="1" applyBorder="1"/>
    <xf numFmtId="14" fontId="0" fillId="0" borderId="0" xfId="0" applyNumberFormat="1" applyBorder="1"/>
    <xf numFmtId="164" fontId="9" fillId="4" borderId="3" xfId="0" applyNumberFormat="1" applyFont="1" applyFill="1" applyBorder="1"/>
    <xf numFmtId="3" fontId="9" fillId="4" borderId="5" xfId="0" applyNumberFormat="1" applyFont="1" applyFill="1" applyBorder="1"/>
    <xf numFmtId="3" fontId="9" fillId="4" borderId="15" xfId="0" applyNumberFormat="1" applyFont="1" applyFill="1" applyBorder="1" applyAlignment="1">
      <alignment horizontal="center"/>
    </xf>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170" fontId="0" fillId="18" borderId="14" xfId="0" applyNumberFormat="1" applyFill="1" applyBorder="1"/>
    <xf numFmtId="171" fontId="0" fillId="18" borderId="4"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0" fontId="0" fillId="2" borderId="0" xfId="0" applyFill="1"/>
    <xf numFmtId="14" fontId="0" fillId="4" borderId="20" xfId="0" applyNumberFormat="1" applyFill="1" applyBorder="1"/>
    <xf numFmtId="14" fontId="0" fillId="15" borderId="21" xfId="0" applyNumberFormat="1" applyFill="1" applyBorder="1"/>
    <xf numFmtId="14" fontId="0" fillId="16" borderId="21" xfId="0" applyNumberFormat="1" applyFill="1" applyBorder="1"/>
    <xf numFmtId="14" fontId="0" fillId="10" borderId="21" xfId="0" applyNumberFormat="1" applyFill="1" applyBorder="1"/>
    <xf numFmtId="14" fontId="0" fillId="4" borderId="21" xfId="0" applyNumberFormat="1" applyFill="1" applyBorder="1"/>
    <xf numFmtId="14" fontId="0" fillId="0" borderId="21" xfId="0" applyNumberFormat="1" applyFill="1" applyBorder="1"/>
    <xf numFmtId="14" fontId="0" fillId="8" borderId="21" xfId="0" applyNumberFormat="1" applyFill="1" applyBorder="1"/>
    <xf numFmtId="171" fontId="11" fillId="0" borderId="7" xfId="0" applyNumberFormat="1" applyFont="1" applyBorder="1"/>
    <xf numFmtId="14" fontId="0" fillId="8" borderId="14" xfId="0" applyNumberFormat="1" applyFill="1" applyBorder="1"/>
    <xf numFmtId="171" fontId="12" fillId="0" borderId="7" xfId="0" applyNumberFormat="1" applyFont="1" applyBorder="1"/>
    <xf numFmtId="166" fontId="0" fillId="9" borderId="0" xfId="0" applyNumberFormat="1" applyFill="1" applyBorder="1"/>
    <xf numFmtId="0" fontId="0" fillId="19" borderId="23" xfId="0" applyFill="1" applyBorder="1"/>
    <xf numFmtId="3" fontId="0" fillId="19" borderId="23" xfId="0" applyNumberFormat="1" applyFill="1" applyBorder="1"/>
    <xf numFmtId="3" fontId="0" fillId="20" borderId="0" xfId="0" applyNumberFormat="1" applyFill="1"/>
    <xf numFmtId="3" fontId="0" fillId="21" borderId="23" xfId="0" applyNumberFormat="1" applyFill="1" applyBorder="1"/>
    <xf numFmtId="3" fontId="0" fillId="22" borderId="0" xfId="0" applyNumberFormat="1" applyFill="1"/>
    <xf numFmtId="164" fontId="0" fillId="9" borderId="2" xfId="0" applyNumberFormat="1" applyFill="1" applyBorder="1"/>
    <xf numFmtId="17" fontId="0" fillId="0" borderId="0" xfId="0" applyNumberFormat="1" applyFill="1"/>
    <xf numFmtId="14" fontId="0" fillId="0" borderId="12" xfId="0" applyNumberFormat="1" applyFill="1" applyBorder="1"/>
    <xf numFmtId="3" fontId="0" fillId="21" borderId="20" xfId="0" applyNumberFormat="1" applyFill="1" applyBorder="1"/>
    <xf numFmtId="0" fontId="0" fillId="19" borderId="0" xfId="0" applyFill="1" applyBorder="1"/>
    <xf numFmtId="3" fontId="0" fillId="9" borderId="2" xfId="0" applyNumberFormat="1" applyFill="1" applyBorder="1"/>
    <xf numFmtId="3" fontId="0" fillId="22" borderId="0" xfId="0" applyNumberFormat="1" applyFill="1" applyBorder="1"/>
    <xf numFmtId="3" fontId="0" fillId="20" borderId="0" xfId="0" applyNumberFormat="1" applyFill="1" applyBorder="1"/>
    <xf numFmtId="0" fontId="5" fillId="0" borderId="0" xfId="1"/>
    <xf numFmtId="0" fontId="4" fillId="0" borderId="0" xfId="0" applyFont="1"/>
    <xf numFmtId="3" fontId="0" fillId="2" borderId="0" xfId="0" applyNumberFormat="1" applyFill="1"/>
    <xf numFmtId="0" fontId="0" fillId="2" borderId="8" xfId="0" applyFill="1" applyBorder="1"/>
    <xf numFmtId="14" fontId="0" fillId="2" borderId="8" xfId="0" applyNumberFormat="1" applyFill="1" applyBorder="1"/>
    <xf numFmtId="3" fontId="0" fillId="6" borderId="0" xfId="0" applyNumberFormat="1" applyFill="1"/>
    <xf numFmtId="14" fontId="0" fillId="6" borderId="0" xfId="0" applyNumberFormat="1" applyFill="1"/>
    <xf numFmtId="3" fontId="0" fillId="6" borderId="0" xfId="0" applyNumberFormat="1" applyFill="1" applyBorder="1"/>
    <xf numFmtId="10" fontId="0" fillId="6" borderId="0" xfId="0" applyNumberFormat="1" applyFill="1"/>
    <xf numFmtId="14" fontId="0" fillId="6" borderId="8" xfId="0" applyNumberFormat="1" applyFill="1" applyBorder="1"/>
    <xf numFmtId="0" fontId="0" fillId="6" borderId="8" xfId="0" applyFill="1" applyBorder="1"/>
    <xf numFmtId="0" fontId="0" fillId="0" borderId="0" xfId="0" applyFont="1"/>
    <xf numFmtId="3" fontId="0" fillId="0" borderId="8" xfId="0" applyNumberFormat="1" applyFill="1" applyBorder="1"/>
    <xf numFmtId="0" fontId="0" fillId="0" borderId="8" xfId="0" applyFill="1" applyBorder="1"/>
    <xf numFmtId="3" fontId="0" fillId="6" borderId="8" xfId="0" applyNumberFormat="1" applyFill="1" applyBorder="1"/>
    <xf numFmtId="3" fontId="0" fillId="6" borderId="0" xfId="0" applyNumberFormat="1" applyFill="1" applyAlignment="1">
      <alignment horizontal="right"/>
    </xf>
    <xf numFmtId="0" fontId="0" fillId="6" borderId="0" xfId="0" applyFill="1" applyAlignment="1">
      <alignment horizontal="right"/>
    </xf>
    <xf numFmtId="3" fontId="0" fillId="6" borderId="8" xfId="0" applyNumberFormat="1" applyFill="1" applyBorder="1" applyAlignment="1">
      <alignment horizontal="right"/>
    </xf>
    <xf numFmtId="3" fontId="0" fillId="0" borderId="0" xfId="0" applyNumberFormat="1" applyAlignment="1">
      <alignment horizontal="right"/>
    </xf>
    <xf numFmtId="3" fontId="0" fillId="0" borderId="8" xfId="0" applyNumberFormat="1" applyBorder="1" applyAlignment="1">
      <alignment horizontal="right"/>
    </xf>
    <xf numFmtId="3" fontId="0" fillId="0" borderId="0" xfId="0" applyNumberFormat="1" applyBorder="1" applyAlignment="1">
      <alignment horizontal="right"/>
    </xf>
    <xf numFmtId="0" fontId="0" fillId="0" borderId="8" xfId="0" applyFont="1" applyBorder="1"/>
    <xf numFmtId="3" fontId="0" fillId="0" borderId="8" xfId="0" applyNumberFormat="1" applyFont="1" applyBorder="1" applyAlignment="1">
      <alignment horizontal="right"/>
    </xf>
    <xf numFmtId="0" fontId="0" fillId="6" borderId="0" xfId="0" applyFont="1" applyFill="1"/>
    <xf numFmtId="3" fontId="0" fillId="6" borderId="0" xfId="0" applyNumberFormat="1" applyFont="1" applyFill="1" applyAlignment="1">
      <alignment horizontal="right"/>
    </xf>
    <xf numFmtId="3" fontId="0" fillId="0" borderId="12" xfId="0" applyNumberFormat="1" applyBorder="1"/>
    <xf numFmtId="14" fontId="0" fillId="2" borderId="0" xfId="0" applyNumberFormat="1" applyFill="1" applyBorder="1"/>
    <xf numFmtId="14" fontId="0" fillId="2" borderId="8" xfId="0" applyNumberFormat="1" applyFont="1" applyFill="1" applyBorder="1"/>
    <xf numFmtId="3" fontId="0" fillId="2" borderId="8" xfId="0" applyNumberFormat="1" applyFont="1" applyFill="1" applyBorder="1"/>
    <xf numFmtId="0" fontId="4" fillId="0" borderId="8" xfId="0" applyFont="1" applyBorder="1" applyAlignment="1">
      <alignment wrapText="1"/>
    </xf>
    <xf numFmtId="0" fontId="0" fillId="0" borderId="0" xfId="0" applyAlignment="1">
      <alignment wrapText="1"/>
    </xf>
    <xf numFmtId="0" fontId="0" fillId="0" borderId="8" xfId="0" applyBorder="1" applyAlignment="1">
      <alignment wrapText="1"/>
    </xf>
    <xf numFmtId="0" fontId="4" fillId="0" borderId="1" xfId="0" applyFont="1" applyBorder="1" applyAlignment="1">
      <alignment wrapText="1"/>
    </xf>
    <xf numFmtId="0" fontId="4" fillId="0" borderId="7" xfId="0" applyFont="1" applyBorder="1" applyAlignment="1">
      <alignment wrapText="1"/>
    </xf>
    <xf numFmtId="0" fontId="4" fillId="0" borderId="2" xfId="0" applyFont="1" applyBorder="1" applyAlignment="1">
      <alignment wrapText="1"/>
    </xf>
    <xf numFmtId="14" fontId="0" fillId="0" borderId="3" xfId="0" applyNumberFormat="1" applyBorder="1"/>
    <xf numFmtId="0" fontId="4" fillId="0" borderId="0" xfId="0" applyFont="1" applyBorder="1"/>
    <xf numFmtId="0" fontId="4" fillId="0" borderId="3" xfId="0" applyFont="1" applyBorder="1"/>
    <xf numFmtId="165" fontId="0" fillId="6" borderId="0" xfId="0" applyNumberFormat="1" applyFill="1"/>
    <xf numFmtId="170" fontId="0" fillId="2" borderId="0" xfId="0" applyNumberFormat="1" applyFill="1"/>
    <xf numFmtId="169" fontId="0" fillId="6" borderId="0" xfId="0" applyNumberFormat="1" applyFill="1"/>
    <xf numFmtId="1" fontId="0" fillId="2" borderId="0" xfId="0" applyNumberFormat="1" applyFill="1"/>
    <xf numFmtId="0" fontId="0" fillId="6" borderId="0" xfId="0" applyFill="1" applyAlignment="1">
      <alignment horizontal="left" indent="1"/>
    </xf>
    <xf numFmtId="0" fontId="4" fillId="0" borderId="0"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0" fillId="0" borderId="0" xfId="0" applyFont="1" applyBorder="1" applyAlignment="1">
      <alignment wrapText="1"/>
    </xf>
    <xf numFmtId="0" fontId="0" fillId="0" borderId="0" xfId="0" applyAlignment="1"/>
    <xf numFmtId="17" fontId="0" fillId="2" borderId="0" xfId="0" applyNumberFormat="1" applyFill="1"/>
    <xf numFmtId="14" fontId="0" fillId="0" borderId="22"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2">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8D9FF"/>
      <color rgb="FFD5B9FF"/>
      <color rgb="FFC39BFF"/>
      <color rgb="FFFFE7FF"/>
      <color rgb="FFFFCCFF"/>
      <color rgb="FFC39BE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43952.615477430554</c:v>
                </c:pt>
                <c:pt idx="1">
                  <c:v>43955.615477430554</c:v>
                </c:pt>
                <c:pt idx="2">
                  <c:v>43958.615477430554</c:v>
                </c:pt>
                <c:pt idx="3">
                  <c:v>43961.615477430554</c:v>
                </c:pt>
                <c:pt idx="4">
                  <c:v>43964.615477430554</c:v>
                </c:pt>
                <c:pt idx="5">
                  <c:v>43967.615477430554</c:v>
                </c:pt>
                <c:pt idx="6">
                  <c:v>43970.615477430554</c:v>
                </c:pt>
                <c:pt idx="7">
                  <c:v>43973.615477430554</c:v>
                </c:pt>
                <c:pt idx="8">
                  <c:v>43976.615477430554</c:v>
                </c:pt>
                <c:pt idx="9">
                  <c:v>43979.615477430554</c:v>
                </c:pt>
                <c:pt idx="10">
                  <c:v>43982.615477430554</c:v>
                </c:pt>
                <c:pt idx="11">
                  <c:v>43985.615477430554</c:v>
                </c:pt>
                <c:pt idx="12">
                  <c:v>43988.615477430554</c:v>
                </c:pt>
                <c:pt idx="13">
                  <c:v>43991.615477430554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43952.615477430554</c:v>
                </c:pt>
                <c:pt idx="1">
                  <c:v>43955.615477430554</c:v>
                </c:pt>
                <c:pt idx="2">
                  <c:v>43958.615477430554</c:v>
                </c:pt>
                <c:pt idx="3">
                  <c:v>43961.615477430554</c:v>
                </c:pt>
                <c:pt idx="4">
                  <c:v>43964.615477430554</c:v>
                </c:pt>
                <c:pt idx="5">
                  <c:v>43967.615477430554</c:v>
                </c:pt>
                <c:pt idx="6">
                  <c:v>43970.615477430554</c:v>
                </c:pt>
                <c:pt idx="7">
                  <c:v>43973.615477430554</c:v>
                </c:pt>
                <c:pt idx="8">
                  <c:v>43976.615477430554</c:v>
                </c:pt>
                <c:pt idx="9">
                  <c:v>43979.615477430554</c:v>
                </c:pt>
                <c:pt idx="10">
                  <c:v>43982.615477430554</c:v>
                </c:pt>
                <c:pt idx="11">
                  <c:v>43985.615477430554</c:v>
                </c:pt>
                <c:pt idx="12">
                  <c:v>43988.615477430554</c:v>
                </c:pt>
                <c:pt idx="13">
                  <c:v>43991.615477430554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53.571428571428569</c:v>
                </c:pt>
                <c:pt idx="1">
                  <c:v>107.14285714285714</c:v>
                </c:pt>
                <c:pt idx="2">
                  <c:v>214.28571428571428</c:v>
                </c:pt>
                <c:pt idx="3">
                  <c:v>428.57142857142856</c:v>
                </c:pt>
                <c:pt idx="4">
                  <c:v>857.14285714285711</c:v>
                </c:pt>
                <c:pt idx="5">
                  <c:v>1714.2857142857142</c:v>
                </c:pt>
                <c:pt idx="6">
                  <c:v>3428.5714285714284</c:v>
                </c:pt>
                <c:pt idx="7">
                  <c:v>6857.1428571428569</c:v>
                </c:pt>
                <c:pt idx="8">
                  <c:v>13714.285714285714</c:v>
                </c:pt>
                <c:pt idx="9">
                  <c:v>27428.571428571428</c:v>
                </c:pt>
                <c:pt idx="10">
                  <c:v>54857.142857142855</c:v>
                </c:pt>
                <c:pt idx="11">
                  <c:v>109714.28571428571</c:v>
                </c:pt>
                <c:pt idx="12">
                  <c:v>219428.57142857142</c:v>
                </c:pt>
                <c:pt idx="13">
                  <c:v>438857.14285714284</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43952.615477430554</c:v>
                </c:pt>
                <c:pt idx="1">
                  <c:v>43955.615477430554</c:v>
                </c:pt>
                <c:pt idx="2">
                  <c:v>43958.615477430554</c:v>
                </c:pt>
                <c:pt idx="3">
                  <c:v>43961.615477430554</c:v>
                </c:pt>
                <c:pt idx="4">
                  <c:v>43964.615477430554</c:v>
                </c:pt>
                <c:pt idx="5">
                  <c:v>43967.615477430554</c:v>
                </c:pt>
                <c:pt idx="6">
                  <c:v>43970.615477430554</c:v>
                </c:pt>
                <c:pt idx="7">
                  <c:v>43973.615477430554</c:v>
                </c:pt>
                <c:pt idx="8">
                  <c:v>43976.615477430554</c:v>
                </c:pt>
                <c:pt idx="9">
                  <c:v>43979.615477430554</c:v>
                </c:pt>
                <c:pt idx="10">
                  <c:v>43982.615477430554</c:v>
                </c:pt>
                <c:pt idx="11">
                  <c:v>43985.615477430554</c:v>
                </c:pt>
                <c:pt idx="12">
                  <c:v>43988.615477430554</c:v>
                </c:pt>
                <c:pt idx="13">
                  <c:v>43991.615477430554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17.857142857142858</c:v>
                </c:pt>
                <c:pt idx="4">
                  <c:v>35.714285714285715</c:v>
                </c:pt>
                <c:pt idx="5">
                  <c:v>71.428571428571431</c:v>
                </c:pt>
                <c:pt idx="6">
                  <c:v>142.85714285714286</c:v>
                </c:pt>
                <c:pt idx="7">
                  <c:v>285.71428571428572</c:v>
                </c:pt>
                <c:pt idx="8">
                  <c:v>571.42857142857144</c:v>
                </c:pt>
                <c:pt idx="9">
                  <c:v>1142.8571428571429</c:v>
                </c:pt>
                <c:pt idx="10">
                  <c:v>2285.7142857142858</c:v>
                </c:pt>
                <c:pt idx="11">
                  <c:v>4571.4285714285716</c:v>
                </c:pt>
                <c:pt idx="12">
                  <c:v>9142.8571428571431</c:v>
                </c:pt>
                <c:pt idx="13">
                  <c:v>18285.714285714286</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Projections!$A$287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Projections!$P$286:$BG$286</c15:sqref>
                  </c15:fullRef>
                </c:ext>
              </c:extLst>
              <c:f>Projections!$P$286:$AM$286</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Projections!$P$287:$BG$287</c15:sqref>
                  </c15:fullRef>
                </c:ext>
              </c:extLst>
              <c:f>Projections!$P$287:$AM$287</c:f>
              <c:numCache>
                <c:formatCode>#,##0_ ;[Red]\-#,##0\ </c:formatCode>
                <c:ptCount val="2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numCache>
            </c:numRef>
          </c:val>
          <c:smooth val="0"/>
          <c:extLst>
            <c:ext xmlns:c16="http://schemas.microsoft.com/office/drawing/2014/chart" uri="{C3380CC4-5D6E-409C-BE32-E72D297353CC}">
              <c16:uniqueId val="{00000004-8BCC-427B-903C-670C749E04E9}"/>
            </c:ext>
          </c:extLst>
        </c:ser>
        <c:ser>
          <c:idx val="1"/>
          <c:order val="1"/>
          <c:tx>
            <c:strRef>
              <c:f>Projections!$A$311</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Projections!$P$286:$BG$286</c15:sqref>
                  </c15:fullRef>
                </c:ext>
              </c:extLst>
              <c:f>Projections!$P$286:$AM$286</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Projections!$P$311:$BG$311</c15:sqref>
                  </c15:fullRef>
                </c:ext>
              </c:extLst>
              <c:f>Projections!$P$311:$AM$311</c:f>
              <c:numCache>
                <c:formatCode>General</c:formatCode>
                <c:ptCount val="24"/>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2457600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Projections!$A$301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Projections!$P$286:$BG$286</c15:sqref>
                  </c15:fullRef>
                </c:ext>
              </c:extLst>
              <c:f>Projections!$P$286:$AM$286</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Projections!$P$301:$BG$301</c15:sqref>
                  </c15:fullRef>
                </c:ext>
              </c:extLst>
              <c:f>Projections!$P$301:$AM$301</c:f>
              <c:numCache>
                <c:formatCode>#,##0_ ;[Red]\-#,##0\ </c:formatCode>
                <c:ptCount val="24"/>
                <c:pt idx="0">
                  <c:v>1.75</c:v>
                </c:pt>
                <c:pt idx="1">
                  <c:v>3.5</c:v>
                </c:pt>
                <c:pt idx="2">
                  <c:v>7</c:v>
                </c:pt>
                <c:pt idx="3">
                  <c:v>14</c:v>
                </c:pt>
                <c:pt idx="4">
                  <c:v>28</c:v>
                </c:pt>
                <c:pt idx="5">
                  <c:v>56</c:v>
                </c:pt>
                <c:pt idx="6">
                  <c:v>112</c:v>
                </c:pt>
                <c:pt idx="7">
                  <c:v>224</c:v>
                </c:pt>
                <c:pt idx="8">
                  <c:v>448</c:v>
                </c:pt>
                <c:pt idx="9">
                  <c:v>896</c:v>
                </c:pt>
                <c:pt idx="10">
                  <c:v>1792</c:v>
                </c:pt>
                <c:pt idx="11">
                  <c:v>3584</c:v>
                </c:pt>
                <c:pt idx="12">
                  <c:v>7168</c:v>
                </c:pt>
                <c:pt idx="13">
                  <c:v>14336</c:v>
                </c:pt>
                <c:pt idx="14">
                  <c:v>28672</c:v>
                </c:pt>
                <c:pt idx="15">
                  <c:v>35840</c:v>
                </c:pt>
                <c:pt idx="16">
                  <c:v>43008</c:v>
                </c:pt>
                <c:pt idx="17">
                  <c:v>50176</c:v>
                </c:pt>
                <c:pt idx="18">
                  <c:v>57344</c:v>
                </c:pt>
                <c:pt idx="19">
                  <c:v>73400.320000000007</c:v>
                </c:pt>
                <c:pt idx="20">
                  <c:v>86016</c:v>
                </c:pt>
                <c:pt idx="21">
                  <c:v>100352</c:v>
                </c:pt>
                <c:pt idx="22">
                  <c:v>114688</c:v>
                </c:pt>
                <c:pt idx="23">
                  <c:v>137625.60000000001</c:v>
                </c:pt>
              </c:numCache>
            </c:numRef>
          </c:val>
          <c:smooth val="0"/>
          <c:extLst>
            <c:ext xmlns:c16="http://schemas.microsoft.com/office/drawing/2014/chart" uri="{C3380CC4-5D6E-409C-BE32-E72D297353CC}">
              <c16:uniqueId val="{00000000-50BE-40C1-B679-81AF0BCE3FCD}"/>
            </c:ext>
          </c:extLst>
        </c:ser>
        <c:ser>
          <c:idx val="1"/>
          <c:order val="1"/>
          <c:tx>
            <c:strRef>
              <c:f>Projections!$A$315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Projections!$P$286:$BG$286</c15:sqref>
                  </c15:fullRef>
                </c:ext>
              </c:extLst>
              <c:f>Projections!$P$286:$AM$286</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Projections!$P$315:$BG$315</c15:sqref>
                  </c15:fullRef>
                </c:ext>
              </c:extLst>
              <c:f>Projections!$P$315:$AM$315</c:f>
              <c:numCache>
                <c:formatCode>General</c:formatCode>
                <c:ptCount val="24"/>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Projections!$A$297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Projections!$P$297:$BG$297</c15:sqref>
                  </c15:fullRef>
                </c:ext>
              </c:extLst>
              <c:f>Projections!$P$297:$AQ$297</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307214.83534303075</c:v>
                </c:pt>
                <c:pt idx="20">
                  <c:v>366581.47241659305</c:v>
                </c:pt>
                <c:pt idx="21">
                  <c:v>462110.35835268447</c:v>
                </c:pt>
                <c:pt idx="22">
                  <c:v>417421.75695197133</c:v>
                </c:pt>
                <c:pt idx="23">
                  <c:v>969186.92425230099</c:v>
                </c:pt>
                <c:pt idx="24">
                  <c:v>1027439.1925152936</c:v>
                </c:pt>
                <c:pt idx="25">
                  <c:v>1087630.9408906878</c:v>
                </c:pt>
                <c:pt idx="26">
                  <c:v>1150077.4228389997</c:v>
                </c:pt>
                <c:pt idx="27">
                  <c:v>1214143.2539208457</c:v>
                </c:pt>
              </c:numCache>
            </c:numRef>
          </c:val>
          <c:smooth val="0"/>
          <c:extLst>
            <c:ext xmlns:c16="http://schemas.microsoft.com/office/drawing/2014/chart" uri="{C3380CC4-5D6E-409C-BE32-E72D297353CC}">
              <c16:uniqueId val="{00000000-A3C2-4B4C-996C-CDB1A252886F}"/>
            </c:ext>
          </c:extLst>
        </c:ser>
        <c:ser>
          <c:idx val="2"/>
          <c:order val="1"/>
          <c:tx>
            <c:strRef>
              <c:f>Projections!$A$298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Projections!$P$298:$BG$298</c15:sqref>
                  </c15:fullRef>
                </c:ext>
              </c:extLst>
              <c:f>Projections!$P$298:$AQ$298</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262773.41927126469</c:v>
                </c:pt>
                <c:pt idx="20">
                  <c:v>177691.1939028544</c:v>
                </c:pt>
                <c:pt idx="21">
                  <c:v>192853.94336541693</c:v>
                </c:pt>
                <c:pt idx="22">
                  <c:v>253344.27000725653</c:v>
                </c:pt>
                <c:pt idx="23">
                  <c:v>503482.25761011685</c:v>
                </c:pt>
                <c:pt idx="24">
                  <c:v>739409.06304868322</c:v>
                </c:pt>
                <c:pt idx="25">
                  <c:v>415362.01871533867</c:v>
                </c:pt>
                <c:pt idx="26">
                  <c:v>432136.28933003719</c:v>
                </c:pt>
                <c:pt idx="27">
                  <c:v>449783.39483094413</c:v>
                </c:pt>
              </c:numCache>
            </c:numRef>
          </c:val>
          <c:smooth val="0"/>
          <c:extLst>
            <c:ext xmlns:c16="http://schemas.microsoft.com/office/drawing/2014/chart" uri="{C3380CC4-5D6E-409C-BE32-E72D297353CC}">
              <c16:uniqueId val="{00000001-A3C2-4B4C-996C-CDB1A252886F}"/>
            </c:ext>
          </c:extLst>
        </c:ser>
        <c:ser>
          <c:idx val="0"/>
          <c:order val="2"/>
          <c:tx>
            <c:strRef>
              <c:f>Projections!$A$299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Projections!$P$299:$BG$299</c15:sqref>
                  </c15:fullRef>
                </c:ext>
              </c:extLst>
              <c:f>Projections!$P$299:$AQ$299</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44728.891495247604</c:v>
                </c:pt>
                <c:pt idx="20">
                  <c:v>144907.46798650004</c:v>
                </c:pt>
                <c:pt idx="21">
                  <c:v>181438.18611984747</c:v>
                </c:pt>
                <c:pt idx="22">
                  <c:v>173150.71064765757</c:v>
                </c:pt>
                <c:pt idx="23">
                  <c:v>126038.4094239196</c:v>
                </c:pt>
                <c:pt idx="24">
                  <c:v>145596.9872103174</c:v>
                </c:pt>
                <c:pt idx="25">
                  <c:v>164760.56018366609</c:v>
                </c:pt>
                <c:pt idx="26">
                  <c:v>183763.00910075687</c:v>
                </c:pt>
                <c:pt idx="27">
                  <c:v>202651.00376506799</c:v>
                </c:pt>
              </c:numCache>
            </c:numRef>
          </c:val>
          <c:smooth val="0"/>
          <c:extLst>
            <c:ext xmlns:c16="http://schemas.microsoft.com/office/drawing/2014/chart" uri="{C3380CC4-5D6E-409C-BE32-E72D297353CC}">
              <c16:uniqueId val="{00000002-A3C2-4B4C-996C-CDB1A252886F}"/>
            </c:ext>
          </c:extLst>
        </c:ser>
        <c:ser>
          <c:idx val="4"/>
          <c:order val="3"/>
          <c:tx>
            <c:strRef>
              <c:f>Projections!$A$300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Projections!$P$300:$BG$300</c15:sqref>
                  </c15:fullRef>
                </c:ext>
              </c:extLst>
              <c:f>Projections!$P$300:$AQ$300</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31563.302331317282</c:v>
                </c:pt>
                <c:pt idx="20">
                  <c:v>105867.17701365154</c:v>
                </c:pt>
                <c:pt idx="21">
                  <c:v>125567.8816945006</c:v>
                </c:pt>
                <c:pt idx="22">
                  <c:v>16518.266314172652</c:v>
                </c:pt>
                <c:pt idx="23">
                  <c:v>17235.600324829968</c:v>
                </c:pt>
                <c:pt idx="24">
                  <c:v>0</c:v>
                </c:pt>
                <c:pt idx="25">
                  <c:v>0</c:v>
                </c:pt>
                <c:pt idx="26">
                  <c:v>0</c:v>
                </c:pt>
                <c:pt idx="27">
                  <c:v>0</c:v>
                </c:pt>
              </c:numCache>
            </c:numRef>
          </c:val>
          <c:smooth val="0"/>
          <c:extLst>
            <c:ext xmlns:c16="http://schemas.microsoft.com/office/drawing/2014/chart" uri="{C3380CC4-5D6E-409C-BE32-E72D297353CC}">
              <c16:uniqueId val="{00000003-A3C2-4B4C-996C-CDB1A252886F}"/>
            </c:ext>
          </c:extLst>
        </c:ser>
        <c:ser>
          <c:idx val="1"/>
          <c:order val="4"/>
          <c:tx>
            <c:strRef>
              <c:f>Projections!$A$301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Projections!$P$301:$BG$301</c15:sqref>
                  </c15:fullRef>
                </c:ext>
              </c:extLst>
              <c:f>Projections!$P$301:$AQ$301</c:f>
              <c:numCache>
                <c:formatCode>#,##0_ ;[Red]\-#,##0\ </c:formatCode>
                <c:ptCount val="28"/>
                <c:pt idx="0">
                  <c:v>1.75</c:v>
                </c:pt>
                <c:pt idx="1">
                  <c:v>3.5</c:v>
                </c:pt>
                <c:pt idx="2">
                  <c:v>7</c:v>
                </c:pt>
                <c:pt idx="3">
                  <c:v>14</c:v>
                </c:pt>
                <c:pt idx="4">
                  <c:v>28</c:v>
                </c:pt>
                <c:pt idx="5">
                  <c:v>56</c:v>
                </c:pt>
                <c:pt idx="6">
                  <c:v>112</c:v>
                </c:pt>
                <c:pt idx="7">
                  <c:v>224</c:v>
                </c:pt>
                <c:pt idx="8">
                  <c:v>448</c:v>
                </c:pt>
                <c:pt idx="9">
                  <c:v>896</c:v>
                </c:pt>
                <c:pt idx="10">
                  <c:v>1792</c:v>
                </c:pt>
                <c:pt idx="11">
                  <c:v>3584</c:v>
                </c:pt>
                <c:pt idx="12">
                  <c:v>7168</c:v>
                </c:pt>
                <c:pt idx="13">
                  <c:v>14336</c:v>
                </c:pt>
                <c:pt idx="14">
                  <c:v>28672</c:v>
                </c:pt>
                <c:pt idx="15">
                  <c:v>35840</c:v>
                </c:pt>
                <c:pt idx="16">
                  <c:v>43008</c:v>
                </c:pt>
                <c:pt idx="17">
                  <c:v>50176</c:v>
                </c:pt>
                <c:pt idx="18">
                  <c:v>57344</c:v>
                </c:pt>
                <c:pt idx="19">
                  <c:v>73400.320000000007</c:v>
                </c:pt>
                <c:pt idx="20">
                  <c:v>86016</c:v>
                </c:pt>
                <c:pt idx="21">
                  <c:v>100352</c:v>
                </c:pt>
                <c:pt idx="22">
                  <c:v>114688</c:v>
                </c:pt>
                <c:pt idx="23">
                  <c:v>137625.60000000001</c:v>
                </c:pt>
                <c:pt idx="24">
                  <c:v>160563.20000000001</c:v>
                </c:pt>
                <c:pt idx="25">
                  <c:v>183500.80000000002</c:v>
                </c:pt>
                <c:pt idx="26">
                  <c:v>206438.39999999999</c:v>
                </c:pt>
                <c:pt idx="27">
                  <c:v>229376</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Projections!$A$319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Projections!$P$319:$BG$319</c15:sqref>
                  </c15:fullRef>
                </c:ext>
              </c:extLst>
              <c:f>Projections!$P$319:$AQ$319</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7972-43AB-83E8-C2C99B4277B0}"/>
            </c:ext>
          </c:extLst>
        </c:ser>
        <c:ser>
          <c:idx val="2"/>
          <c:order val="1"/>
          <c:tx>
            <c:strRef>
              <c:f>Projections!$A$321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Projections!$P$321:$BG$321</c15:sqref>
                  </c15:fullRef>
                </c:ext>
              </c:extLst>
              <c:f>Projections!$P$321:$AQ$321</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1-7972-43AB-83E8-C2C99B4277B0}"/>
            </c:ext>
          </c:extLst>
        </c:ser>
        <c:ser>
          <c:idx val="4"/>
          <c:order val="2"/>
          <c:tx>
            <c:strRef>
              <c:f>Projections!$A$323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Projections!$P$323:$BG$323</c15:sqref>
                  </c15:fullRef>
                </c:ext>
              </c:extLst>
              <c:f>Projections!$P$323:$AQ$323</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2-7972-43AB-83E8-C2C99B4277B0}"/>
            </c:ext>
          </c:extLst>
        </c:ser>
        <c:ser>
          <c:idx val="6"/>
          <c:order val="3"/>
          <c:tx>
            <c:strRef>
              <c:f>Projections!$A$325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Projections!$P$325:$BG$325</c15:sqref>
                  </c15:fullRef>
                </c:ext>
              </c:extLst>
              <c:f>Projections!$P$325:$AQ$325</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3-7972-43AB-83E8-C2C99B4277B0}"/>
            </c:ext>
          </c:extLst>
        </c:ser>
        <c:ser>
          <c:idx val="8"/>
          <c:order val="4"/>
          <c:tx>
            <c:strRef>
              <c:f>Projections!$A$327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Projections!$P$327:$BG$327</c15:sqref>
                  </c15:fullRef>
                </c:ext>
              </c:extLst>
              <c:f>Projections!$P$327:$AQ$327</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4-7972-43AB-83E8-C2C99B4277B0}"/>
            </c:ext>
          </c:extLst>
        </c:ser>
        <c:ser>
          <c:idx val="10"/>
          <c:order val="5"/>
          <c:tx>
            <c:strRef>
              <c:f>Projections!$A$329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Projections!$P$329:$BG$329</c15:sqref>
                  </c15:fullRef>
                </c:ext>
              </c:extLst>
              <c:f>Projections!$P$329:$AQ$329</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5-7972-43AB-83E8-C2C99B4277B0}"/>
            </c:ext>
          </c:extLst>
        </c:ser>
        <c:ser>
          <c:idx val="12"/>
          <c:order val="6"/>
          <c:tx>
            <c:strRef>
              <c:f>Projections!$A$331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Projections!$P$331:$BG$331</c15:sqref>
                  </c15:fullRef>
                </c:ext>
              </c:extLst>
              <c:f>Projections!$P$331:$AQ$331</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6-7972-43AB-83E8-C2C99B4277B0}"/>
            </c:ext>
          </c:extLst>
        </c:ser>
        <c:ser>
          <c:idx val="14"/>
          <c:order val="7"/>
          <c:tx>
            <c:strRef>
              <c:f>Projections!$A$333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Projections!$P$333:$BG$333</c15:sqref>
                  </c15:fullRef>
                </c:ext>
              </c:extLst>
              <c:f>Projections!$P$333:$AQ$333</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7-7972-43AB-83E8-C2C99B4277B0}"/>
            </c:ext>
          </c:extLst>
        </c:ser>
        <c:ser>
          <c:idx val="16"/>
          <c:order val="8"/>
          <c:tx>
            <c:strRef>
              <c:f>Projections!$A$335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Projections!$P$335:$BG$335</c15:sqref>
                  </c15:fullRef>
                </c:ext>
              </c:extLst>
              <c:f>Projections!$P$335:$AQ$335</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Projections!$A$319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Projections!$P$320:$BG$320</c15:sqref>
                  </c15:fullRef>
                </c:ext>
              </c:extLst>
              <c:f>Projections!$P$320:$AQ$320</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0-FE50-482D-905D-7C3B099138E4}"/>
            </c:ext>
          </c:extLst>
        </c:ser>
        <c:ser>
          <c:idx val="3"/>
          <c:order val="1"/>
          <c:tx>
            <c:strRef>
              <c:f>Projections!$A$321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Projections!$P$322:$BG$322</c15:sqref>
                  </c15:fullRef>
                </c:ext>
              </c:extLst>
              <c:f>Projections!$P$322:$AQ$322</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1-FE50-482D-905D-7C3B099138E4}"/>
            </c:ext>
          </c:extLst>
        </c:ser>
        <c:ser>
          <c:idx val="5"/>
          <c:order val="2"/>
          <c:tx>
            <c:strRef>
              <c:f>Projections!$A$323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Projections!$P$324:$BG$324</c15:sqref>
                  </c15:fullRef>
                </c:ext>
              </c:extLst>
              <c:f>Projections!$P$324:$AQ$324</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2-FE50-482D-905D-7C3B099138E4}"/>
            </c:ext>
          </c:extLst>
        </c:ser>
        <c:ser>
          <c:idx val="7"/>
          <c:order val="3"/>
          <c:tx>
            <c:strRef>
              <c:f>Projections!$A$325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Projections!$P$326:$BG$326</c15:sqref>
                  </c15:fullRef>
                </c:ext>
              </c:extLst>
              <c:f>Projections!$P$326:$AQ$326</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3-FE50-482D-905D-7C3B099138E4}"/>
            </c:ext>
          </c:extLst>
        </c:ser>
        <c:ser>
          <c:idx val="9"/>
          <c:order val="4"/>
          <c:tx>
            <c:strRef>
              <c:f>Projections!$A$327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Projections!$P$328:$BG$328</c15:sqref>
                  </c15:fullRef>
                </c:ext>
              </c:extLst>
              <c:f>Projections!$P$328:$AQ$328</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4-FE50-482D-905D-7C3B099138E4}"/>
            </c:ext>
          </c:extLst>
        </c:ser>
        <c:ser>
          <c:idx val="11"/>
          <c:order val="5"/>
          <c:tx>
            <c:strRef>
              <c:f>Projections!$A$329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Projections!$P$330:$BG$330</c15:sqref>
                  </c15:fullRef>
                </c:ext>
              </c:extLst>
              <c:f>Projections!$P$330:$AQ$330</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5-FE50-482D-905D-7C3B099138E4}"/>
            </c:ext>
          </c:extLst>
        </c:ser>
        <c:ser>
          <c:idx val="13"/>
          <c:order val="6"/>
          <c:tx>
            <c:strRef>
              <c:f>Projections!$A$331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Projections!$P$332:$BG$332</c15:sqref>
                  </c15:fullRef>
                </c:ext>
              </c:extLst>
              <c:f>Projections!$P$332:$AQ$332</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6-FE50-482D-905D-7C3B099138E4}"/>
            </c:ext>
          </c:extLst>
        </c:ser>
        <c:ser>
          <c:idx val="15"/>
          <c:order val="7"/>
          <c:tx>
            <c:strRef>
              <c:f>Projections!$A$333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Projections!$P$334:$BG$334</c15:sqref>
                  </c15:fullRef>
                </c:ext>
              </c:extLst>
              <c:f>Projections!$P$334:$AQ$334</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7-FE50-482D-905D-7C3B099138E4}"/>
            </c:ext>
          </c:extLst>
        </c:ser>
        <c:ser>
          <c:idx val="17"/>
          <c:order val="8"/>
          <c:tx>
            <c:strRef>
              <c:f>Projections!$A$335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Projections!$P$336:$BG$336</c15:sqref>
                  </c15:fullRef>
                </c:ext>
              </c:extLst>
              <c:f>Projections!$P$336:$AQ$336</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Projections!$A$348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Projections!$P$348:$BG$348</c15:sqref>
                  </c15:fullRef>
                </c:ext>
              </c:extLst>
              <c:f>Projections!$P$348:$AQ$348</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00-C5BA-4495-93D4-AC4CA8674604}"/>
            </c:ext>
          </c:extLst>
        </c:ser>
        <c:ser>
          <c:idx val="4"/>
          <c:order val="1"/>
          <c:tx>
            <c:strRef>
              <c:f>Projections!$A$346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Projections!$P$346:$BG$346</c15:sqref>
                  </c15:fullRef>
                </c:ext>
              </c:extLst>
              <c:f>Projections!$P$346:$AQ$346</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01-C5BA-4495-93D4-AC4CA8674604}"/>
            </c:ext>
          </c:extLst>
        </c:ser>
        <c:ser>
          <c:idx val="10"/>
          <c:order val="2"/>
          <c:tx>
            <c:strRef>
              <c:f>Projections!$A$352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Projections!$P$352:$BG$352</c15:sqref>
                  </c15:fullRef>
                </c:ext>
              </c:extLst>
              <c:f>Projections!$P$352:$AQ$352</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02-C5BA-4495-93D4-AC4CA8674604}"/>
            </c:ext>
          </c:extLst>
        </c:ser>
        <c:ser>
          <c:idx val="0"/>
          <c:order val="3"/>
          <c:tx>
            <c:strRef>
              <c:f>Projections!$A$342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Projections!$P$342:$BG$342</c15:sqref>
                  </c15:fullRef>
                </c:ext>
              </c:extLst>
              <c:f>Projections!$P$342:$AQ$342</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03-C5BA-4495-93D4-AC4CA8674604}"/>
            </c:ext>
          </c:extLst>
        </c:ser>
        <c:ser>
          <c:idx val="2"/>
          <c:order val="4"/>
          <c:tx>
            <c:strRef>
              <c:f>Projections!$A$344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Projections!$P$344:$BG$344</c15:sqref>
                  </c15:fullRef>
                </c:ext>
              </c:extLst>
              <c:f>Projections!$P$344:$AQ$344</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04-C5BA-4495-93D4-AC4CA8674604}"/>
            </c:ext>
          </c:extLst>
        </c:ser>
        <c:ser>
          <c:idx val="8"/>
          <c:order val="5"/>
          <c:tx>
            <c:strRef>
              <c:f>Projections!$A$350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Projections!$P$350:$BG$350</c15:sqref>
                  </c15:fullRef>
                </c:ext>
              </c:extLst>
              <c:f>Projections!$P$350:$AQ$350</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Projections!$A$348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Projections!$P$349:$BG$349</c15:sqref>
                  </c15:fullRef>
                </c:ext>
              </c:extLst>
              <c:f>Projections!$P$349:$AQ$349</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0-5E66-4AF0-A3CA-7CF12153AA8E}"/>
            </c:ext>
          </c:extLst>
        </c:ser>
        <c:ser>
          <c:idx val="5"/>
          <c:order val="1"/>
          <c:tx>
            <c:strRef>
              <c:f>Projections!$A$346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Projections!$P$347:$BG$347</c15:sqref>
                  </c15:fullRef>
                </c:ext>
              </c:extLst>
              <c:f>Projections!$P$347:$AQ$347</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1-5E66-4AF0-A3CA-7CF12153AA8E}"/>
            </c:ext>
          </c:extLst>
        </c:ser>
        <c:ser>
          <c:idx val="1"/>
          <c:order val="2"/>
          <c:tx>
            <c:strRef>
              <c:f>Projections!$A$342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Projections!$P$343:$BG$343</c15:sqref>
                  </c15:fullRef>
                </c:ext>
              </c:extLst>
              <c:f>Projections!$P$343:$AQ$343</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2-5E66-4AF0-A3CA-7CF12153AA8E}"/>
            </c:ext>
          </c:extLst>
        </c:ser>
        <c:ser>
          <c:idx val="3"/>
          <c:order val="3"/>
          <c:tx>
            <c:strRef>
              <c:f>Projections!$A$344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Projections!$P$345:$BG$345</c15:sqref>
                  </c15:fullRef>
                </c:ext>
              </c:extLst>
              <c:f>Projections!$P$345:$AQ$345</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5E66-4AF0-A3CA-7CF12153AA8E}"/>
            </c:ext>
          </c:extLst>
        </c:ser>
        <c:ser>
          <c:idx val="9"/>
          <c:order val="4"/>
          <c:tx>
            <c:strRef>
              <c:f>Projections!$A$350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Projections!$P$351:$BG$351</c15:sqref>
                  </c15:fullRef>
                </c:ext>
              </c:extLst>
              <c:f>Projections!$P$351:$AQ$351</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Projections!$A$287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Projections!$P$286:$BG$286</c15:sqref>
                  </c15:fullRef>
                </c:ext>
              </c:extLst>
              <c:f>Projections!$P$286:$AM$286</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Projections!$P$287:$BG$287</c15:sqref>
                  </c15:fullRef>
                </c:ext>
              </c:extLst>
              <c:f>Projections!$P$287:$AM$287</c:f>
              <c:numCache>
                <c:formatCode>#,##0_ ;[Red]\-#,##0\ </c:formatCode>
                <c:ptCount val="2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numCache>
            </c:numRef>
          </c:val>
          <c:smooth val="0"/>
          <c:extLst>
            <c:ext xmlns:c16="http://schemas.microsoft.com/office/drawing/2014/chart" uri="{C3380CC4-5D6E-409C-BE32-E72D297353CC}">
              <c16:uniqueId val="{00000000-9DE3-43B6-B60B-9B4AA4851702}"/>
            </c:ext>
          </c:extLst>
        </c:ser>
        <c:ser>
          <c:idx val="1"/>
          <c:order val="1"/>
          <c:tx>
            <c:strRef>
              <c:f>Projections!$A$311</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Projections!$P$286:$BG$286</c15:sqref>
                  </c15:fullRef>
                </c:ext>
              </c:extLst>
              <c:f>Projections!$P$286:$AM$286</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Projections!$P$311:$BG$311</c15:sqref>
                  </c15:fullRef>
                </c:ext>
              </c:extLst>
              <c:f>Projections!$P$311:$AM$311</c:f>
              <c:numCache>
                <c:formatCode>General</c:formatCode>
                <c:ptCount val="24"/>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2457600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Projections!$A$301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Projections!$P$286:$BG$286</c15:sqref>
                  </c15:fullRef>
                </c:ext>
              </c:extLst>
              <c:f>Projections!$P$286:$AM$286</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Projections!$P$301:$BG$301</c15:sqref>
                  </c15:fullRef>
                </c:ext>
              </c:extLst>
              <c:f>Projections!$P$301:$AM$301</c:f>
              <c:numCache>
                <c:formatCode>#,##0_ ;[Red]\-#,##0\ </c:formatCode>
                <c:ptCount val="24"/>
                <c:pt idx="0">
                  <c:v>1.75</c:v>
                </c:pt>
                <c:pt idx="1">
                  <c:v>3.5</c:v>
                </c:pt>
                <c:pt idx="2">
                  <c:v>7</c:v>
                </c:pt>
                <c:pt idx="3">
                  <c:v>14</c:v>
                </c:pt>
                <c:pt idx="4">
                  <c:v>28</c:v>
                </c:pt>
                <c:pt idx="5">
                  <c:v>56</c:v>
                </c:pt>
                <c:pt idx="6">
                  <c:v>112</c:v>
                </c:pt>
                <c:pt idx="7">
                  <c:v>224</c:v>
                </c:pt>
                <c:pt idx="8">
                  <c:v>448</c:v>
                </c:pt>
                <c:pt idx="9">
                  <c:v>896</c:v>
                </c:pt>
                <c:pt idx="10">
                  <c:v>1792</c:v>
                </c:pt>
                <c:pt idx="11">
                  <c:v>3584</c:v>
                </c:pt>
                <c:pt idx="12">
                  <c:v>7168</c:v>
                </c:pt>
                <c:pt idx="13">
                  <c:v>14336</c:v>
                </c:pt>
                <c:pt idx="14">
                  <c:v>28672</c:v>
                </c:pt>
                <c:pt idx="15">
                  <c:v>35840</c:v>
                </c:pt>
                <c:pt idx="16">
                  <c:v>43008</c:v>
                </c:pt>
                <c:pt idx="17">
                  <c:v>50176</c:v>
                </c:pt>
                <c:pt idx="18">
                  <c:v>57344</c:v>
                </c:pt>
                <c:pt idx="19">
                  <c:v>73400.320000000007</c:v>
                </c:pt>
                <c:pt idx="20">
                  <c:v>86016</c:v>
                </c:pt>
                <c:pt idx="21">
                  <c:v>100352</c:v>
                </c:pt>
                <c:pt idx="22">
                  <c:v>114688</c:v>
                </c:pt>
                <c:pt idx="23">
                  <c:v>137625.60000000001</c:v>
                </c:pt>
              </c:numCache>
            </c:numRef>
          </c:val>
          <c:smooth val="0"/>
          <c:extLst>
            <c:ext xmlns:c16="http://schemas.microsoft.com/office/drawing/2014/chart" uri="{C3380CC4-5D6E-409C-BE32-E72D297353CC}">
              <c16:uniqueId val="{00000000-FE1B-4946-A476-7952C5C71231}"/>
            </c:ext>
          </c:extLst>
        </c:ser>
        <c:ser>
          <c:idx val="1"/>
          <c:order val="1"/>
          <c:tx>
            <c:strRef>
              <c:f>Projections!$A$315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Projections!$P$286:$BG$286</c15:sqref>
                  </c15:fullRef>
                </c:ext>
              </c:extLst>
              <c:f>Projections!$P$286:$AM$286</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Projections!$P$315:$BG$315</c15:sqref>
                  </c15:fullRef>
                </c:ext>
              </c:extLst>
              <c:f>Projections!$P$315:$AM$315</c:f>
              <c:numCache>
                <c:formatCode>General</c:formatCode>
                <c:ptCount val="24"/>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43952.615477430554</c:v>
                </c:pt>
                <c:pt idx="1">
                  <c:v>43955.615477430554</c:v>
                </c:pt>
                <c:pt idx="2">
                  <c:v>43958.615477430554</c:v>
                </c:pt>
                <c:pt idx="3">
                  <c:v>43961.615477430554</c:v>
                </c:pt>
                <c:pt idx="4">
                  <c:v>43964.615477430554</c:v>
                </c:pt>
                <c:pt idx="5">
                  <c:v>43967.615477430554</c:v>
                </c:pt>
                <c:pt idx="6">
                  <c:v>43970.615477430554</c:v>
                </c:pt>
                <c:pt idx="7">
                  <c:v>43973.615477430554</c:v>
                </c:pt>
                <c:pt idx="8">
                  <c:v>43976.615477430554</c:v>
                </c:pt>
                <c:pt idx="9">
                  <c:v>43979.615477430554</c:v>
                </c:pt>
                <c:pt idx="10">
                  <c:v>43982.615477430554</c:v>
                </c:pt>
                <c:pt idx="11">
                  <c:v>43985.615477430554</c:v>
                </c:pt>
                <c:pt idx="12">
                  <c:v>43988.615477430554</c:v>
                </c:pt>
                <c:pt idx="13">
                  <c:v>43991.615477430554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17.857142857142858</c:v>
                </c:pt>
                <c:pt idx="4">
                  <c:v>35.714285714285715</c:v>
                </c:pt>
                <c:pt idx="5">
                  <c:v>71.428571428571431</c:v>
                </c:pt>
                <c:pt idx="6">
                  <c:v>142.85714285714286</c:v>
                </c:pt>
                <c:pt idx="7">
                  <c:v>285.71428571428572</c:v>
                </c:pt>
                <c:pt idx="8">
                  <c:v>571.42857142857144</c:v>
                </c:pt>
                <c:pt idx="9">
                  <c:v>1142.8571428571429</c:v>
                </c:pt>
                <c:pt idx="10">
                  <c:v>2285.7142857142858</c:v>
                </c:pt>
                <c:pt idx="11">
                  <c:v>4571.4285714285716</c:v>
                </c:pt>
                <c:pt idx="12">
                  <c:v>9142.8571428571431</c:v>
                </c:pt>
                <c:pt idx="13">
                  <c:v>18285.714285714286</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43952.615477430554</c:v>
                </c:pt>
                <c:pt idx="1">
                  <c:v>43955.615477430554</c:v>
                </c:pt>
                <c:pt idx="2">
                  <c:v>43958.615477430554</c:v>
                </c:pt>
                <c:pt idx="3">
                  <c:v>43961.615477430554</c:v>
                </c:pt>
                <c:pt idx="4">
                  <c:v>43964.615477430554</c:v>
                </c:pt>
                <c:pt idx="5">
                  <c:v>43967.615477430554</c:v>
                </c:pt>
                <c:pt idx="6">
                  <c:v>43970.615477430554</c:v>
                </c:pt>
                <c:pt idx="7">
                  <c:v>43973.615477430554</c:v>
                </c:pt>
                <c:pt idx="8">
                  <c:v>43976.615477430554</c:v>
                </c:pt>
                <c:pt idx="9">
                  <c:v>43979.615477430554</c:v>
                </c:pt>
                <c:pt idx="10">
                  <c:v>43982.615477430554</c:v>
                </c:pt>
                <c:pt idx="11">
                  <c:v>43985.615477430554</c:v>
                </c:pt>
                <c:pt idx="12">
                  <c:v>43988.615477430554</c:v>
                </c:pt>
                <c:pt idx="13">
                  <c:v>43991.615477430554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17.857142857142861</c:v>
                </c:pt>
                <c:pt idx="3">
                  <c:v>35.714285714285722</c:v>
                </c:pt>
                <c:pt idx="4">
                  <c:v>57.857142857142875</c:v>
                </c:pt>
                <c:pt idx="5">
                  <c:v>115.71428571428575</c:v>
                </c:pt>
                <c:pt idx="6">
                  <c:v>231.4285714285715</c:v>
                </c:pt>
                <c:pt idx="7">
                  <c:v>448.39285714285728</c:v>
                </c:pt>
                <c:pt idx="8">
                  <c:v>896.78571428571456</c:v>
                </c:pt>
                <c:pt idx="9">
                  <c:v>1793.5714285714291</c:v>
                </c:pt>
                <c:pt idx="10">
                  <c:v>3587.1428571428582</c:v>
                </c:pt>
                <c:pt idx="11">
                  <c:v>7174.2857142857165</c:v>
                </c:pt>
                <c:pt idx="12">
                  <c:v>14363.035714285719</c:v>
                </c:pt>
                <c:pt idx="13">
                  <c:v>28726.071428571438</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43952.615477430554</c:v>
                </c:pt>
                <c:pt idx="1">
                  <c:v>43955.615477430554</c:v>
                </c:pt>
                <c:pt idx="2">
                  <c:v>43958.615477430554</c:v>
                </c:pt>
                <c:pt idx="3">
                  <c:v>43961.615477430554</c:v>
                </c:pt>
                <c:pt idx="4">
                  <c:v>43964.615477430554</c:v>
                </c:pt>
                <c:pt idx="5">
                  <c:v>43967.615477430554</c:v>
                </c:pt>
                <c:pt idx="6">
                  <c:v>43970.615477430554</c:v>
                </c:pt>
                <c:pt idx="7">
                  <c:v>43973.615477430554</c:v>
                </c:pt>
                <c:pt idx="8">
                  <c:v>43976.615477430554</c:v>
                </c:pt>
                <c:pt idx="9">
                  <c:v>43979.615477430554</c:v>
                </c:pt>
                <c:pt idx="10">
                  <c:v>43982.615477430554</c:v>
                </c:pt>
                <c:pt idx="11">
                  <c:v>43985.615477430554</c:v>
                </c:pt>
                <c:pt idx="12">
                  <c:v>43988.615477430554</c:v>
                </c:pt>
                <c:pt idx="13">
                  <c:v>43991.615477430554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13.571428571428575</c:v>
                </c:pt>
                <c:pt idx="5">
                  <c:v>27.142857142857149</c:v>
                </c:pt>
                <c:pt idx="6">
                  <c:v>40.000000000000014</c:v>
                </c:pt>
                <c:pt idx="7">
                  <c:v>80.000000000000028</c:v>
                </c:pt>
                <c:pt idx="8">
                  <c:v>160.00000000000006</c:v>
                </c:pt>
                <c:pt idx="9">
                  <c:v>320.00000000000011</c:v>
                </c:pt>
                <c:pt idx="10">
                  <c:v>640.00000000000023</c:v>
                </c:pt>
                <c:pt idx="11">
                  <c:v>1280.0000000000005</c:v>
                </c:pt>
                <c:pt idx="12">
                  <c:v>2560.0000000000009</c:v>
                </c:pt>
                <c:pt idx="13">
                  <c:v>5120.0000000000018</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43952.615477430554</c:v>
                </c:pt>
                <c:pt idx="1">
                  <c:v>43955.615477430554</c:v>
                </c:pt>
                <c:pt idx="2">
                  <c:v>43958.615477430554</c:v>
                </c:pt>
                <c:pt idx="3">
                  <c:v>43961.615477430554</c:v>
                </c:pt>
                <c:pt idx="4">
                  <c:v>43964.615477430554</c:v>
                </c:pt>
                <c:pt idx="5">
                  <c:v>43967.615477430554</c:v>
                </c:pt>
                <c:pt idx="6">
                  <c:v>43970.615477430554</c:v>
                </c:pt>
                <c:pt idx="7">
                  <c:v>43973.615477430554</c:v>
                </c:pt>
                <c:pt idx="8">
                  <c:v>43976.615477430554</c:v>
                </c:pt>
                <c:pt idx="9">
                  <c:v>43979.615477430554</c:v>
                </c:pt>
                <c:pt idx="10">
                  <c:v>43982.615477430554</c:v>
                </c:pt>
                <c:pt idx="11">
                  <c:v>43985.615477430554</c:v>
                </c:pt>
                <c:pt idx="12">
                  <c:v>43988.615477430554</c:v>
                </c:pt>
                <c:pt idx="13">
                  <c:v>43991.615477430554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14.28571428571429</c:v>
                </c:pt>
                <c:pt idx="7">
                  <c:v>28.57142857142858</c:v>
                </c:pt>
                <c:pt idx="8">
                  <c:v>57.14285714285716</c:v>
                </c:pt>
                <c:pt idx="9">
                  <c:v>114.28571428571432</c:v>
                </c:pt>
                <c:pt idx="10">
                  <c:v>228.57142857142864</c:v>
                </c:pt>
                <c:pt idx="11">
                  <c:v>457.14285714285728</c:v>
                </c:pt>
                <c:pt idx="12">
                  <c:v>914.28571428571456</c:v>
                </c:pt>
                <c:pt idx="13">
                  <c:v>1828.5714285714291</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43952.615477430554</c:v>
                </c:pt>
                <c:pt idx="1">
                  <c:v>43955.615477430554</c:v>
                </c:pt>
                <c:pt idx="2">
                  <c:v>43958.615477430554</c:v>
                </c:pt>
                <c:pt idx="3">
                  <c:v>43961.615477430554</c:v>
                </c:pt>
                <c:pt idx="4">
                  <c:v>43964.615477430554</c:v>
                </c:pt>
                <c:pt idx="5">
                  <c:v>43967.615477430554</c:v>
                </c:pt>
                <c:pt idx="6">
                  <c:v>43970.615477430554</c:v>
                </c:pt>
                <c:pt idx="7">
                  <c:v>43973.615477430554</c:v>
                </c:pt>
                <c:pt idx="8">
                  <c:v>43976.615477430554</c:v>
                </c:pt>
                <c:pt idx="9">
                  <c:v>43979.615477430554</c:v>
                </c:pt>
                <c:pt idx="10">
                  <c:v>43982.615477430554</c:v>
                </c:pt>
                <c:pt idx="11">
                  <c:v>43985.615477430554</c:v>
                </c:pt>
                <c:pt idx="12">
                  <c:v>43988.615477430554</c:v>
                </c:pt>
                <c:pt idx="13">
                  <c:v>43991.615477430554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43952.615477430554</c:v>
                </c:pt>
                <c:pt idx="1">
                  <c:v>43955.615477430554</c:v>
                </c:pt>
                <c:pt idx="2">
                  <c:v>43958.615477430554</c:v>
                </c:pt>
                <c:pt idx="3">
                  <c:v>43961.615477430554</c:v>
                </c:pt>
                <c:pt idx="4">
                  <c:v>43964.615477430554</c:v>
                </c:pt>
                <c:pt idx="5">
                  <c:v>43967.615477430554</c:v>
                </c:pt>
                <c:pt idx="6">
                  <c:v>43970.615477430554</c:v>
                </c:pt>
                <c:pt idx="7">
                  <c:v>43973.615477430554</c:v>
                </c:pt>
                <c:pt idx="8">
                  <c:v>43976.615477430554</c:v>
                </c:pt>
                <c:pt idx="9">
                  <c:v>43979.615477430554</c:v>
                </c:pt>
                <c:pt idx="10">
                  <c:v>43982.615477430554</c:v>
                </c:pt>
                <c:pt idx="11">
                  <c:v>43985.615477430554</c:v>
                </c:pt>
                <c:pt idx="12">
                  <c:v>43988.615477430554</c:v>
                </c:pt>
                <c:pt idx="13">
                  <c:v>43991.615477430554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53.571428571428569</c:v>
                </c:pt>
                <c:pt idx="1">
                  <c:v>107.14285714285714</c:v>
                </c:pt>
                <c:pt idx="2">
                  <c:v>214.28571428571428</c:v>
                </c:pt>
                <c:pt idx="3">
                  <c:v>428.57142857142856</c:v>
                </c:pt>
                <c:pt idx="4">
                  <c:v>857.14285714285711</c:v>
                </c:pt>
                <c:pt idx="5">
                  <c:v>1714.2857142857142</c:v>
                </c:pt>
                <c:pt idx="6">
                  <c:v>3428.5714285714284</c:v>
                </c:pt>
                <c:pt idx="7">
                  <c:v>6857.1428571428569</c:v>
                </c:pt>
                <c:pt idx="8">
                  <c:v>13714.285714285714</c:v>
                </c:pt>
                <c:pt idx="9">
                  <c:v>27428.571428571428</c:v>
                </c:pt>
                <c:pt idx="10">
                  <c:v>54857.142857142855</c:v>
                </c:pt>
                <c:pt idx="11">
                  <c:v>109714.28571428571</c:v>
                </c:pt>
                <c:pt idx="12">
                  <c:v>219428.57142857142</c:v>
                </c:pt>
                <c:pt idx="13">
                  <c:v>438857.14285714284</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43952.615477430554</c:v>
                </c:pt>
                <c:pt idx="1">
                  <c:v>43955.615477430554</c:v>
                </c:pt>
                <c:pt idx="2">
                  <c:v>43958.615477430554</c:v>
                </c:pt>
                <c:pt idx="3">
                  <c:v>43961.615477430554</c:v>
                </c:pt>
                <c:pt idx="4">
                  <c:v>43964.615477430554</c:v>
                </c:pt>
                <c:pt idx="5">
                  <c:v>43967.615477430554</c:v>
                </c:pt>
                <c:pt idx="6">
                  <c:v>43970.615477430554</c:v>
                </c:pt>
                <c:pt idx="7">
                  <c:v>43973.615477430554</c:v>
                </c:pt>
                <c:pt idx="8">
                  <c:v>43976.615477430554</c:v>
                </c:pt>
                <c:pt idx="9">
                  <c:v>43979.615477430554</c:v>
                </c:pt>
                <c:pt idx="10">
                  <c:v>43982.615477430554</c:v>
                </c:pt>
                <c:pt idx="11">
                  <c:v>43985.615477430554</c:v>
                </c:pt>
                <c:pt idx="12">
                  <c:v>43988.615477430554</c:v>
                </c:pt>
                <c:pt idx="13">
                  <c:v>43991.615477430554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17.857142857142858</c:v>
                </c:pt>
                <c:pt idx="4">
                  <c:v>35.714285714285715</c:v>
                </c:pt>
                <c:pt idx="5">
                  <c:v>71.428571428571431</c:v>
                </c:pt>
                <c:pt idx="6">
                  <c:v>142.85714285714286</c:v>
                </c:pt>
                <c:pt idx="7">
                  <c:v>285.71428571428572</c:v>
                </c:pt>
                <c:pt idx="8">
                  <c:v>571.42857142857144</c:v>
                </c:pt>
                <c:pt idx="9">
                  <c:v>1142.8571428571429</c:v>
                </c:pt>
                <c:pt idx="10">
                  <c:v>2285.7142857142858</c:v>
                </c:pt>
                <c:pt idx="11">
                  <c:v>4571.4285714285716</c:v>
                </c:pt>
                <c:pt idx="12">
                  <c:v>9142.8571428571431</c:v>
                </c:pt>
                <c:pt idx="13">
                  <c:v>18285.714285714286</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43952.615477430554</c:v>
                </c:pt>
                <c:pt idx="1">
                  <c:v>43955.615477430554</c:v>
                </c:pt>
                <c:pt idx="2">
                  <c:v>43958.615477430554</c:v>
                </c:pt>
                <c:pt idx="3">
                  <c:v>43961.615477430554</c:v>
                </c:pt>
                <c:pt idx="4">
                  <c:v>43964.615477430554</c:v>
                </c:pt>
                <c:pt idx="5">
                  <c:v>43967.615477430554</c:v>
                </c:pt>
                <c:pt idx="6">
                  <c:v>43970.615477430554</c:v>
                </c:pt>
                <c:pt idx="7">
                  <c:v>43973.615477430554</c:v>
                </c:pt>
                <c:pt idx="8">
                  <c:v>43976.615477430554</c:v>
                </c:pt>
                <c:pt idx="9">
                  <c:v>43979.615477430554</c:v>
                </c:pt>
                <c:pt idx="10">
                  <c:v>43982.615477430554</c:v>
                </c:pt>
                <c:pt idx="11">
                  <c:v>43985.615477430554</c:v>
                </c:pt>
                <c:pt idx="12">
                  <c:v>43988.615477430554</c:v>
                </c:pt>
                <c:pt idx="13">
                  <c:v>43991.615477430554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17.857142857142858</c:v>
                </c:pt>
                <c:pt idx="4">
                  <c:v>35.714285714285715</c:v>
                </c:pt>
                <c:pt idx="5">
                  <c:v>71.428571428571431</c:v>
                </c:pt>
                <c:pt idx="6">
                  <c:v>142.85714285714286</c:v>
                </c:pt>
                <c:pt idx="7">
                  <c:v>285.71428571428572</c:v>
                </c:pt>
                <c:pt idx="8">
                  <c:v>571.42857142857144</c:v>
                </c:pt>
                <c:pt idx="9">
                  <c:v>1142.8571428571429</c:v>
                </c:pt>
                <c:pt idx="10">
                  <c:v>2285.7142857142858</c:v>
                </c:pt>
                <c:pt idx="11">
                  <c:v>4571.4285714285716</c:v>
                </c:pt>
                <c:pt idx="12">
                  <c:v>9142.8571428571431</c:v>
                </c:pt>
                <c:pt idx="13">
                  <c:v>18285.714285714286</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43952.615477430554</c:v>
                </c:pt>
                <c:pt idx="1">
                  <c:v>43955.615477430554</c:v>
                </c:pt>
                <c:pt idx="2">
                  <c:v>43958.615477430554</c:v>
                </c:pt>
                <c:pt idx="3">
                  <c:v>43961.615477430554</c:v>
                </c:pt>
                <c:pt idx="4">
                  <c:v>43964.615477430554</c:v>
                </c:pt>
                <c:pt idx="5">
                  <c:v>43967.615477430554</c:v>
                </c:pt>
                <c:pt idx="6">
                  <c:v>43970.615477430554</c:v>
                </c:pt>
                <c:pt idx="7">
                  <c:v>43973.615477430554</c:v>
                </c:pt>
                <c:pt idx="8">
                  <c:v>43976.615477430554</c:v>
                </c:pt>
                <c:pt idx="9">
                  <c:v>43979.615477430554</c:v>
                </c:pt>
                <c:pt idx="10">
                  <c:v>43982.615477430554</c:v>
                </c:pt>
                <c:pt idx="11">
                  <c:v>43985.615477430554</c:v>
                </c:pt>
                <c:pt idx="12">
                  <c:v>43988.615477430554</c:v>
                </c:pt>
                <c:pt idx="13">
                  <c:v>43991.615477430554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17.857142857142861</c:v>
                </c:pt>
                <c:pt idx="3">
                  <c:v>35.714285714285722</c:v>
                </c:pt>
                <c:pt idx="4">
                  <c:v>57.857142857142875</c:v>
                </c:pt>
                <c:pt idx="5">
                  <c:v>115.71428571428575</c:v>
                </c:pt>
                <c:pt idx="6">
                  <c:v>231.4285714285715</c:v>
                </c:pt>
                <c:pt idx="7">
                  <c:v>448.39285714285728</c:v>
                </c:pt>
                <c:pt idx="8">
                  <c:v>896.78571428571456</c:v>
                </c:pt>
                <c:pt idx="9">
                  <c:v>1793.5714285714291</c:v>
                </c:pt>
                <c:pt idx="10">
                  <c:v>3587.1428571428582</c:v>
                </c:pt>
                <c:pt idx="11">
                  <c:v>7174.2857142857165</c:v>
                </c:pt>
                <c:pt idx="12">
                  <c:v>14363.035714285719</c:v>
                </c:pt>
                <c:pt idx="13">
                  <c:v>28726.071428571438</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43952.615477430554</c:v>
                </c:pt>
                <c:pt idx="1">
                  <c:v>43955.615477430554</c:v>
                </c:pt>
                <c:pt idx="2">
                  <c:v>43958.615477430554</c:v>
                </c:pt>
                <c:pt idx="3">
                  <c:v>43961.615477430554</c:v>
                </c:pt>
                <c:pt idx="4">
                  <c:v>43964.615477430554</c:v>
                </c:pt>
                <c:pt idx="5">
                  <c:v>43967.615477430554</c:v>
                </c:pt>
                <c:pt idx="6">
                  <c:v>43970.615477430554</c:v>
                </c:pt>
                <c:pt idx="7">
                  <c:v>43973.615477430554</c:v>
                </c:pt>
                <c:pt idx="8">
                  <c:v>43976.615477430554</c:v>
                </c:pt>
                <c:pt idx="9">
                  <c:v>43979.615477430554</c:v>
                </c:pt>
                <c:pt idx="10">
                  <c:v>43982.615477430554</c:v>
                </c:pt>
                <c:pt idx="11">
                  <c:v>43985.615477430554</c:v>
                </c:pt>
                <c:pt idx="12">
                  <c:v>43988.615477430554</c:v>
                </c:pt>
                <c:pt idx="13">
                  <c:v>43991.615477430554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13.571428571428575</c:v>
                </c:pt>
                <c:pt idx="5">
                  <c:v>27.142857142857149</c:v>
                </c:pt>
                <c:pt idx="6">
                  <c:v>40.000000000000014</c:v>
                </c:pt>
                <c:pt idx="7">
                  <c:v>80.000000000000028</c:v>
                </c:pt>
                <c:pt idx="8">
                  <c:v>160.00000000000006</c:v>
                </c:pt>
                <c:pt idx="9">
                  <c:v>320.00000000000011</c:v>
                </c:pt>
                <c:pt idx="10">
                  <c:v>640.00000000000023</c:v>
                </c:pt>
                <c:pt idx="11">
                  <c:v>1280.0000000000005</c:v>
                </c:pt>
                <c:pt idx="12">
                  <c:v>2560.0000000000009</c:v>
                </c:pt>
                <c:pt idx="13">
                  <c:v>5120.0000000000018</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43952.615477430554</c:v>
                </c:pt>
                <c:pt idx="1">
                  <c:v>43955.615477430554</c:v>
                </c:pt>
                <c:pt idx="2">
                  <c:v>43958.615477430554</c:v>
                </c:pt>
                <c:pt idx="3">
                  <c:v>43961.615477430554</c:v>
                </c:pt>
                <c:pt idx="4">
                  <c:v>43964.615477430554</c:v>
                </c:pt>
                <c:pt idx="5">
                  <c:v>43967.615477430554</c:v>
                </c:pt>
                <c:pt idx="6">
                  <c:v>43970.615477430554</c:v>
                </c:pt>
                <c:pt idx="7">
                  <c:v>43973.615477430554</c:v>
                </c:pt>
                <c:pt idx="8">
                  <c:v>43976.615477430554</c:v>
                </c:pt>
                <c:pt idx="9">
                  <c:v>43979.615477430554</c:v>
                </c:pt>
                <c:pt idx="10">
                  <c:v>43982.615477430554</c:v>
                </c:pt>
                <c:pt idx="11">
                  <c:v>43985.615477430554</c:v>
                </c:pt>
                <c:pt idx="12">
                  <c:v>43988.615477430554</c:v>
                </c:pt>
                <c:pt idx="13">
                  <c:v>43991.615477430554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14.28571428571429</c:v>
                </c:pt>
                <c:pt idx="7">
                  <c:v>28.57142857142858</c:v>
                </c:pt>
                <c:pt idx="8">
                  <c:v>57.14285714285716</c:v>
                </c:pt>
                <c:pt idx="9">
                  <c:v>114.28571428571432</c:v>
                </c:pt>
                <c:pt idx="10">
                  <c:v>228.57142857142864</c:v>
                </c:pt>
                <c:pt idx="11">
                  <c:v>457.14285714285728</c:v>
                </c:pt>
                <c:pt idx="12">
                  <c:v>914.28571428571456</c:v>
                </c:pt>
                <c:pt idx="13">
                  <c:v>1828.5714285714291</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Projections!$A$297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Projections!$P$297:$BG$297</c15:sqref>
                  </c15:fullRef>
                </c:ext>
              </c:extLst>
              <c:f>Projections!$P$297:$AQ$297</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307214.83534303075</c:v>
                </c:pt>
                <c:pt idx="20">
                  <c:v>366581.47241659305</c:v>
                </c:pt>
                <c:pt idx="21">
                  <c:v>462110.35835268447</c:v>
                </c:pt>
                <c:pt idx="22">
                  <c:v>417421.75695197133</c:v>
                </c:pt>
                <c:pt idx="23">
                  <c:v>969186.92425230099</c:v>
                </c:pt>
                <c:pt idx="24">
                  <c:v>1027439.1925152936</c:v>
                </c:pt>
                <c:pt idx="25">
                  <c:v>1087630.9408906878</c:v>
                </c:pt>
                <c:pt idx="26">
                  <c:v>1150077.4228389997</c:v>
                </c:pt>
                <c:pt idx="27">
                  <c:v>1214143.2539208457</c:v>
                </c:pt>
              </c:numCache>
            </c:numRef>
          </c:val>
          <c:smooth val="0"/>
          <c:extLst>
            <c:ext xmlns:c16="http://schemas.microsoft.com/office/drawing/2014/chart" uri="{C3380CC4-5D6E-409C-BE32-E72D297353CC}">
              <c16:uniqueId val="{00000003-5231-4BE2-97ED-54F0C3DB105C}"/>
            </c:ext>
          </c:extLst>
        </c:ser>
        <c:ser>
          <c:idx val="2"/>
          <c:order val="1"/>
          <c:tx>
            <c:strRef>
              <c:f>Projections!$A$298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Projections!$P$298:$BG$298</c15:sqref>
                  </c15:fullRef>
                </c:ext>
              </c:extLst>
              <c:f>Projections!$P$298:$AQ$298</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262773.41927126469</c:v>
                </c:pt>
                <c:pt idx="20">
                  <c:v>177691.1939028544</c:v>
                </c:pt>
                <c:pt idx="21">
                  <c:v>192853.94336541693</c:v>
                </c:pt>
                <c:pt idx="22">
                  <c:v>253344.27000725653</c:v>
                </c:pt>
                <c:pt idx="23">
                  <c:v>503482.25761011685</c:v>
                </c:pt>
                <c:pt idx="24">
                  <c:v>739409.06304868322</c:v>
                </c:pt>
                <c:pt idx="25">
                  <c:v>415362.01871533867</c:v>
                </c:pt>
                <c:pt idx="26">
                  <c:v>432136.28933003719</c:v>
                </c:pt>
                <c:pt idx="27">
                  <c:v>449783.39483094413</c:v>
                </c:pt>
              </c:numCache>
            </c:numRef>
          </c:val>
          <c:smooth val="0"/>
          <c:extLst>
            <c:ext xmlns:c16="http://schemas.microsoft.com/office/drawing/2014/chart" uri="{C3380CC4-5D6E-409C-BE32-E72D297353CC}">
              <c16:uniqueId val="{00000002-9381-4A4E-BB43-DCD8EC2F4E00}"/>
            </c:ext>
          </c:extLst>
        </c:ser>
        <c:ser>
          <c:idx val="0"/>
          <c:order val="2"/>
          <c:tx>
            <c:strRef>
              <c:f>Projections!$A$299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Projections!$P$299:$BG$299</c15:sqref>
                  </c15:fullRef>
                </c:ext>
              </c:extLst>
              <c:f>Projections!$P$299:$AQ$299</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44728.891495247604</c:v>
                </c:pt>
                <c:pt idx="20">
                  <c:v>144907.46798650004</c:v>
                </c:pt>
                <c:pt idx="21">
                  <c:v>181438.18611984747</c:v>
                </c:pt>
                <c:pt idx="22">
                  <c:v>173150.71064765757</c:v>
                </c:pt>
                <c:pt idx="23">
                  <c:v>126038.4094239196</c:v>
                </c:pt>
                <c:pt idx="24">
                  <c:v>145596.9872103174</c:v>
                </c:pt>
                <c:pt idx="25">
                  <c:v>164760.56018366609</c:v>
                </c:pt>
                <c:pt idx="26">
                  <c:v>183763.00910075687</c:v>
                </c:pt>
                <c:pt idx="27">
                  <c:v>202651.00376506799</c:v>
                </c:pt>
              </c:numCache>
            </c:numRef>
          </c:val>
          <c:smooth val="0"/>
          <c:extLst>
            <c:ext xmlns:c16="http://schemas.microsoft.com/office/drawing/2014/chart" uri="{C3380CC4-5D6E-409C-BE32-E72D297353CC}">
              <c16:uniqueId val="{00000000-9381-4A4E-BB43-DCD8EC2F4E00}"/>
            </c:ext>
          </c:extLst>
        </c:ser>
        <c:ser>
          <c:idx val="4"/>
          <c:order val="3"/>
          <c:tx>
            <c:strRef>
              <c:f>Projections!$A$300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Projections!$P$300:$BG$300</c15:sqref>
                  </c15:fullRef>
                </c:ext>
              </c:extLst>
              <c:f>Projections!$P$300:$AQ$300</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31563.302331317282</c:v>
                </c:pt>
                <c:pt idx="20">
                  <c:v>105867.17701365154</c:v>
                </c:pt>
                <c:pt idx="21">
                  <c:v>125567.8816945006</c:v>
                </c:pt>
                <c:pt idx="22">
                  <c:v>16518.266314172652</c:v>
                </c:pt>
                <c:pt idx="23">
                  <c:v>17235.600324829968</c:v>
                </c:pt>
                <c:pt idx="24">
                  <c:v>0</c:v>
                </c:pt>
                <c:pt idx="25">
                  <c:v>0</c:v>
                </c:pt>
                <c:pt idx="26">
                  <c:v>0</c:v>
                </c:pt>
                <c:pt idx="27">
                  <c:v>0</c:v>
                </c:pt>
              </c:numCache>
            </c:numRef>
          </c:val>
          <c:smooth val="0"/>
          <c:extLst>
            <c:ext xmlns:c16="http://schemas.microsoft.com/office/drawing/2014/chart" uri="{C3380CC4-5D6E-409C-BE32-E72D297353CC}">
              <c16:uniqueId val="{00000003-9381-4A4E-BB43-DCD8EC2F4E00}"/>
            </c:ext>
          </c:extLst>
        </c:ser>
        <c:ser>
          <c:idx val="1"/>
          <c:order val="4"/>
          <c:tx>
            <c:strRef>
              <c:f>Projections!$A$301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Projections!$P$301:$BG$301</c15:sqref>
                  </c15:fullRef>
                </c:ext>
              </c:extLst>
              <c:f>Projections!$P$301:$AQ$301</c:f>
              <c:numCache>
                <c:formatCode>#,##0_ ;[Red]\-#,##0\ </c:formatCode>
                <c:ptCount val="28"/>
                <c:pt idx="0">
                  <c:v>1.75</c:v>
                </c:pt>
                <c:pt idx="1">
                  <c:v>3.5</c:v>
                </c:pt>
                <c:pt idx="2">
                  <c:v>7</c:v>
                </c:pt>
                <c:pt idx="3">
                  <c:v>14</c:v>
                </c:pt>
                <c:pt idx="4">
                  <c:v>28</c:v>
                </c:pt>
                <c:pt idx="5">
                  <c:v>56</c:v>
                </c:pt>
                <c:pt idx="6">
                  <c:v>112</c:v>
                </c:pt>
                <c:pt idx="7">
                  <c:v>224</c:v>
                </c:pt>
                <c:pt idx="8">
                  <c:v>448</c:v>
                </c:pt>
                <c:pt idx="9">
                  <c:v>896</c:v>
                </c:pt>
                <c:pt idx="10">
                  <c:v>1792</c:v>
                </c:pt>
                <c:pt idx="11">
                  <c:v>3584</c:v>
                </c:pt>
                <c:pt idx="12">
                  <c:v>7168</c:v>
                </c:pt>
                <c:pt idx="13">
                  <c:v>14336</c:v>
                </c:pt>
                <c:pt idx="14">
                  <c:v>28672</c:v>
                </c:pt>
                <c:pt idx="15">
                  <c:v>35840</c:v>
                </c:pt>
                <c:pt idx="16">
                  <c:v>43008</c:v>
                </c:pt>
                <c:pt idx="17">
                  <c:v>50176</c:v>
                </c:pt>
                <c:pt idx="18">
                  <c:v>57344</c:v>
                </c:pt>
                <c:pt idx="19">
                  <c:v>73400.320000000007</c:v>
                </c:pt>
                <c:pt idx="20">
                  <c:v>86016</c:v>
                </c:pt>
                <c:pt idx="21">
                  <c:v>100352</c:v>
                </c:pt>
                <c:pt idx="22">
                  <c:v>114688</c:v>
                </c:pt>
                <c:pt idx="23">
                  <c:v>137625.60000000001</c:v>
                </c:pt>
                <c:pt idx="24">
                  <c:v>160563.20000000001</c:v>
                </c:pt>
                <c:pt idx="25">
                  <c:v>183500.80000000002</c:v>
                </c:pt>
                <c:pt idx="26">
                  <c:v>206438.39999999999</c:v>
                </c:pt>
                <c:pt idx="27">
                  <c:v>229376</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Projections!$A$319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Projections!$P$319:$BG$319</c15:sqref>
                  </c15:fullRef>
                </c:ext>
              </c:extLst>
              <c:f>Projections!$P$319:$AQ$319</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04B6-450D-AD81-6BF382C059D1}"/>
            </c:ext>
          </c:extLst>
        </c:ser>
        <c:ser>
          <c:idx val="2"/>
          <c:order val="1"/>
          <c:tx>
            <c:strRef>
              <c:f>Projections!$A$321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Projections!$P$321:$BG$321</c15:sqref>
                  </c15:fullRef>
                </c:ext>
              </c:extLst>
              <c:f>Projections!$P$321:$AQ$321</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2-04B6-450D-AD81-6BF382C059D1}"/>
            </c:ext>
          </c:extLst>
        </c:ser>
        <c:ser>
          <c:idx val="4"/>
          <c:order val="2"/>
          <c:tx>
            <c:strRef>
              <c:f>Projections!$A$323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Projections!$P$323:$BG$323</c15:sqref>
                  </c15:fullRef>
                </c:ext>
              </c:extLst>
              <c:f>Projections!$P$323:$AQ$323</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4-04B6-450D-AD81-6BF382C059D1}"/>
            </c:ext>
          </c:extLst>
        </c:ser>
        <c:ser>
          <c:idx val="6"/>
          <c:order val="3"/>
          <c:tx>
            <c:strRef>
              <c:f>Projections!$A$325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Projections!$P$325:$BG$325</c15:sqref>
                  </c15:fullRef>
                </c:ext>
              </c:extLst>
              <c:f>Projections!$P$325:$AQ$325</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6-04B6-450D-AD81-6BF382C059D1}"/>
            </c:ext>
          </c:extLst>
        </c:ser>
        <c:ser>
          <c:idx val="8"/>
          <c:order val="4"/>
          <c:tx>
            <c:strRef>
              <c:f>Projections!$A$327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Projections!$P$327:$BG$327</c15:sqref>
                  </c15:fullRef>
                </c:ext>
              </c:extLst>
              <c:f>Projections!$P$327:$AQ$327</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8-04B6-450D-AD81-6BF382C059D1}"/>
            </c:ext>
          </c:extLst>
        </c:ser>
        <c:ser>
          <c:idx val="10"/>
          <c:order val="5"/>
          <c:tx>
            <c:strRef>
              <c:f>Projections!$A$329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Projections!$P$329:$BG$329</c15:sqref>
                  </c15:fullRef>
                </c:ext>
              </c:extLst>
              <c:f>Projections!$P$329:$AQ$329</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A-04B6-450D-AD81-6BF382C059D1}"/>
            </c:ext>
          </c:extLst>
        </c:ser>
        <c:ser>
          <c:idx val="12"/>
          <c:order val="6"/>
          <c:tx>
            <c:strRef>
              <c:f>Projections!$A$331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Projections!$P$331:$BG$331</c15:sqref>
                  </c15:fullRef>
                </c:ext>
              </c:extLst>
              <c:f>Projections!$P$331:$AQ$331</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C-04B6-450D-AD81-6BF382C059D1}"/>
            </c:ext>
          </c:extLst>
        </c:ser>
        <c:ser>
          <c:idx val="14"/>
          <c:order val="7"/>
          <c:tx>
            <c:strRef>
              <c:f>Projections!$A$333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Projections!$P$333:$BG$333</c15:sqref>
                  </c15:fullRef>
                </c:ext>
              </c:extLst>
              <c:f>Projections!$P$333:$AQ$333</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E-04B6-450D-AD81-6BF382C059D1}"/>
            </c:ext>
          </c:extLst>
        </c:ser>
        <c:ser>
          <c:idx val="16"/>
          <c:order val="8"/>
          <c:tx>
            <c:strRef>
              <c:f>Projections!$A$335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Projections!$P$335:$BG$335</c15:sqref>
                  </c15:fullRef>
                </c:ext>
              </c:extLst>
              <c:f>Projections!$P$335:$AQ$335</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Projections!$A$319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Projections!$P$320:$BG$320</c15:sqref>
                  </c15:fullRef>
                </c:ext>
              </c:extLst>
              <c:f>Projections!$P$320:$AQ$320</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1-EBAD-48A5-9277-83F388186C0C}"/>
            </c:ext>
          </c:extLst>
        </c:ser>
        <c:ser>
          <c:idx val="3"/>
          <c:order val="1"/>
          <c:tx>
            <c:strRef>
              <c:f>Projections!$A$321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Projections!$P$322:$BG$322</c15:sqref>
                  </c15:fullRef>
                </c:ext>
              </c:extLst>
              <c:f>Projections!$P$322:$AQ$322</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3-EBAD-48A5-9277-83F388186C0C}"/>
            </c:ext>
          </c:extLst>
        </c:ser>
        <c:ser>
          <c:idx val="5"/>
          <c:order val="2"/>
          <c:tx>
            <c:strRef>
              <c:f>Projections!$A$323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Projections!$P$324:$BG$324</c15:sqref>
                  </c15:fullRef>
                </c:ext>
              </c:extLst>
              <c:f>Projections!$P$324:$AQ$324</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5-EBAD-48A5-9277-83F388186C0C}"/>
            </c:ext>
          </c:extLst>
        </c:ser>
        <c:ser>
          <c:idx val="7"/>
          <c:order val="3"/>
          <c:tx>
            <c:strRef>
              <c:f>Projections!$A$325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Projections!$P$326:$BG$326</c15:sqref>
                  </c15:fullRef>
                </c:ext>
              </c:extLst>
              <c:f>Projections!$P$326:$AQ$326</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7-EBAD-48A5-9277-83F388186C0C}"/>
            </c:ext>
          </c:extLst>
        </c:ser>
        <c:ser>
          <c:idx val="9"/>
          <c:order val="4"/>
          <c:tx>
            <c:strRef>
              <c:f>Projections!$A$327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Projections!$P$328:$BG$328</c15:sqref>
                  </c15:fullRef>
                </c:ext>
              </c:extLst>
              <c:f>Projections!$P$328:$AQ$328</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9-EBAD-48A5-9277-83F388186C0C}"/>
            </c:ext>
          </c:extLst>
        </c:ser>
        <c:ser>
          <c:idx val="11"/>
          <c:order val="5"/>
          <c:tx>
            <c:strRef>
              <c:f>Projections!$A$329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Projections!$P$330:$BG$330</c15:sqref>
                  </c15:fullRef>
                </c:ext>
              </c:extLst>
              <c:f>Projections!$P$330:$AQ$330</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B-EBAD-48A5-9277-83F388186C0C}"/>
            </c:ext>
          </c:extLst>
        </c:ser>
        <c:ser>
          <c:idx val="13"/>
          <c:order val="6"/>
          <c:tx>
            <c:strRef>
              <c:f>Projections!$A$331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Projections!$P$332:$BG$332</c15:sqref>
                  </c15:fullRef>
                </c:ext>
              </c:extLst>
              <c:f>Projections!$P$332:$AQ$332</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D-EBAD-48A5-9277-83F388186C0C}"/>
            </c:ext>
          </c:extLst>
        </c:ser>
        <c:ser>
          <c:idx val="15"/>
          <c:order val="7"/>
          <c:tx>
            <c:strRef>
              <c:f>Projections!$A$333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Projections!$P$334:$BG$334</c15:sqref>
                  </c15:fullRef>
                </c:ext>
              </c:extLst>
              <c:f>Projections!$P$334:$AQ$334</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F-EBAD-48A5-9277-83F388186C0C}"/>
            </c:ext>
          </c:extLst>
        </c:ser>
        <c:ser>
          <c:idx val="17"/>
          <c:order val="8"/>
          <c:tx>
            <c:strRef>
              <c:f>Projections!$A$335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Projections!$P$336:$BG$336</c15:sqref>
                  </c15:fullRef>
                </c:ext>
              </c:extLst>
              <c:f>Projections!$P$336:$AQ$336</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Projections!$A$348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Projections!$P$348:$BG$348</c15:sqref>
                  </c15:fullRef>
                </c:ext>
              </c:extLst>
              <c:f>Projections!$P$348:$AQ$348</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1E-05DD-4DD4-A5B5-12D162507280}"/>
            </c:ext>
          </c:extLst>
        </c:ser>
        <c:ser>
          <c:idx val="4"/>
          <c:order val="1"/>
          <c:tx>
            <c:strRef>
              <c:f>Projections!$A$346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Projections!$P$346:$BG$346</c15:sqref>
                  </c15:fullRef>
                </c:ext>
              </c:extLst>
              <c:f>Projections!$P$346:$AQ$346</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1C-05DD-4DD4-A5B5-12D162507280}"/>
            </c:ext>
          </c:extLst>
        </c:ser>
        <c:ser>
          <c:idx val="10"/>
          <c:order val="2"/>
          <c:tx>
            <c:strRef>
              <c:f>Projections!$A$352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Projections!$P$352:$BG$352</c15:sqref>
                  </c15:fullRef>
                </c:ext>
              </c:extLst>
              <c:f>Projections!$P$352:$AQ$352</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22-05DD-4DD4-A5B5-12D162507280}"/>
            </c:ext>
          </c:extLst>
        </c:ser>
        <c:ser>
          <c:idx val="0"/>
          <c:order val="3"/>
          <c:tx>
            <c:strRef>
              <c:f>Projections!$A$342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Projections!$P$342:$BG$342</c15:sqref>
                  </c15:fullRef>
                </c:ext>
              </c:extLst>
              <c:f>Projections!$P$342:$AQ$342</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18-05DD-4DD4-A5B5-12D162507280}"/>
            </c:ext>
          </c:extLst>
        </c:ser>
        <c:ser>
          <c:idx val="2"/>
          <c:order val="4"/>
          <c:tx>
            <c:strRef>
              <c:f>Projections!$A$344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Projections!$P$344:$BG$344</c15:sqref>
                  </c15:fullRef>
                </c:ext>
              </c:extLst>
              <c:f>Projections!$P$344:$AQ$344</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1A-05DD-4DD4-A5B5-12D162507280}"/>
            </c:ext>
          </c:extLst>
        </c:ser>
        <c:ser>
          <c:idx val="8"/>
          <c:order val="5"/>
          <c:tx>
            <c:strRef>
              <c:f>Projections!$A$350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Projections!$P$350:$BG$350</c15:sqref>
                  </c15:fullRef>
                </c:ext>
              </c:extLst>
              <c:f>Projections!$P$350:$AQ$350</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Projections!$A$348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Projections!$P$349:$BG$349</c15:sqref>
                  </c15:fullRef>
                </c:ext>
              </c:extLst>
              <c:f>Projections!$P$349:$AQ$349</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7-65B4-47F9-9B97-64FB989C8893}"/>
            </c:ext>
          </c:extLst>
        </c:ser>
        <c:ser>
          <c:idx val="5"/>
          <c:order val="1"/>
          <c:tx>
            <c:strRef>
              <c:f>Projections!$A$346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Projections!$P$347:$BG$347</c15:sqref>
                  </c15:fullRef>
                </c:ext>
              </c:extLst>
              <c:f>Projections!$P$347:$AQ$347</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5-65B4-47F9-9B97-64FB989C8893}"/>
            </c:ext>
          </c:extLst>
        </c:ser>
        <c:ser>
          <c:idx val="1"/>
          <c:order val="2"/>
          <c:tx>
            <c:strRef>
              <c:f>Projections!$A$342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Projections!$P$343:$BG$343</c15:sqref>
                  </c15:fullRef>
                </c:ext>
              </c:extLst>
              <c:f>Projections!$P$343:$AQ$343</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1-65B4-47F9-9B97-64FB989C8893}"/>
            </c:ext>
          </c:extLst>
        </c:ser>
        <c:ser>
          <c:idx val="3"/>
          <c:order val="3"/>
          <c:tx>
            <c:strRef>
              <c:f>Projections!$A$344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Projections!$P$345:$BG$345</c15:sqref>
                  </c15:fullRef>
                </c:ext>
              </c:extLst>
              <c:f>Projections!$P$345:$AQ$345</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65B4-47F9-9B97-64FB989C8893}"/>
            </c:ext>
          </c:extLst>
        </c:ser>
        <c:ser>
          <c:idx val="9"/>
          <c:order val="4"/>
          <c:tx>
            <c:strRef>
              <c:f>Projections!$A$350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Projections!$P$286:$BG$286</c15:sqref>
                  </c15:fullRef>
                </c:ext>
              </c:extLst>
              <c:f>Projections!$P$286:$AQ$286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Projections!$P$351:$BG$351</c15:sqref>
                  </c15:fullRef>
                </c:ext>
              </c:extLst>
              <c:f>Projections!$P$351:$AQ$351</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61</xdr:col>
      <xdr:colOff>9526</xdr:colOff>
      <xdr:row>285</xdr:row>
      <xdr:rowOff>104775</xdr:rowOff>
    </xdr:from>
    <xdr:to>
      <xdr:col>72</xdr:col>
      <xdr:colOff>600075</xdr:colOff>
      <xdr:row>317</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736455</xdr:colOff>
      <xdr:row>357</xdr:row>
      <xdr:rowOff>120114</xdr:rowOff>
    </xdr:from>
    <xdr:to>
      <xdr:col>73</xdr:col>
      <xdr:colOff>19050</xdr:colOff>
      <xdr:row>380</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3031</xdr:colOff>
      <xdr:row>381</xdr:row>
      <xdr:rowOff>124876</xdr:rowOff>
    </xdr:from>
    <xdr:to>
      <xdr:col>73</xdr:col>
      <xdr:colOff>28575</xdr:colOff>
      <xdr:row>398</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60</xdr:col>
      <xdr:colOff>741217</xdr:colOff>
      <xdr:row>399</xdr:row>
      <xdr:rowOff>105825</xdr:rowOff>
    </xdr:from>
    <xdr:to>
      <xdr:col>73</xdr:col>
      <xdr:colOff>38099</xdr:colOff>
      <xdr:row>415</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741219</xdr:colOff>
      <xdr:row>416</xdr:row>
      <xdr:rowOff>124875</xdr:rowOff>
    </xdr:from>
    <xdr:to>
      <xdr:col>73</xdr:col>
      <xdr:colOff>19050</xdr:colOff>
      <xdr:row>435</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60</xdr:col>
      <xdr:colOff>738187</xdr:colOff>
      <xdr:row>319</xdr:row>
      <xdr:rowOff>119062</xdr:rowOff>
    </xdr:from>
    <xdr:to>
      <xdr:col>73</xdr:col>
      <xdr:colOff>19050</xdr:colOff>
      <xdr:row>339</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60</xdr:col>
      <xdr:colOff>740228</xdr:colOff>
      <xdr:row>340</xdr:row>
      <xdr:rowOff>117021</xdr:rowOff>
    </xdr:from>
    <xdr:to>
      <xdr:col>72</xdr:col>
      <xdr:colOff>590550</xdr:colOff>
      <xdr:row>356</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74</xdr:col>
      <xdr:colOff>1</xdr:colOff>
      <xdr:row>285</xdr:row>
      <xdr:rowOff>104775</xdr:rowOff>
    </xdr:from>
    <xdr:to>
      <xdr:col>86</xdr:col>
      <xdr:colOff>161925</xdr:colOff>
      <xdr:row>317</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73</xdr:col>
      <xdr:colOff>607867</xdr:colOff>
      <xdr:row>357</xdr:row>
      <xdr:rowOff>101064</xdr:rowOff>
    </xdr:from>
    <xdr:to>
      <xdr:col>86</xdr:col>
      <xdr:colOff>209550</xdr:colOff>
      <xdr:row>380</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73</xdr:col>
      <xdr:colOff>598343</xdr:colOff>
      <xdr:row>381</xdr:row>
      <xdr:rowOff>115351</xdr:rowOff>
    </xdr:from>
    <xdr:to>
      <xdr:col>86</xdr:col>
      <xdr:colOff>200025</xdr:colOff>
      <xdr:row>398</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74</xdr:col>
      <xdr:colOff>3029</xdr:colOff>
      <xdr:row>399</xdr:row>
      <xdr:rowOff>105825</xdr:rowOff>
    </xdr:from>
    <xdr:to>
      <xdr:col>86</xdr:col>
      <xdr:colOff>219074</xdr:colOff>
      <xdr:row>415</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74</xdr:col>
      <xdr:colOff>22081</xdr:colOff>
      <xdr:row>416</xdr:row>
      <xdr:rowOff>124875</xdr:rowOff>
    </xdr:from>
    <xdr:to>
      <xdr:col>86</xdr:col>
      <xdr:colOff>228600</xdr:colOff>
      <xdr:row>435</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73</xdr:col>
      <xdr:colOff>600074</xdr:colOff>
      <xdr:row>319</xdr:row>
      <xdr:rowOff>128587</xdr:rowOff>
    </xdr:from>
    <xdr:to>
      <xdr:col>86</xdr:col>
      <xdr:colOff>200025</xdr:colOff>
      <xdr:row>339</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73</xdr:col>
      <xdr:colOff>606878</xdr:colOff>
      <xdr:row>340</xdr:row>
      <xdr:rowOff>117021</xdr:rowOff>
    </xdr:from>
    <xdr:to>
      <xdr:col>86</xdr:col>
      <xdr:colOff>161925</xdr:colOff>
      <xdr:row>356</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cmmid.github.io/topics/covid19/global_cfr_estimat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dc.gov/flu/pandemic-resources/basics/past-pandemics.html" TargetMode="External"/><Relationship Id="rId2" Type="http://schemas.openxmlformats.org/officeDocument/2006/relationships/hyperlink" Target="https://www.cdc.gov/nchs/fastats/deaths.htm" TargetMode="External"/><Relationship Id="rId1" Type="http://schemas.openxmlformats.org/officeDocument/2006/relationships/hyperlink" Target="https://en.wikipedia.org/wiki/United_States_military_casualties_of_war" TargetMode="External"/><Relationship Id="rId5" Type="http://schemas.openxmlformats.org/officeDocument/2006/relationships/printerSettings" Target="../printerSettings/printerSettings4.bin"/><Relationship Id="rId4" Type="http://schemas.openxmlformats.org/officeDocument/2006/relationships/hyperlink" Target="https://en.wikipedia.org/wiki/List_of_disasters_in_the_United_States_by_death_to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A22" sqref="A22"/>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537</v>
      </c>
    </row>
    <row r="3" spans="2:2" x14ac:dyDescent="0.25">
      <c r="B3" t="s">
        <v>52</v>
      </c>
    </row>
    <row r="4" spans="2:2" x14ac:dyDescent="0.25">
      <c r="B4" t="s">
        <v>62</v>
      </c>
    </row>
    <row r="5" spans="2:2" x14ac:dyDescent="0.25">
      <c r="B5" t="s">
        <v>64</v>
      </c>
    </row>
    <row r="6" spans="2:2" x14ac:dyDescent="0.25">
      <c r="B6" t="s">
        <v>65</v>
      </c>
    </row>
    <row r="7" spans="2:2" x14ac:dyDescent="0.25">
      <c r="B7" t="s">
        <v>53</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102">
        <f>(AP25/E31) /Projections!B274</f>
        <v>71.428571428571431</v>
      </c>
      <c r="C17" s="103"/>
      <c r="D17" s="104"/>
      <c r="E17" s="98">
        <f>B17*2</f>
        <v>142.85714285714286</v>
      </c>
      <c r="F17" s="103"/>
      <c r="G17" s="98"/>
      <c r="H17" s="98">
        <f>E17*2</f>
        <v>285.71428571428572</v>
      </c>
      <c r="I17" s="103"/>
      <c r="J17" s="104"/>
      <c r="K17" s="95">
        <f>H17*2</f>
        <v>571.42857142857144</v>
      </c>
      <c r="L17" s="93"/>
      <c r="M17" s="94"/>
      <c r="N17" s="95">
        <f>K17*2</f>
        <v>1142.8571428571429</v>
      </c>
      <c r="O17" s="93"/>
      <c r="P17" s="94"/>
      <c r="Q17" s="95">
        <f>N17*2</f>
        <v>2285.7142857142858</v>
      </c>
      <c r="R17" s="93"/>
      <c r="S17" s="94"/>
      <c r="T17" s="95">
        <f>Q17*2</f>
        <v>4571.4285714285716</v>
      </c>
      <c r="U17" s="93"/>
      <c r="V17" s="94"/>
      <c r="W17" s="95">
        <f>T17*2</f>
        <v>9142.8571428571431</v>
      </c>
      <c r="X17" s="93"/>
      <c r="Y17" s="94"/>
      <c r="Z17" s="95">
        <f>W17*2</f>
        <v>18285.714285714286</v>
      </c>
      <c r="AA17" s="93"/>
      <c r="AB17" s="94"/>
      <c r="AC17" s="95">
        <f>Z17*2</f>
        <v>36571.428571428572</v>
      </c>
      <c r="AD17" s="93"/>
      <c r="AE17" s="94"/>
      <c r="AF17" s="95">
        <f>AC17*2</f>
        <v>73142.857142857145</v>
      </c>
      <c r="AG17" s="93"/>
      <c r="AH17" s="94"/>
      <c r="AI17" s="95">
        <f>AF17*2</f>
        <v>146285.71428571429</v>
      </c>
      <c r="AJ17" s="93"/>
      <c r="AK17" s="94"/>
      <c r="AL17" s="95">
        <f>AI17*2</f>
        <v>292571.42857142858</v>
      </c>
      <c r="AM17" s="93"/>
      <c r="AN17" s="94"/>
      <c r="AO17" s="95">
        <f>AL17*2</f>
        <v>585142.85714285716</v>
      </c>
      <c r="AP17" s="98"/>
      <c r="AQ17" t="s">
        <v>91</v>
      </c>
    </row>
    <row r="18" spans="1:43" s="69" customFormat="1" x14ac:dyDescent="0.25">
      <c r="A18" s="69" t="s">
        <v>163</v>
      </c>
      <c r="B18" s="88">
        <f>B17*$E$34</f>
        <v>53.571428571428569</v>
      </c>
      <c r="C18" s="105"/>
      <c r="D18" s="105"/>
      <c r="E18" s="105">
        <f>E17*$E$34</f>
        <v>107.14285714285714</v>
      </c>
      <c r="F18" s="105"/>
      <c r="G18" s="33"/>
      <c r="H18" s="105">
        <f>H17*$E$34</f>
        <v>214.28571428571428</v>
      </c>
      <c r="I18" s="105"/>
      <c r="J18" s="105"/>
      <c r="K18" s="105">
        <f>K17*$E$34</f>
        <v>428.57142857142856</v>
      </c>
      <c r="L18" s="105"/>
      <c r="M18" s="105"/>
      <c r="N18" s="105">
        <f>N17*$E$34</f>
        <v>857.14285714285711</v>
      </c>
      <c r="O18" s="105"/>
      <c r="P18" s="105"/>
      <c r="Q18" s="105">
        <f>Q17*$E$34</f>
        <v>1714.2857142857142</v>
      </c>
      <c r="R18" s="105"/>
      <c r="S18" s="105"/>
      <c r="T18" s="105">
        <f>T17*$E$34</f>
        <v>3428.5714285714284</v>
      </c>
      <c r="U18" s="105"/>
      <c r="V18" s="105"/>
      <c r="W18" s="105">
        <f>W17*$E$34</f>
        <v>6857.1428571428569</v>
      </c>
      <c r="X18" s="105"/>
      <c r="Y18" s="105"/>
      <c r="Z18" s="105">
        <f>Z17*$E$34</f>
        <v>13714.285714285714</v>
      </c>
      <c r="AA18" s="105"/>
      <c r="AB18" s="105"/>
      <c r="AC18" s="105">
        <f>AC17*$E$34</f>
        <v>27428.571428571428</v>
      </c>
      <c r="AD18" s="105"/>
      <c r="AE18" s="105"/>
      <c r="AF18" s="105">
        <f>AF17*$E$34</f>
        <v>54857.142857142855</v>
      </c>
      <c r="AG18" s="105"/>
      <c r="AH18" s="105"/>
      <c r="AI18" s="105">
        <f>AI17*$E$34</f>
        <v>109714.28571428571</v>
      </c>
      <c r="AJ18" s="105"/>
      <c r="AK18" s="105"/>
      <c r="AL18" s="105">
        <f>AL17*$E$34</f>
        <v>219428.57142857142</v>
      </c>
      <c r="AM18" s="105"/>
      <c r="AN18" s="105"/>
      <c r="AO18" s="105">
        <f>AO17*$E$34</f>
        <v>438857.14285714284</v>
      </c>
      <c r="AP18" s="33"/>
      <c r="AQ18" s="69" t="s">
        <v>163</v>
      </c>
    </row>
    <row r="19" spans="1:43" s="69" customFormat="1" x14ac:dyDescent="0.25">
      <c r="A19" s="47" t="s">
        <v>165</v>
      </c>
      <c r="B19" s="86">
        <f>B18</f>
        <v>53.571428571428569</v>
      </c>
      <c r="C19" s="87"/>
      <c r="D19" s="87"/>
      <c r="E19" s="87">
        <f>E18</f>
        <v>107.14285714285714</v>
      </c>
      <c r="F19" s="87"/>
      <c r="G19" s="34"/>
      <c r="H19" s="87">
        <f>H18</f>
        <v>214.28571428571428</v>
      </c>
      <c r="I19" s="87"/>
      <c r="J19" s="87"/>
      <c r="K19" s="87">
        <f>K18</f>
        <v>428.57142857142856</v>
      </c>
      <c r="L19" s="87"/>
      <c r="M19" s="87"/>
      <c r="N19" s="87">
        <f>N18</f>
        <v>857.14285714285711</v>
      </c>
      <c r="O19" s="87"/>
      <c r="P19" s="87"/>
      <c r="Q19" s="87">
        <f>Q18</f>
        <v>1714.2857142857142</v>
      </c>
      <c r="R19" s="87"/>
      <c r="S19" s="87"/>
      <c r="T19" s="87">
        <f>T18</f>
        <v>3428.5714285714284</v>
      </c>
      <c r="U19" s="87"/>
      <c r="V19" s="87"/>
      <c r="W19" s="121">
        <f>W18-B18</f>
        <v>6803.5714285714284</v>
      </c>
      <c r="X19" s="121"/>
      <c r="Y19" s="121"/>
      <c r="Z19" s="121">
        <f>Z18-E18</f>
        <v>13607.142857142857</v>
      </c>
      <c r="AA19" s="121"/>
      <c r="AB19" s="121"/>
      <c r="AC19" s="121">
        <f>AC18-H18</f>
        <v>27214.285714285714</v>
      </c>
      <c r="AD19" s="121"/>
      <c r="AE19" s="121"/>
      <c r="AF19" s="121">
        <f>AF18-K18</f>
        <v>54428.571428571428</v>
      </c>
      <c r="AG19" s="121"/>
      <c r="AH19" s="121"/>
      <c r="AI19" s="121">
        <f>AI18-N18</f>
        <v>108857.14285714286</v>
      </c>
      <c r="AJ19" s="121"/>
      <c r="AK19" s="121"/>
      <c r="AL19" s="121">
        <f>AL18-Q18</f>
        <v>217714.28571428571</v>
      </c>
      <c r="AM19" s="121"/>
      <c r="AN19" s="121"/>
      <c r="AO19" s="121">
        <f>AO18-T18</f>
        <v>435428.57142857142</v>
      </c>
      <c r="AP19" s="122"/>
      <c r="AQ19" s="47" t="s">
        <v>165</v>
      </c>
    </row>
    <row r="20" spans="1:43" s="69" customFormat="1" x14ac:dyDescent="0.25">
      <c r="A20" t="s">
        <v>92</v>
      </c>
      <c r="B20" s="88"/>
      <c r="C20" s="105"/>
      <c r="D20" s="105"/>
      <c r="E20" s="105"/>
      <c r="F20" s="105"/>
      <c r="G20" s="33"/>
      <c r="H20" s="106"/>
      <c r="I20" s="107"/>
      <c r="J20" s="108"/>
      <c r="K20" s="131">
        <f>B17*(1-$E$34)</f>
        <v>17.857142857142858</v>
      </c>
      <c r="L20" s="128"/>
      <c r="M20" s="129"/>
      <c r="N20" s="130">
        <f>E17*(1-$E$34)</f>
        <v>35.714285714285715</v>
      </c>
      <c r="O20" s="128"/>
      <c r="P20" s="129"/>
      <c r="Q20" s="130">
        <f>H17*(1-$E$34)</f>
        <v>71.428571428571431</v>
      </c>
      <c r="R20" s="128"/>
      <c r="S20" s="129"/>
      <c r="T20" s="130">
        <f>K17*(1-$E$34)</f>
        <v>142.85714285714286</v>
      </c>
      <c r="U20" s="128"/>
      <c r="V20" s="129"/>
      <c r="W20" s="130">
        <f>N17*(1-$E$34)</f>
        <v>285.71428571428572</v>
      </c>
      <c r="X20" s="128"/>
      <c r="Y20" s="129"/>
      <c r="Z20" s="130">
        <f>Q17*(1-$E$34)</f>
        <v>571.42857142857144</v>
      </c>
      <c r="AA20" s="128"/>
      <c r="AB20" s="129"/>
      <c r="AC20" s="130">
        <f>T17*(1-$E$34)</f>
        <v>1142.8571428571429</v>
      </c>
      <c r="AD20" s="128"/>
      <c r="AE20" s="129"/>
      <c r="AF20" s="130">
        <f>W17*(1-$E$34)</f>
        <v>2285.7142857142858</v>
      </c>
      <c r="AG20" s="128"/>
      <c r="AH20" s="129"/>
      <c r="AI20" s="130">
        <f>Z17*(1-$E$34)</f>
        <v>4571.4285714285716</v>
      </c>
      <c r="AJ20" s="128"/>
      <c r="AK20" s="129"/>
      <c r="AL20" s="130">
        <f>AC17*(1-$E$34)</f>
        <v>9142.8571428571431</v>
      </c>
      <c r="AM20" s="128"/>
      <c r="AN20" s="129"/>
      <c r="AO20" s="130">
        <f>AF17*(1-$E$34)</f>
        <v>18285.714285714286</v>
      </c>
      <c r="AP20" s="79"/>
      <c r="AQ20" t="s">
        <v>92</v>
      </c>
    </row>
    <row r="21" spans="1:43" s="69" customFormat="1" x14ac:dyDescent="0.25">
      <c r="A21" s="69" t="s">
        <v>73</v>
      </c>
      <c r="B21" s="80"/>
      <c r="C21" s="81"/>
      <c r="D21" s="81"/>
      <c r="E21" s="81"/>
      <c r="F21" s="81"/>
      <c r="G21" s="82"/>
      <c r="H21" s="123">
        <f>B17-B18</f>
        <v>17.857142857142861</v>
      </c>
      <c r="I21" s="123"/>
      <c r="J21" s="123"/>
      <c r="K21" s="123">
        <f>E17-E18</f>
        <v>35.714285714285722</v>
      </c>
      <c r="L21" s="123"/>
      <c r="M21" s="123"/>
      <c r="N21" s="123">
        <f>(H17-H18)*$E$35</f>
        <v>57.857142857142875</v>
      </c>
      <c r="O21" s="123"/>
      <c r="P21" s="123"/>
      <c r="Q21" s="123">
        <f>(K17-K18)*$E$35</f>
        <v>115.71428571428575</v>
      </c>
      <c r="R21" s="123"/>
      <c r="S21" s="123"/>
      <c r="T21" s="123">
        <f>(N17-N18)*$E$35</f>
        <v>231.4285714285715</v>
      </c>
      <c r="U21" s="123"/>
      <c r="V21" s="123"/>
      <c r="W21" s="123">
        <f>((Q17-Q18)*$E$35)-(H21*$E$35)</f>
        <v>448.39285714285728</v>
      </c>
      <c r="X21" s="123"/>
      <c r="Y21" s="123"/>
      <c r="Z21" s="123">
        <f>((T17-T18)*$E$35)-(K21*$E$35)</f>
        <v>896.78571428571456</v>
      </c>
      <c r="AA21" s="123"/>
      <c r="AB21" s="123"/>
      <c r="AC21" s="123">
        <f>((W17-W18)*$E$35)-N21</f>
        <v>1793.5714285714291</v>
      </c>
      <c r="AD21" s="123"/>
      <c r="AE21" s="123"/>
      <c r="AF21" s="123">
        <f>((Z17-Z18)*$E$35)-Q21</f>
        <v>3587.1428571428582</v>
      </c>
      <c r="AG21" s="123"/>
      <c r="AH21" s="123"/>
      <c r="AI21" s="123">
        <f>((AC17-AC18)*$E$35)-T21</f>
        <v>7174.2857142857165</v>
      </c>
      <c r="AJ21" s="123"/>
      <c r="AK21" s="123"/>
      <c r="AL21" s="123">
        <f>((AF17-AF18)*$E$35)-W21</f>
        <v>14363.035714285719</v>
      </c>
      <c r="AM21" s="123"/>
      <c r="AN21" s="123"/>
      <c r="AO21" s="123">
        <f>((AI17-AI18)*$E$35)-Z21</f>
        <v>28726.071428571438</v>
      </c>
      <c r="AP21" s="124"/>
      <c r="AQ21" s="69" t="s">
        <v>73</v>
      </c>
    </row>
    <row r="22" spans="1:43" s="69" customFormat="1" x14ac:dyDescent="0.25">
      <c r="A22" s="69" t="s">
        <v>74</v>
      </c>
      <c r="B22" s="80"/>
      <c r="C22" s="81"/>
      <c r="D22" s="81"/>
      <c r="E22" s="81"/>
      <c r="F22" s="81"/>
      <c r="G22" s="82"/>
      <c r="H22" s="107"/>
      <c r="I22" s="107"/>
      <c r="J22" s="107"/>
      <c r="K22" s="107"/>
      <c r="L22" s="107"/>
      <c r="M22" s="108"/>
      <c r="N22" s="125">
        <f>(H17-H18)*($E$36+$E$37)</f>
        <v>13.571428571428575</v>
      </c>
      <c r="O22" s="125"/>
      <c r="P22" s="125"/>
      <c r="Q22" s="125">
        <f>(K17-K18)*($E$36+$E$37)</f>
        <v>27.142857142857149</v>
      </c>
      <c r="R22" s="125"/>
      <c r="S22" s="125"/>
      <c r="T22" s="125">
        <f>(N17-N18)*$E$36</f>
        <v>40.000000000000014</v>
      </c>
      <c r="U22" s="125"/>
      <c r="V22" s="125"/>
      <c r="W22" s="125">
        <f>(Q17-Q18)*$E$36</f>
        <v>80.000000000000028</v>
      </c>
      <c r="X22" s="125"/>
      <c r="Y22" s="125"/>
      <c r="Z22" s="125">
        <f>(T17-T18)*$E$36</f>
        <v>160.00000000000006</v>
      </c>
      <c r="AA22" s="125"/>
      <c r="AB22" s="125"/>
      <c r="AC22" s="125">
        <f>(W17-W18)*$E$36</f>
        <v>320.00000000000011</v>
      </c>
      <c r="AD22" s="125"/>
      <c r="AE22" s="125"/>
      <c r="AF22" s="125">
        <f>(Z17-Z18)*$E$36</f>
        <v>640.00000000000023</v>
      </c>
      <c r="AG22" s="125"/>
      <c r="AH22" s="125"/>
      <c r="AI22" s="125">
        <f>(AC17-AC18)*$E$36</f>
        <v>1280.0000000000005</v>
      </c>
      <c r="AJ22" s="125"/>
      <c r="AK22" s="125"/>
      <c r="AL22" s="125">
        <f>(AF17-AF18)*$E$36</f>
        <v>2560.0000000000009</v>
      </c>
      <c r="AM22" s="125"/>
      <c r="AN22" s="125"/>
      <c r="AO22" s="125">
        <f>(AI17-AI18)*$E$36</f>
        <v>5120.0000000000018</v>
      </c>
      <c r="AP22" s="126"/>
      <c r="AQ22" s="69" t="s">
        <v>74</v>
      </c>
    </row>
    <row r="23" spans="1:43" s="69" customFormat="1" x14ac:dyDescent="0.25">
      <c r="A23" s="47" t="s">
        <v>75</v>
      </c>
      <c r="B23" s="80"/>
      <c r="C23" s="81"/>
      <c r="D23" s="81"/>
      <c r="E23" s="81"/>
      <c r="F23" s="81"/>
      <c r="G23" s="82"/>
      <c r="H23" s="87"/>
      <c r="I23" s="87"/>
      <c r="J23" s="87"/>
      <c r="K23" s="87"/>
      <c r="L23" s="87"/>
      <c r="M23" s="87"/>
      <c r="N23" s="107"/>
      <c r="O23" s="107"/>
      <c r="P23" s="107"/>
      <c r="Q23" s="107"/>
      <c r="R23" s="107"/>
      <c r="S23" s="108"/>
      <c r="T23" s="40">
        <f>(N17-N18)*$E$37</f>
        <v>14.28571428571429</v>
      </c>
      <c r="U23" s="40"/>
      <c r="V23" s="40"/>
      <c r="W23" s="40">
        <f>(Q17-Q18)*$E$37</f>
        <v>28.57142857142858</v>
      </c>
      <c r="X23" s="40"/>
      <c r="Y23" s="40"/>
      <c r="Z23" s="40">
        <f>(T17-T18)*$E$37</f>
        <v>57.14285714285716</v>
      </c>
      <c r="AA23" s="40"/>
      <c r="AB23" s="40"/>
      <c r="AC23" s="40">
        <f>(W17-W18)*$E$37</f>
        <v>114.28571428571432</v>
      </c>
      <c r="AD23" s="40"/>
      <c r="AE23" s="40"/>
      <c r="AF23" s="40">
        <f>(Z17-Z18)*$E$37</f>
        <v>228.57142857142864</v>
      </c>
      <c r="AG23" s="40"/>
      <c r="AH23" s="40"/>
      <c r="AI23" s="40">
        <f>(AC17-AC18)*$E$37</f>
        <v>457.14285714285728</v>
      </c>
      <c r="AJ23" s="40"/>
      <c r="AK23" s="40"/>
      <c r="AL23" s="40">
        <f>(AF17-AF18)*$E$37</f>
        <v>914.28571428571456</v>
      </c>
      <c r="AM23" s="40"/>
      <c r="AN23" s="40"/>
      <c r="AO23" s="40">
        <f>(AI17-AI18)*$E$37</f>
        <v>1828.5714285714291</v>
      </c>
      <c r="AP23" s="127"/>
      <c r="AQ23" s="47" t="s">
        <v>75</v>
      </c>
    </row>
    <row r="24" spans="1:43" s="69" customFormat="1" x14ac:dyDescent="0.25">
      <c r="A24" s="47" t="s">
        <v>80</v>
      </c>
      <c r="B24" s="86"/>
      <c r="C24" s="87"/>
      <c r="D24" s="87"/>
      <c r="E24" s="87"/>
      <c r="F24" s="87"/>
      <c r="G24" s="34"/>
      <c r="H24" s="87"/>
      <c r="I24" s="87"/>
      <c r="J24" s="87"/>
      <c r="K24" s="87"/>
      <c r="L24" s="87"/>
      <c r="M24" s="87"/>
      <c r="N24" s="87"/>
      <c r="O24" s="87"/>
      <c r="P24" s="87"/>
      <c r="Q24" s="87"/>
      <c r="R24" s="87"/>
      <c r="S24" s="87"/>
      <c r="T24" s="107"/>
      <c r="U24" s="108"/>
      <c r="V24" s="109">
        <f>H21*$E$35</f>
        <v>14.464285714285719</v>
      </c>
      <c r="W24" s="109"/>
      <c r="X24" s="109"/>
      <c r="Y24" s="109">
        <f>K21*$E$35</f>
        <v>28.928571428571438</v>
      </c>
      <c r="Z24" s="109"/>
      <c r="AA24" s="109"/>
      <c r="AB24" s="109">
        <f>N21</f>
        <v>57.857142857142875</v>
      </c>
      <c r="AC24" s="109"/>
      <c r="AD24" s="109"/>
      <c r="AE24" s="109">
        <f>Q21</f>
        <v>115.71428571428575</v>
      </c>
      <c r="AF24" s="109"/>
      <c r="AG24" s="109"/>
      <c r="AH24" s="109">
        <f>T21</f>
        <v>231.4285714285715</v>
      </c>
      <c r="AI24" s="109"/>
      <c r="AJ24" s="109"/>
      <c r="AK24" s="109">
        <f>W21</f>
        <v>448.39285714285728</v>
      </c>
      <c r="AL24" s="109"/>
      <c r="AM24" s="109"/>
      <c r="AN24" s="109">
        <f>Z21</f>
        <v>896.78571428571456</v>
      </c>
      <c r="AO24" s="109"/>
      <c r="AP24" s="110"/>
      <c r="AQ24" s="47" t="s">
        <v>80</v>
      </c>
    </row>
    <row r="25" spans="1:43" x14ac:dyDescent="0.25">
      <c r="A25" s="47" t="s">
        <v>69</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69</v>
      </c>
    </row>
    <row r="26" spans="1:43" x14ac:dyDescent="0.25">
      <c r="A26" s="133" t="s">
        <v>96</v>
      </c>
      <c r="B26" s="89">
        <f t="shared" ref="B26:G26" ca="1" si="0">C26-1</f>
        <v>43952.615477430554</v>
      </c>
      <c r="C26" s="90">
        <f t="shared" ca="1" si="0"/>
        <v>43953.615477430554</v>
      </c>
      <c r="D26" s="90">
        <f t="shared" ca="1" si="0"/>
        <v>43954.615477430554</v>
      </c>
      <c r="E26" s="90">
        <f t="shared" ca="1" si="0"/>
        <v>43955.615477430554</v>
      </c>
      <c r="F26" s="90">
        <f t="shared" ca="1" si="0"/>
        <v>43956.615477430554</v>
      </c>
      <c r="G26" s="91">
        <f t="shared" ca="1" si="0"/>
        <v>43957.615477430554</v>
      </c>
      <c r="H26" s="90">
        <f t="shared" ref="H26:U26" ca="1" si="1">I26-1</f>
        <v>43958.615477430554</v>
      </c>
      <c r="I26" s="90">
        <f t="shared" ca="1" si="1"/>
        <v>43959.615477430554</v>
      </c>
      <c r="J26" s="90">
        <f t="shared" ca="1" si="1"/>
        <v>43960.615477430554</v>
      </c>
      <c r="K26" s="90">
        <f t="shared" ca="1" si="1"/>
        <v>43961.615477430554</v>
      </c>
      <c r="L26" s="90">
        <f t="shared" ca="1" si="1"/>
        <v>43962.615477430554</v>
      </c>
      <c r="M26" s="90">
        <f t="shared" ca="1" si="1"/>
        <v>43963.615477430554</v>
      </c>
      <c r="N26" s="91">
        <f t="shared" ca="1" si="1"/>
        <v>43964.615477430554</v>
      </c>
      <c r="O26" s="89">
        <f t="shared" ca="1" si="1"/>
        <v>43965.615477430554</v>
      </c>
      <c r="P26" s="90">
        <f t="shared" ca="1" si="1"/>
        <v>43966.615477430554</v>
      </c>
      <c r="Q26" s="90">
        <f t="shared" ca="1" si="1"/>
        <v>43967.615477430554</v>
      </c>
      <c r="R26" s="90">
        <f t="shared" ca="1" si="1"/>
        <v>43968.615477430554</v>
      </c>
      <c r="S26" s="90">
        <f t="shared" ca="1" si="1"/>
        <v>43969.615477430554</v>
      </c>
      <c r="T26" s="90">
        <f t="shared" ca="1" si="1"/>
        <v>43970.615477430554</v>
      </c>
      <c r="U26" s="91">
        <f t="shared" ca="1" si="1"/>
        <v>43971.615477430554</v>
      </c>
      <c r="V26" s="89">
        <f t="shared" ref="V26:AN26" ca="1" si="2">W26-1</f>
        <v>43972.615477430554</v>
      </c>
      <c r="W26" s="90">
        <f t="shared" ca="1" si="2"/>
        <v>43973.615477430554</v>
      </c>
      <c r="X26" s="90">
        <f t="shared" ca="1" si="2"/>
        <v>43974.615477430554</v>
      </c>
      <c r="Y26" s="90">
        <f t="shared" ca="1" si="2"/>
        <v>43975.615477430554</v>
      </c>
      <c r="Z26" s="90">
        <f t="shared" ca="1" si="2"/>
        <v>43976.615477430554</v>
      </c>
      <c r="AA26" s="90">
        <f t="shared" ca="1" si="2"/>
        <v>43977.615477430554</v>
      </c>
      <c r="AB26" s="91">
        <f t="shared" ca="1" si="2"/>
        <v>43978.615477430554</v>
      </c>
      <c r="AC26" s="89">
        <f t="shared" ca="1" si="2"/>
        <v>43979.615477430554</v>
      </c>
      <c r="AD26" s="90">
        <f t="shared" ca="1" si="2"/>
        <v>43980.615477430554</v>
      </c>
      <c r="AE26" s="90">
        <f t="shared" ca="1" si="2"/>
        <v>43981.615477430554</v>
      </c>
      <c r="AF26" s="90">
        <f t="shared" ca="1" si="2"/>
        <v>43982.615477430554</v>
      </c>
      <c r="AG26" s="90">
        <f t="shared" ca="1" si="2"/>
        <v>43983.615477430554</v>
      </c>
      <c r="AH26" s="90">
        <f t="shared" ca="1" si="2"/>
        <v>43984.615477430554</v>
      </c>
      <c r="AI26" s="91">
        <f t="shared" ca="1" si="2"/>
        <v>43985.615477430554</v>
      </c>
      <c r="AJ26" s="89">
        <f t="shared" ca="1" si="2"/>
        <v>43986.615477430554</v>
      </c>
      <c r="AK26" s="90">
        <f t="shared" ca="1" si="2"/>
        <v>43987.615477430554</v>
      </c>
      <c r="AL26" s="90">
        <f t="shared" ca="1" si="2"/>
        <v>43988.615477430554</v>
      </c>
      <c r="AM26" s="90">
        <f t="shared" ca="1" si="2"/>
        <v>43989.615477430554</v>
      </c>
      <c r="AN26" s="90">
        <f t="shared" ca="1" si="2"/>
        <v>43990.615477430554</v>
      </c>
      <c r="AO26" s="90">
        <f ca="1">AP26-1</f>
        <v>43991.615477430554</v>
      </c>
      <c r="AP26" s="111">
        <f ca="1">NOW()</f>
        <v>43992.615477430554</v>
      </c>
    </row>
    <row r="27" spans="1:43" x14ac:dyDescent="0.25">
      <c r="A27" s="134" t="s">
        <v>97</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98</v>
      </c>
      <c r="B28" s="349" t="s">
        <v>67</v>
      </c>
      <c r="C28" s="350"/>
      <c r="D28" s="350"/>
      <c r="E28" s="350"/>
      <c r="F28" s="350"/>
      <c r="G28" s="351"/>
      <c r="H28" s="355" t="s">
        <v>57</v>
      </c>
      <c r="I28" s="355"/>
      <c r="J28" s="355"/>
      <c r="K28" s="355"/>
      <c r="L28" s="355"/>
      <c r="M28" s="355"/>
      <c r="N28" s="356"/>
      <c r="O28" s="354" t="s">
        <v>58</v>
      </c>
      <c r="P28" s="355"/>
      <c r="Q28" s="355"/>
      <c r="R28" s="355"/>
      <c r="S28" s="355"/>
      <c r="T28" s="355"/>
      <c r="U28" s="356"/>
      <c r="V28" s="354" t="s">
        <v>59</v>
      </c>
      <c r="W28" s="355"/>
      <c r="X28" s="355"/>
      <c r="Y28" s="355"/>
      <c r="Z28" s="355"/>
      <c r="AA28" s="355"/>
      <c r="AB28" s="356"/>
      <c r="AC28" s="354" t="s">
        <v>60</v>
      </c>
      <c r="AD28" s="355"/>
      <c r="AE28" s="355"/>
      <c r="AF28" s="355"/>
      <c r="AG28" s="355"/>
      <c r="AH28" s="355"/>
      <c r="AI28" s="356"/>
      <c r="AJ28" s="354" t="s">
        <v>61</v>
      </c>
      <c r="AK28" s="355"/>
      <c r="AL28" s="355"/>
      <c r="AM28" s="355"/>
      <c r="AN28" s="355"/>
      <c r="AO28" s="355"/>
      <c r="AP28" s="356"/>
    </row>
    <row r="29" spans="1:43" x14ac:dyDescent="0.25">
      <c r="B29" s="51" t="s">
        <v>79</v>
      </c>
      <c r="C29" s="96"/>
      <c r="D29" s="96"/>
      <c r="E29" s="96"/>
      <c r="F29" s="96"/>
      <c r="G29" s="97"/>
      <c r="H29" s="352" t="s">
        <v>66</v>
      </c>
      <c r="I29" s="352"/>
      <c r="J29" s="352"/>
      <c r="K29" s="352"/>
      <c r="L29" s="352"/>
      <c r="M29" s="352"/>
      <c r="N29" s="352"/>
      <c r="O29" s="352"/>
      <c r="P29" s="352"/>
      <c r="Q29" s="352"/>
      <c r="R29" s="352"/>
      <c r="S29" s="352"/>
      <c r="T29" s="352"/>
      <c r="U29" s="352"/>
      <c r="V29" s="352"/>
      <c r="W29" s="352"/>
      <c r="X29" s="352"/>
      <c r="Y29" s="352"/>
      <c r="Z29" s="352"/>
      <c r="AA29" s="352"/>
      <c r="AB29" s="352"/>
      <c r="AC29" s="352"/>
      <c r="AD29" s="352"/>
      <c r="AE29" s="352"/>
      <c r="AF29" s="352"/>
      <c r="AG29" s="352"/>
      <c r="AH29" s="352"/>
      <c r="AI29" s="352"/>
      <c r="AJ29" s="352"/>
      <c r="AK29" s="352"/>
      <c r="AL29" s="352"/>
      <c r="AM29" s="352"/>
      <c r="AN29" s="352"/>
      <c r="AO29" s="352"/>
      <c r="AP29" s="353"/>
    </row>
    <row r="31" spans="1:43" x14ac:dyDescent="0.25">
      <c r="B31" s="57" t="s">
        <v>68</v>
      </c>
      <c r="C31" s="138" t="s">
        <v>189</v>
      </c>
      <c r="D31" s="9"/>
      <c r="E31" s="85">
        <f>VLOOKUP(C31,B43:C54,2,FALSE)</f>
        <v>5.6000000000000001E-2</v>
      </c>
      <c r="F31" s="9"/>
      <c r="G31" s="9"/>
      <c r="H31" s="9"/>
      <c r="I31" s="5"/>
    </row>
    <row r="32" spans="1:43" x14ac:dyDescent="0.25">
      <c r="B32" s="41" t="s">
        <v>95</v>
      </c>
      <c r="C32" s="16"/>
      <c r="D32" s="16"/>
      <c r="E32" s="139">
        <v>1</v>
      </c>
      <c r="F32" s="16"/>
      <c r="G32" s="16"/>
      <c r="H32" s="16"/>
      <c r="I32" s="17"/>
    </row>
    <row r="33" spans="2:9" x14ac:dyDescent="0.25">
      <c r="B33" s="41" t="s">
        <v>70</v>
      </c>
      <c r="C33" s="16"/>
      <c r="D33" s="16"/>
      <c r="E33" s="16">
        <v>3</v>
      </c>
      <c r="F33" s="16" t="s">
        <v>71</v>
      </c>
      <c r="G33" s="16"/>
      <c r="H33" s="16"/>
      <c r="I33" s="17"/>
    </row>
    <row r="34" spans="2:9" x14ac:dyDescent="0.25">
      <c r="B34" s="41" t="s">
        <v>184</v>
      </c>
      <c r="C34" s="16"/>
      <c r="D34" s="16"/>
      <c r="E34" s="140">
        <f>1-Projections!B274</f>
        <v>0.75</v>
      </c>
      <c r="F34" s="16" t="s">
        <v>186</v>
      </c>
      <c r="G34" s="16"/>
      <c r="H34" s="16"/>
      <c r="I34" s="17"/>
    </row>
    <row r="35" spans="2:9" x14ac:dyDescent="0.25">
      <c r="B35" s="41" t="s">
        <v>76</v>
      </c>
      <c r="C35" s="16"/>
      <c r="D35" s="16"/>
      <c r="E35" s="140">
        <v>0.81</v>
      </c>
      <c r="F35" s="16" t="s">
        <v>94</v>
      </c>
      <c r="G35" s="16"/>
      <c r="H35" s="16"/>
      <c r="I35" s="17"/>
    </row>
    <row r="36" spans="2:9" x14ac:dyDescent="0.25">
      <c r="B36" s="41" t="s">
        <v>77</v>
      </c>
      <c r="C36" s="16"/>
      <c r="D36" s="16"/>
      <c r="E36" s="140">
        <v>0.14000000000000001</v>
      </c>
      <c r="F36" s="16" t="s">
        <v>94</v>
      </c>
      <c r="G36" s="16"/>
      <c r="H36" s="16"/>
      <c r="I36" s="17"/>
    </row>
    <row r="37" spans="2:9" x14ac:dyDescent="0.25">
      <c r="B37" s="41" t="s">
        <v>78</v>
      </c>
      <c r="C37" s="16"/>
      <c r="D37" s="16"/>
      <c r="E37" s="140">
        <v>0.05</v>
      </c>
      <c r="F37" s="16" t="s">
        <v>94</v>
      </c>
      <c r="G37" s="16"/>
      <c r="H37" s="16"/>
      <c r="I37" s="17"/>
    </row>
    <row r="38" spans="2:9" x14ac:dyDescent="0.25">
      <c r="B38" s="41" t="s">
        <v>81</v>
      </c>
      <c r="C38" s="16"/>
      <c r="D38" s="16"/>
      <c r="E38" s="136">
        <v>2</v>
      </c>
      <c r="F38" s="16" t="s">
        <v>82</v>
      </c>
      <c r="G38" s="16"/>
      <c r="H38" s="16"/>
      <c r="I38" s="17"/>
    </row>
    <row r="39" spans="2:9" x14ac:dyDescent="0.25">
      <c r="B39" s="37" t="s">
        <v>83</v>
      </c>
      <c r="C39" s="137"/>
      <c r="D39" s="39"/>
      <c r="E39" s="116">
        <v>4</v>
      </c>
      <c r="F39" s="39" t="s">
        <v>82</v>
      </c>
      <c r="G39" s="39" t="s">
        <v>84</v>
      </c>
      <c r="H39" s="39"/>
      <c r="I39" s="63"/>
    </row>
    <row r="42" spans="2:9" x14ac:dyDescent="0.25">
      <c r="B42" t="s">
        <v>90</v>
      </c>
    </row>
    <row r="43" spans="2:9" x14ac:dyDescent="0.25">
      <c r="B43" s="4" t="s">
        <v>89</v>
      </c>
      <c r="C43" s="115">
        <v>3.5000000000000003E-2</v>
      </c>
    </row>
    <row r="44" spans="2:9" x14ac:dyDescent="0.25">
      <c r="B44" s="41" t="s">
        <v>88</v>
      </c>
      <c r="C44" s="27">
        <v>2.3E-2</v>
      </c>
    </row>
    <row r="45" spans="2:9" x14ac:dyDescent="0.25">
      <c r="B45" s="41" t="s">
        <v>189</v>
      </c>
      <c r="C45" s="27">
        <f>Projections!B282</f>
        <v>5.6000000000000001E-2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20"/>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K355"/>
  <sheetViews>
    <sheetView tabSelected="1" topLeftCell="O263" zoomScale="85" zoomScaleNormal="85" workbookViewId="0">
      <selection activeCell="AO282" sqref="AO282"/>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5" width="11.28515625" customWidth="1"/>
    <col min="16" max="16" width="10.7109375" customWidth="1"/>
    <col min="17" max="17" width="10.85546875" bestFit="1" customWidth="1"/>
    <col min="18" max="18" width="10.7109375" bestFit="1" customWidth="1"/>
    <col min="19" max="20" width="10.85546875" bestFit="1" customWidth="1"/>
    <col min="21" max="21" width="10.5703125" customWidth="1"/>
    <col min="22" max="22" width="11.28515625" bestFit="1" customWidth="1"/>
    <col min="23" max="23" width="11" customWidth="1"/>
    <col min="24" max="24" width="10.7109375" customWidth="1"/>
    <col min="25" max="26" width="10.85546875" bestFit="1" customWidth="1"/>
    <col min="27" max="27" width="10.85546875" customWidth="1"/>
    <col min="28" max="29" width="10.85546875" bestFit="1" customWidth="1"/>
    <col min="30" max="33" width="11.28515625" customWidth="1"/>
    <col min="34" max="34" width="10.7109375" bestFit="1" customWidth="1"/>
    <col min="35" max="37" width="10.7109375" customWidth="1"/>
    <col min="38" max="38" width="10.7109375" bestFit="1" customWidth="1"/>
    <col min="39" max="39" width="11.5703125" customWidth="1"/>
    <col min="40" max="42" width="10.7109375" customWidth="1"/>
    <col min="43" max="43" width="11.7109375" bestFit="1" customWidth="1"/>
    <col min="44" max="47" width="11.7109375" customWidth="1"/>
    <col min="48" max="52" width="11.5703125" customWidth="1"/>
    <col min="53" max="53" width="11.7109375" customWidth="1"/>
    <col min="54" max="54" width="13.7109375" customWidth="1"/>
    <col min="55" max="56" width="11.5703125" bestFit="1" customWidth="1"/>
    <col min="57" max="58" width="13.28515625" bestFit="1" customWidth="1"/>
    <col min="59" max="59" width="13.7109375" customWidth="1"/>
    <col min="60" max="60" width="11.5703125" style="69" bestFit="1" customWidth="1"/>
    <col min="61" max="61" width="11.140625" bestFit="1" customWidth="1"/>
    <col min="62" max="62" width="12.140625" bestFit="1" customWidth="1"/>
  </cols>
  <sheetData>
    <row r="1" spans="3:34" x14ac:dyDescent="0.25">
      <c r="C1" t="s">
        <v>356</v>
      </c>
      <c r="D1" t="s">
        <v>121</v>
      </c>
      <c r="E1" t="s">
        <v>357</v>
      </c>
    </row>
    <row r="2" spans="3:34" x14ac:dyDescent="0.25">
      <c r="C2" t="s">
        <v>353</v>
      </c>
      <c r="D2" t="s">
        <v>353</v>
      </c>
      <c r="E2" s="274">
        <v>2017</v>
      </c>
      <c r="F2" t="s">
        <v>274</v>
      </c>
    </row>
    <row r="3" spans="3:34" x14ac:dyDescent="0.25">
      <c r="E3" s="347">
        <v>42917</v>
      </c>
      <c r="F3" t="s">
        <v>560</v>
      </c>
    </row>
    <row r="4" spans="3:34" x14ac:dyDescent="0.25">
      <c r="E4" s="292">
        <v>43132</v>
      </c>
      <c r="F4" t="s">
        <v>557</v>
      </c>
    </row>
    <row r="5" spans="3:34" x14ac:dyDescent="0.25">
      <c r="E5" s="347">
        <v>43160</v>
      </c>
      <c r="F5" t="s">
        <v>558</v>
      </c>
    </row>
    <row r="6" spans="3:34" x14ac:dyDescent="0.25">
      <c r="C6" t="s">
        <v>353</v>
      </c>
      <c r="D6" t="s">
        <v>353</v>
      </c>
      <c r="E6" s="274">
        <v>2018</v>
      </c>
      <c r="F6" t="s">
        <v>273</v>
      </c>
    </row>
    <row r="7" spans="3:34" x14ac:dyDescent="0.25">
      <c r="C7" t="s">
        <v>353</v>
      </c>
      <c r="D7" t="s">
        <v>353</v>
      </c>
      <c r="E7" s="292">
        <v>43647</v>
      </c>
      <c r="F7" t="s">
        <v>385</v>
      </c>
    </row>
    <row r="8" spans="3:34" x14ac:dyDescent="0.25">
      <c r="C8" t="s">
        <v>353</v>
      </c>
      <c r="D8" t="s">
        <v>353</v>
      </c>
      <c r="E8" s="217">
        <v>44177</v>
      </c>
      <c r="F8" t="s">
        <v>512</v>
      </c>
    </row>
    <row r="9" spans="3:34" x14ac:dyDescent="0.25">
      <c r="C9" t="s">
        <v>353</v>
      </c>
      <c r="D9" t="s">
        <v>353</v>
      </c>
      <c r="E9" s="217">
        <v>43829</v>
      </c>
      <c r="F9" t="s">
        <v>259</v>
      </c>
    </row>
    <row r="10" spans="3:34" x14ac:dyDescent="0.25">
      <c r="C10" t="s">
        <v>353</v>
      </c>
      <c r="D10" t="s">
        <v>353</v>
      </c>
      <c r="E10" s="217">
        <v>43830</v>
      </c>
      <c r="F10" t="s">
        <v>262</v>
      </c>
    </row>
    <row r="11" spans="3:34" x14ac:dyDescent="0.25">
      <c r="D11" t="s">
        <v>353</v>
      </c>
      <c r="E11" t="s">
        <v>353</v>
      </c>
      <c r="F11" s="217">
        <v>43833</v>
      </c>
      <c r="G11" t="s">
        <v>258</v>
      </c>
    </row>
    <row r="12" spans="3:34" x14ac:dyDescent="0.25">
      <c r="D12" t="s">
        <v>353</v>
      </c>
      <c r="E12" t="s">
        <v>353</v>
      </c>
      <c r="F12" s="269">
        <v>43835</v>
      </c>
      <c r="G12" s="69" t="s">
        <v>255</v>
      </c>
      <c r="H12" s="69"/>
      <c r="I12" s="69"/>
      <c r="J12" s="69"/>
      <c r="K12" s="69"/>
      <c r="L12" s="69"/>
      <c r="M12" s="69"/>
      <c r="N12" s="165"/>
      <c r="P12" s="217"/>
    </row>
    <row r="13" spans="3:34" x14ac:dyDescent="0.25">
      <c r="D13" t="s">
        <v>353</v>
      </c>
      <c r="E13" t="s">
        <v>353</v>
      </c>
      <c r="F13" s="158">
        <v>43836</v>
      </c>
      <c r="G13" s="159" t="s">
        <v>191</v>
      </c>
      <c r="H13" s="159"/>
      <c r="I13" s="159"/>
      <c r="J13" s="159"/>
      <c r="K13" s="159"/>
      <c r="L13" s="159"/>
      <c r="M13" s="159"/>
      <c r="N13" s="158">
        <v>43850</v>
      </c>
      <c r="P13" s="217"/>
    </row>
    <row r="14" spans="3:34" x14ac:dyDescent="0.25">
      <c r="D14" t="s">
        <v>353</v>
      </c>
      <c r="E14" t="s">
        <v>353</v>
      </c>
      <c r="F14" s="269">
        <v>43837</v>
      </c>
      <c r="G14" s="69" t="s">
        <v>225</v>
      </c>
      <c r="H14" s="69"/>
      <c r="I14" s="69"/>
      <c r="J14" s="69"/>
      <c r="K14" s="69"/>
      <c r="L14" s="69"/>
      <c r="M14" s="69"/>
      <c r="N14" s="165"/>
      <c r="P14" s="217"/>
    </row>
    <row r="15" spans="3:34" x14ac:dyDescent="0.25">
      <c r="D15" t="s">
        <v>353</v>
      </c>
      <c r="E15" t="s">
        <v>353</v>
      </c>
      <c r="F15" s="165">
        <v>43838</v>
      </c>
      <c r="G15" s="69" t="s">
        <v>263</v>
      </c>
      <c r="H15" s="69"/>
      <c r="I15" s="69"/>
      <c r="J15" s="69"/>
      <c r="K15" s="69"/>
      <c r="L15" s="69"/>
      <c r="M15" s="69"/>
      <c r="N15" s="165"/>
      <c r="O15" s="69"/>
      <c r="P15" s="165"/>
      <c r="Q15" s="69"/>
      <c r="R15" s="69"/>
      <c r="S15" s="69"/>
      <c r="T15" s="69"/>
      <c r="V15" s="69"/>
      <c r="W15" s="69"/>
      <c r="X15" s="69"/>
      <c r="Y15" s="69"/>
      <c r="Z15" s="69"/>
      <c r="AA15" s="69"/>
      <c r="AB15" s="69"/>
      <c r="AC15" s="69"/>
      <c r="AD15" s="69"/>
      <c r="AE15" s="69"/>
      <c r="AF15" s="69"/>
      <c r="AG15" s="69"/>
      <c r="AH15" s="69"/>
    </row>
    <row r="16" spans="3:34" x14ac:dyDescent="0.25">
      <c r="D16" t="s">
        <v>353</v>
      </c>
      <c r="E16" t="s">
        <v>353</v>
      </c>
      <c r="F16" s="165">
        <v>43839</v>
      </c>
      <c r="G16" s="69" t="s">
        <v>544</v>
      </c>
      <c r="H16" s="69"/>
      <c r="I16" s="69"/>
      <c r="J16" s="69"/>
      <c r="K16" s="69"/>
      <c r="L16" s="69"/>
      <c r="M16" s="69"/>
      <c r="N16" s="165"/>
      <c r="O16" s="69"/>
      <c r="P16" s="165"/>
      <c r="Q16" s="69"/>
      <c r="R16" s="69"/>
      <c r="S16" s="69"/>
      <c r="T16" s="69"/>
      <c r="V16" s="69"/>
      <c r="W16" s="69"/>
      <c r="X16" s="69"/>
      <c r="Y16" s="69"/>
      <c r="Z16" s="69"/>
      <c r="AA16" s="69"/>
      <c r="AB16" s="69"/>
      <c r="AC16" s="69"/>
      <c r="AD16" s="69"/>
      <c r="AE16" s="69"/>
      <c r="AF16" s="69"/>
      <c r="AG16" s="69"/>
      <c r="AH16" s="69"/>
    </row>
    <row r="17" spans="4:35" x14ac:dyDescent="0.25">
      <c r="D17" t="s">
        <v>353</v>
      </c>
      <c r="E17" t="s">
        <v>353</v>
      </c>
      <c r="F17" s="269">
        <v>43839</v>
      </c>
      <c r="G17" s="69" t="s">
        <v>226</v>
      </c>
      <c r="H17" s="69"/>
      <c r="I17" s="69"/>
      <c r="J17" s="69"/>
      <c r="K17" s="69"/>
      <c r="L17" s="69"/>
      <c r="M17" s="69"/>
      <c r="N17" s="165"/>
      <c r="P17" s="217"/>
    </row>
    <row r="18" spans="4:35" x14ac:dyDescent="0.25">
      <c r="D18" t="s">
        <v>353</v>
      </c>
      <c r="E18" t="s">
        <v>353</v>
      </c>
      <c r="F18" s="269">
        <v>43840</v>
      </c>
      <c r="G18" s="69" t="s">
        <v>296</v>
      </c>
      <c r="H18" s="69"/>
      <c r="I18" s="69"/>
      <c r="J18" s="69"/>
      <c r="K18" s="69"/>
      <c r="L18" s="69"/>
      <c r="M18" s="69"/>
      <c r="N18" s="165"/>
      <c r="P18" s="217"/>
    </row>
    <row r="19" spans="4:35" x14ac:dyDescent="0.25">
      <c r="D19" t="s">
        <v>353</v>
      </c>
      <c r="E19" t="s">
        <v>353</v>
      </c>
      <c r="F19" s="165">
        <v>43841</v>
      </c>
      <c r="G19" s="69" t="s">
        <v>233</v>
      </c>
      <c r="H19" s="69"/>
      <c r="I19" s="69"/>
      <c r="J19" s="69"/>
      <c r="K19" s="69"/>
      <c r="L19" s="69"/>
      <c r="M19" s="69"/>
      <c r="N19" s="165"/>
      <c r="P19" s="217"/>
    </row>
    <row r="20" spans="4:35" x14ac:dyDescent="0.25">
      <c r="D20" t="s">
        <v>353</v>
      </c>
      <c r="E20" t="s">
        <v>353</v>
      </c>
      <c r="F20" s="165">
        <v>43842</v>
      </c>
      <c r="G20" s="69" t="s">
        <v>260</v>
      </c>
      <c r="H20" s="69"/>
      <c r="I20" s="69"/>
      <c r="J20" s="69"/>
      <c r="K20" s="69"/>
      <c r="L20" s="69"/>
      <c r="M20" s="69"/>
      <c r="N20" s="165"/>
      <c r="P20" s="217"/>
    </row>
    <row r="21" spans="4:35" x14ac:dyDescent="0.25">
      <c r="D21" t="s">
        <v>353</v>
      </c>
      <c r="E21" t="s">
        <v>353</v>
      </c>
      <c r="F21" s="269">
        <v>43844</v>
      </c>
      <c r="G21" s="69" t="s">
        <v>545</v>
      </c>
      <c r="H21" s="69"/>
      <c r="I21" s="69"/>
      <c r="J21" s="69"/>
      <c r="K21" s="69"/>
      <c r="L21" s="69"/>
      <c r="M21" s="69"/>
      <c r="N21" s="165"/>
      <c r="P21" s="217"/>
    </row>
    <row r="22" spans="4:35" x14ac:dyDescent="0.25">
      <c r="D22" s="69" t="s">
        <v>353</v>
      </c>
      <c r="E22" s="69" t="s">
        <v>353</v>
      </c>
      <c r="F22" s="165">
        <v>43844</v>
      </c>
      <c r="G22" s="69" t="s">
        <v>548</v>
      </c>
      <c r="H22" s="69"/>
      <c r="I22" s="69"/>
      <c r="J22" s="69"/>
      <c r="K22" s="69"/>
      <c r="L22" s="69"/>
      <c r="M22" s="69"/>
      <c r="N22" s="165"/>
      <c r="P22" s="217"/>
    </row>
    <row r="23" spans="4:35" x14ac:dyDescent="0.25">
      <c r="D23" t="s">
        <v>353</v>
      </c>
      <c r="E23" t="s">
        <v>353</v>
      </c>
      <c r="F23" s="165">
        <v>43845</v>
      </c>
      <c r="G23" s="69" t="s">
        <v>266</v>
      </c>
      <c r="H23" s="69"/>
      <c r="I23" s="69"/>
      <c r="J23" s="69"/>
      <c r="K23" s="69"/>
      <c r="L23" s="69"/>
      <c r="M23" s="69"/>
      <c r="N23" s="165"/>
      <c r="P23" s="217"/>
      <c r="AI23" s="69"/>
    </row>
    <row r="24" spans="4:35" x14ac:dyDescent="0.25">
      <c r="D24" t="s">
        <v>353</v>
      </c>
      <c r="E24" t="s">
        <v>353</v>
      </c>
      <c r="F24" s="165">
        <v>43846</v>
      </c>
      <c r="G24" s="69" t="s">
        <v>192</v>
      </c>
      <c r="H24" s="69"/>
      <c r="I24" s="69"/>
      <c r="J24" s="69"/>
      <c r="K24" s="69"/>
      <c r="L24" s="69"/>
      <c r="M24" s="69"/>
      <c r="N24" s="165"/>
      <c r="P24" s="217"/>
    </row>
    <row r="25" spans="4:35" x14ac:dyDescent="0.25">
      <c r="D25" t="s">
        <v>353</v>
      </c>
      <c r="E25" t="s">
        <v>353</v>
      </c>
      <c r="F25" s="158">
        <v>43847</v>
      </c>
      <c r="G25" s="159" t="s">
        <v>218</v>
      </c>
      <c r="H25" s="159"/>
      <c r="I25" s="159"/>
      <c r="J25" s="159"/>
      <c r="K25" s="159"/>
      <c r="L25" s="159"/>
      <c r="M25" s="159"/>
      <c r="N25" s="158">
        <v>43861</v>
      </c>
      <c r="P25" s="217"/>
    </row>
    <row r="26" spans="4:35" x14ac:dyDescent="0.25">
      <c r="D26" t="s">
        <v>353</v>
      </c>
      <c r="E26" t="s">
        <v>353</v>
      </c>
      <c r="F26" s="268">
        <v>43848</v>
      </c>
      <c r="G26" s="69" t="s">
        <v>202</v>
      </c>
      <c r="H26" s="69"/>
      <c r="I26" s="69"/>
      <c r="J26" s="69"/>
      <c r="K26" s="69"/>
      <c r="L26" s="69"/>
      <c r="M26" s="69"/>
      <c r="N26" s="165"/>
      <c r="O26" s="69"/>
      <c r="P26" s="165"/>
    </row>
    <row r="27" spans="4:35" x14ac:dyDescent="0.25">
      <c r="D27" t="s">
        <v>353</v>
      </c>
      <c r="E27" t="s">
        <v>353</v>
      </c>
      <c r="F27" s="165">
        <v>43850</v>
      </c>
      <c r="G27" s="69" t="s">
        <v>547</v>
      </c>
      <c r="H27" s="69"/>
      <c r="I27" s="69"/>
      <c r="J27" s="69"/>
      <c r="K27" s="69"/>
      <c r="L27" s="69"/>
      <c r="M27" s="69"/>
      <c r="N27" s="165"/>
      <c r="O27" s="69"/>
      <c r="P27" s="165"/>
    </row>
    <row r="28" spans="4:35" x14ac:dyDescent="0.25">
      <c r="D28" s="286">
        <v>1</v>
      </c>
      <c r="E28" t="s">
        <v>353</v>
      </c>
      <c r="F28" s="217">
        <v>43851</v>
      </c>
      <c r="G28" t="s">
        <v>193</v>
      </c>
    </row>
    <row r="29" spans="4:35" x14ac:dyDescent="0.25">
      <c r="D29" s="288">
        <v>1</v>
      </c>
      <c r="E29" t="s">
        <v>353</v>
      </c>
      <c r="F29" s="268">
        <v>43852</v>
      </c>
      <c r="G29" t="s">
        <v>194</v>
      </c>
    </row>
    <row r="30" spans="4:35" x14ac:dyDescent="0.25">
      <c r="D30" s="288">
        <v>1</v>
      </c>
      <c r="E30" t="s">
        <v>353</v>
      </c>
      <c r="F30" s="165">
        <v>43853</v>
      </c>
      <c r="G30" t="s">
        <v>546</v>
      </c>
    </row>
    <row r="31" spans="4:35" x14ac:dyDescent="0.25">
      <c r="D31" s="288">
        <v>1</v>
      </c>
      <c r="E31" t="s">
        <v>353</v>
      </c>
      <c r="F31" s="269">
        <v>43853</v>
      </c>
      <c r="G31" s="69" t="s">
        <v>231</v>
      </c>
      <c r="H31" s="69"/>
      <c r="I31" s="69"/>
      <c r="J31" s="69"/>
      <c r="K31" s="69"/>
      <c r="L31" s="69"/>
      <c r="M31" s="69"/>
      <c r="N31" s="69"/>
      <c r="O31" s="69"/>
      <c r="P31" s="69"/>
      <c r="Q31" s="69"/>
      <c r="R31" s="69"/>
      <c r="S31" s="69"/>
      <c r="T31" s="69"/>
      <c r="V31" s="69"/>
      <c r="W31" s="69"/>
      <c r="X31" s="69"/>
      <c r="Y31" s="69"/>
      <c r="Z31" s="69"/>
      <c r="AA31" s="69"/>
      <c r="AB31" s="69"/>
      <c r="AC31" s="69"/>
      <c r="AD31" s="69"/>
      <c r="AE31" s="69"/>
      <c r="AF31" s="69"/>
      <c r="AG31" s="69"/>
      <c r="AH31" s="69"/>
    </row>
    <row r="32" spans="4:35" x14ac:dyDescent="0.25">
      <c r="D32" s="286">
        <v>2</v>
      </c>
      <c r="E32" s="69" t="s">
        <v>353</v>
      </c>
      <c r="F32" s="268">
        <v>43854</v>
      </c>
      <c r="G32" s="69" t="s">
        <v>227</v>
      </c>
      <c r="H32" s="69"/>
      <c r="I32" s="69"/>
      <c r="J32" s="69"/>
      <c r="K32" s="69"/>
      <c r="L32" s="69"/>
      <c r="M32" s="69"/>
      <c r="N32" s="69"/>
      <c r="O32" s="69"/>
      <c r="P32" s="69"/>
      <c r="Q32" s="69"/>
      <c r="R32" s="69"/>
      <c r="S32" s="69"/>
      <c r="T32" s="69"/>
      <c r="V32" s="69"/>
      <c r="W32" s="69"/>
      <c r="X32" s="69"/>
      <c r="Y32" s="69"/>
      <c r="Z32" s="69"/>
      <c r="AA32" s="69"/>
      <c r="AB32" s="69"/>
      <c r="AC32" s="69"/>
      <c r="AD32" s="69"/>
      <c r="AE32" s="69"/>
      <c r="AF32" s="69"/>
      <c r="AG32" s="69"/>
      <c r="AH32" s="69"/>
    </row>
    <row r="33" spans="4:40" x14ac:dyDescent="0.25">
      <c r="D33" s="286">
        <v>5</v>
      </c>
      <c r="E33" s="69" t="s">
        <v>353</v>
      </c>
      <c r="F33" s="165">
        <v>43857</v>
      </c>
      <c r="G33" s="69" t="s">
        <v>203</v>
      </c>
      <c r="H33" s="69"/>
      <c r="I33" s="69"/>
      <c r="J33" s="69"/>
      <c r="K33" s="69"/>
      <c r="L33" s="69"/>
      <c r="M33" s="69"/>
      <c r="N33" s="69"/>
      <c r="O33" s="69"/>
      <c r="P33" s="69"/>
      <c r="Q33" s="69"/>
      <c r="R33" s="69"/>
      <c r="S33" s="69"/>
      <c r="T33" s="69"/>
      <c r="V33" s="69"/>
      <c r="W33" s="69"/>
      <c r="X33" s="69"/>
      <c r="Y33" s="69"/>
      <c r="Z33" s="69"/>
      <c r="AA33" s="69"/>
      <c r="AB33" s="69"/>
      <c r="AC33" s="69"/>
      <c r="AD33" s="69"/>
      <c r="AE33" s="69"/>
      <c r="AF33" s="69"/>
      <c r="AG33" s="69"/>
      <c r="AH33" s="69"/>
    </row>
    <row r="34" spans="4:40" x14ac:dyDescent="0.25">
      <c r="D34" s="288">
        <v>5</v>
      </c>
      <c r="E34" s="69" t="s">
        <v>353</v>
      </c>
      <c r="F34" s="158">
        <v>43858</v>
      </c>
      <c r="G34" s="159" t="s">
        <v>265</v>
      </c>
      <c r="H34" s="159"/>
      <c r="I34" s="159"/>
      <c r="J34" s="159"/>
      <c r="K34" s="159"/>
      <c r="L34" s="159"/>
      <c r="M34" s="159"/>
      <c r="N34" s="159"/>
      <c r="O34" s="158">
        <v>43873</v>
      </c>
      <c r="P34" s="69"/>
      <c r="Q34" s="69"/>
      <c r="R34" s="69"/>
      <c r="S34" s="69"/>
      <c r="T34" s="69"/>
      <c r="V34" s="69"/>
      <c r="W34" s="69"/>
      <c r="X34" s="69"/>
      <c r="Y34" s="69"/>
      <c r="Z34" s="69"/>
      <c r="AA34" s="69"/>
      <c r="AB34" s="69"/>
      <c r="AC34" s="69"/>
      <c r="AD34" s="69"/>
      <c r="AE34" s="69"/>
      <c r="AF34" s="69"/>
      <c r="AG34" s="69"/>
      <c r="AH34" s="69"/>
    </row>
    <row r="35" spans="4:40" x14ac:dyDescent="0.25">
      <c r="D35" s="288">
        <v>5</v>
      </c>
      <c r="E35" s="69" t="s">
        <v>353</v>
      </c>
      <c r="F35" s="165">
        <v>43859</v>
      </c>
      <c r="G35" s="69" t="s">
        <v>204</v>
      </c>
      <c r="H35" s="69"/>
      <c r="I35" s="69"/>
      <c r="J35" s="69"/>
      <c r="K35" s="69"/>
      <c r="L35" s="69"/>
      <c r="M35" s="69"/>
      <c r="N35" s="69"/>
      <c r="O35" s="69"/>
      <c r="P35" s="69"/>
      <c r="Q35" s="69"/>
      <c r="R35" s="69"/>
      <c r="S35" s="69"/>
      <c r="T35" s="69"/>
      <c r="V35" s="69"/>
      <c r="W35" s="69"/>
      <c r="X35" s="69"/>
      <c r="Y35" s="69"/>
      <c r="Z35" s="69"/>
      <c r="AA35" s="69"/>
      <c r="AB35" s="69"/>
      <c r="AC35" s="69"/>
      <c r="AD35" s="69"/>
      <c r="AE35" s="69"/>
      <c r="AF35" s="69"/>
      <c r="AG35" s="69"/>
      <c r="AH35" s="69"/>
    </row>
    <row r="36" spans="4:40" x14ac:dyDescent="0.25">
      <c r="D36" s="288">
        <v>5</v>
      </c>
      <c r="E36" s="69" t="s">
        <v>353</v>
      </c>
      <c r="F36" s="217">
        <v>43859</v>
      </c>
      <c r="G36" t="s">
        <v>195</v>
      </c>
      <c r="Q36" s="217"/>
    </row>
    <row r="37" spans="4:40" x14ac:dyDescent="0.25">
      <c r="D37" s="288">
        <v>6</v>
      </c>
      <c r="E37" s="69" t="s">
        <v>353</v>
      </c>
      <c r="F37" s="269">
        <v>43860</v>
      </c>
      <c r="G37" t="s">
        <v>234</v>
      </c>
      <c r="AI37" s="69"/>
      <c r="AJ37" s="69"/>
      <c r="AK37" s="69"/>
      <c r="AL37" s="69"/>
      <c r="AM37" s="69"/>
      <c r="AN37" s="69"/>
    </row>
    <row r="38" spans="4:40" x14ac:dyDescent="0.25">
      <c r="D38" s="288">
        <v>6</v>
      </c>
      <c r="E38" s="69" t="s">
        <v>353</v>
      </c>
      <c r="F38" s="268">
        <v>43860</v>
      </c>
      <c r="G38" t="s">
        <v>205</v>
      </c>
      <c r="AI38" s="69"/>
    </row>
    <row r="39" spans="4:40" x14ac:dyDescent="0.25">
      <c r="D39" s="288">
        <v>6</v>
      </c>
      <c r="E39" s="69" t="s">
        <v>353</v>
      </c>
      <c r="F39" s="268">
        <v>43860</v>
      </c>
      <c r="G39" t="s">
        <v>277</v>
      </c>
      <c r="AI39" s="69"/>
    </row>
    <row r="40" spans="4:40" x14ac:dyDescent="0.25">
      <c r="D40" s="288">
        <v>6</v>
      </c>
      <c r="E40" s="69" t="s">
        <v>353</v>
      </c>
      <c r="F40" s="165">
        <v>43860</v>
      </c>
      <c r="G40" s="69" t="s">
        <v>261</v>
      </c>
      <c r="H40" s="69"/>
      <c r="I40" s="69"/>
      <c r="J40" s="69"/>
      <c r="K40" s="69"/>
      <c r="L40" s="69"/>
      <c r="M40" s="69"/>
      <c r="N40" s="69"/>
      <c r="O40" s="69"/>
      <c r="P40" s="69"/>
      <c r="Q40" s="69"/>
      <c r="R40" s="69"/>
      <c r="S40" s="69"/>
      <c r="T40" s="69"/>
      <c r="V40" s="69"/>
      <c r="W40" s="69"/>
      <c r="X40" s="69"/>
      <c r="Y40" s="69"/>
      <c r="Z40" s="69"/>
      <c r="AA40" s="69"/>
      <c r="AB40" s="69"/>
      <c r="AC40" s="69"/>
      <c r="AD40" s="69"/>
      <c r="AE40" s="69"/>
      <c r="AF40" s="69"/>
      <c r="AG40" s="69"/>
      <c r="AH40" s="69"/>
      <c r="AI40" s="69"/>
    </row>
    <row r="41" spans="4:40" x14ac:dyDescent="0.25">
      <c r="D41" s="288">
        <v>6</v>
      </c>
      <c r="E41" s="69" t="s">
        <v>353</v>
      </c>
      <c r="F41" s="165">
        <v>43860</v>
      </c>
      <c r="G41" s="69" t="s">
        <v>354</v>
      </c>
      <c r="H41" s="69"/>
      <c r="I41" s="69"/>
      <c r="J41" s="69"/>
      <c r="K41" s="69"/>
      <c r="L41" s="69"/>
      <c r="M41" s="69"/>
      <c r="N41" s="69"/>
      <c r="O41" s="69"/>
      <c r="P41" s="69"/>
      <c r="Q41" s="69"/>
      <c r="R41" s="69"/>
      <c r="S41" s="69"/>
      <c r="T41" s="69"/>
      <c r="V41" s="69"/>
      <c r="W41" s="69"/>
      <c r="X41" s="69"/>
      <c r="Y41" s="69"/>
      <c r="Z41" s="69"/>
      <c r="AA41" s="69"/>
      <c r="AB41" s="69"/>
      <c r="AC41" s="69"/>
      <c r="AD41" s="69"/>
      <c r="AE41" s="69"/>
      <c r="AF41" s="69"/>
      <c r="AG41" s="69"/>
      <c r="AH41" s="69"/>
      <c r="AI41" s="69"/>
    </row>
    <row r="42" spans="4:40" x14ac:dyDescent="0.25">
      <c r="D42" s="288">
        <v>7</v>
      </c>
      <c r="E42" s="69" t="s">
        <v>353</v>
      </c>
      <c r="F42" s="165">
        <v>43861</v>
      </c>
      <c r="G42" s="69" t="s">
        <v>240</v>
      </c>
      <c r="H42" s="69"/>
      <c r="I42" s="69"/>
      <c r="J42" s="69"/>
      <c r="K42" s="69"/>
      <c r="L42" s="69"/>
      <c r="M42" s="69"/>
      <c r="N42" s="69"/>
      <c r="O42" s="165"/>
      <c r="AI42" s="69"/>
    </row>
    <row r="43" spans="4:40" x14ac:dyDescent="0.25">
      <c r="D43" s="288">
        <v>7</v>
      </c>
      <c r="E43" s="69" t="s">
        <v>353</v>
      </c>
      <c r="F43" s="268">
        <v>43861</v>
      </c>
      <c r="G43" s="69" t="s">
        <v>243</v>
      </c>
      <c r="H43" s="69"/>
      <c r="I43" s="69"/>
      <c r="J43" s="69"/>
      <c r="K43" s="69"/>
      <c r="L43" s="69"/>
      <c r="M43" s="69"/>
      <c r="N43" s="69"/>
      <c r="O43" s="165"/>
    </row>
    <row r="44" spans="4:40" x14ac:dyDescent="0.25">
      <c r="D44" s="288">
        <v>7</v>
      </c>
      <c r="E44" s="69" t="s">
        <v>353</v>
      </c>
      <c r="F44" s="165">
        <v>43861</v>
      </c>
      <c r="G44" s="69" t="s">
        <v>241</v>
      </c>
      <c r="H44" s="69"/>
      <c r="I44" s="69"/>
      <c r="J44" s="69"/>
      <c r="K44" s="69"/>
      <c r="L44" s="69"/>
      <c r="M44" s="69"/>
      <c r="N44" s="69"/>
      <c r="O44" s="165"/>
    </row>
    <row r="45" spans="4:40" x14ac:dyDescent="0.25">
      <c r="G45" s="165" t="s">
        <v>206</v>
      </c>
      <c r="H45" t="s">
        <v>207</v>
      </c>
    </row>
    <row r="46" spans="4:40" x14ac:dyDescent="0.25">
      <c r="E46" s="69"/>
      <c r="G46" s="270" t="s">
        <v>229</v>
      </c>
      <c r="H46" s="69" t="s">
        <v>230</v>
      </c>
      <c r="I46" s="69"/>
      <c r="L46" s="69"/>
      <c r="M46" s="69"/>
      <c r="N46" s="69"/>
      <c r="O46" s="69"/>
      <c r="P46" s="165"/>
      <c r="Q46" s="165"/>
      <c r="R46" s="69"/>
      <c r="S46" s="69"/>
      <c r="T46" s="69"/>
      <c r="U46" s="69"/>
      <c r="V46" s="69"/>
      <c r="W46" s="69"/>
      <c r="X46" s="69"/>
      <c r="Y46" s="69"/>
      <c r="Z46" s="69"/>
      <c r="AA46" s="69"/>
      <c r="AB46" s="69"/>
      <c r="AC46" s="69"/>
      <c r="AD46" s="69"/>
      <c r="AE46" s="69"/>
      <c r="AF46" s="69"/>
      <c r="AG46" s="69"/>
      <c r="AH46" s="69"/>
    </row>
    <row r="47" spans="4:40" x14ac:dyDescent="0.25">
      <c r="F47" s="286">
        <v>8</v>
      </c>
      <c r="G47" t="s">
        <v>353</v>
      </c>
      <c r="H47" s="217">
        <v>43862</v>
      </c>
      <c r="I47" t="s">
        <v>237</v>
      </c>
    </row>
    <row r="48" spans="4:40" x14ac:dyDescent="0.25">
      <c r="F48" s="288">
        <v>11</v>
      </c>
      <c r="G48" s="69" t="s">
        <v>353</v>
      </c>
      <c r="H48" s="158">
        <v>43863</v>
      </c>
      <c r="I48" s="159" t="s">
        <v>197</v>
      </c>
      <c r="J48" s="159"/>
      <c r="K48" s="159"/>
      <c r="L48" s="159"/>
      <c r="M48" s="159"/>
      <c r="N48" s="158"/>
      <c r="O48" s="158">
        <v>43877</v>
      </c>
      <c r="AI48" s="69"/>
    </row>
    <row r="49" spans="5:52" x14ac:dyDescent="0.25">
      <c r="E49" s="69"/>
      <c r="F49" s="288">
        <v>11</v>
      </c>
      <c r="G49" s="69" t="s">
        <v>353</v>
      </c>
      <c r="H49" s="268">
        <v>43863</v>
      </c>
      <c r="I49" s="69" t="s">
        <v>282</v>
      </c>
      <c r="J49" s="69"/>
      <c r="K49" s="69"/>
      <c r="L49" s="69"/>
      <c r="M49" s="69"/>
      <c r="N49" s="165"/>
      <c r="O49" s="165"/>
      <c r="P49" s="69"/>
      <c r="Q49" s="69"/>
      <c r="R49" s="69"/>
      <c r="S49" s="69"/>
      <c r="T49" s="69"/>
      <c r="V49" s="69"/>
      <c r="W49" s="69"/>
      <c r="X49" s="69"/>
      <c r="Y49" s="69"/>
      <c r="Z49" s="69"/>
      <c r="AA49" s="69"/>
      <c r="AB49" s="69"/>
      <c r="AC49" s="69"/>
      <c r="AD49" s="69"/>
      <c r="AE49" s="69"/>
      <c r="AF49" s="69"/>
      <c r="AG49" s="69"/>
      <c r="AH49" s="69"/>
    </row>
    <row r="50" spans="5:52" x14ac:dyDescent="0.25">
      <c r="F50" s="288">
        <v>12</v>
      </c>
      <c r="G50" s="69" t="s">
        <v>353</v>
      </c>
      <c r="H50" s="165">
        <v>43866</v>
      </c>
      <c r="I50" s="69" t="s">
        <v>242</v>
      </c>
      <c r="J50" s="69"/>
      <c r="K50" s="69"/>
      <c r="L50" s="69"/>
      <c r="M50" s="69"/>
      <c r="N50" s="165"/>
      <c r="O50" s="165"/>
      <c r="AJ50" s="69"/>
      <c r="AK50" s="69"/>
      <c r="AL50" s="69"/>
      <c r="AM50" s="69"/>
      <c r="AN50" s="69"/>
      <c r="AO50" s="69"/>
      <c r="AP50" s="69"/>
      <c r="AQ50" s="69"/>
      <c r="AR50" s="69"/>
      <c r="AS50" s="69"/>
      <c r="AT50" s="69"/>
      <c r="AU50" s="69"/>
      <c r="AV50" s="69"/>
      <c r="AW50" s="69"/>
      <c r="AX50" s="69"/>
      <c r="AY50" s="69"/>
      <c r="AZ50" s="69"/>
    </row>
    <row r="51" spans="5:52" x14ac:dyDescent="0.25">
      <c r="F51" s="288">
        <v>12</v>
      </c>
      <c r="G51" s="290" t="s">
        <v>355</v>
      </c>
      <c r="H51" s="165">
        <v>43867</v>
      </c>
      <c r="I51" s="16" t="s">
        <v>306</v>
      </c>
      <c r="J51" s="69"/>
      <c r="K51" s="69"/>
      <c r="L51" s="69"/>
      <c r="M51" s="69"/>
      <c r="N51" s="165"/>
      <c r="O51" s="165"/>
      <c r="AJ51" s="69"/>
      <c r="AK51" s="69"/>
      <c r="AL51" s="69"/>
      <c r="AM51" s="69"/>
      <c r="AN51" s="69"/>
    </row>
    <row r="52" spans="5:52" x14ac:dyDescent="0.25">
      <c r="F52" s="288">
        <v>12</v>
      </c>
      <c r="G52" s="290" t="s">
        <v>355</v>
      </c>
      <c r="H52" s="165">
        <v>43868</v>
      </c>
      <c r="I52" s="69" t="s">
        <v>257</v>
      </c>
      <c r="J52" s="69"/>
      <c r="K52" s="69"/>
      <c r="L52" s="69"/>
      <c r="M52" s="69"/>
      <c r="N52" s="165"/>
      <c r="O52" s="165"/>
      <c r="AJ52" s="69"/>
      <c r="AK52" s="69"/>
      <c r="AL52" s="69"/>
      <c r="AM52" s="69"/>
      <c r="AN52" s="69"/>
    </row>
    <row r="53" spans="5:52" x14ac:dyDescent="0.25">
      <c r="F53" s="288">
        <v>12</v>
      </c>
      <c r="G53" s="290" t="s">
        <v>355</v>
      </c>
      <c r="H53" s="268">
        <v>43868</v>
      </c>
      <c r="I53" s="69" t="s">
        <v>400</v>
      </c>
      <c r="J53" s="69"/>
      <c r="K53" s="69"/>
      <c r="L53" s="69"/>
      <c r="M53" s="69"/>
      <c r="N53" s="165"/>
      <c r="O53" s="165"/>
      <c r="AJ53" s="69"/>
      <c r="AK53" s="69"/>
      <c r="AL53" s="69"/>
      <c r="AM53" s="69"/>
      <c r="AN53" s="69"/>
    </row>
    <row r="54" spans="5:52" x14ac:dyDescent="0.25">
      <c r="F54" s="288">
        <v>12</v>
      </c>
      <c r="G54" s="290" t="s">
        <v>355</v>
      </c>
      <c r="H54" s="268">
        <v>43871</v>
      </c>
      <c r="I54" s="69" t="s">
        <v>278</v>
      </c>
      <c r="J54" s="69"/>
      <c r="K54" s="69"/>
      <c r="L54" s="69"/>
      <c r="M54" s="69"/>
      <c r="N54" s="165"/>
      <c r="O54" s="165"/>
      <c r="AJ54" s="69"/>
      <c r="AK54" s="69"/>
      <c r="AL54" s="69"/>
      <c r="AM54" s="69"/>
      <c r="AN54" s="69"/>
    </row>
    <row r="55" spans="5:52" x14ac:dyDescent="0.25">
      <c r="F55" s="288">
        <v>12</v>
      </c>
      <c r="G55" s="290" t="s">
        <v>355</v>
      </c>
      <c r="H55" s="268">
        <v>43871</v>
      </c>
      <c r="I55" s="69" t="s">
        <v>401</v>
      </c>
      <c r="J55" s="69"/>
      <c r="K55" s="69"/>
      <c r="L55" s="69"/>
      <c r="M55" s="69"/>
      <c r="N55" s="165"/>
      <c r="O55" s="165"/>
      <c r="AJ55" s="69"/>
      <c r="AK55" s="69"/>
      <c r="AL55" s="69"/>
      <c r="AM55" s="69"/>
      <c r="AN55" s="69"/>
    </row>
    <row r="56" spans="5:52" x14ac:dyDescent="0.25">
      <c r="F56" s="288">
        <v>12</v>
      </c>
      <c r="G56" s="290" t="s">
        <v>355</v>
      </c>
      <c r="H56" s="268">
        <v>43872</v>
      </c>
      <c r="I56" s="69" t="s">
        <v>272</v>
      </c>
      <c r="J56" s="69"/>
      <c r="K56" s="69"/>
      <c r="L56" s="69"/>
      <c r="M56" s="69"/>
      <c r="N56" s="165"/>
      <c r="O56" s="165"/>
      <c r="AJ56" s="69"/>
      <c r="AK56" s="69"/>
      <c r="AL56" s="69"/>
      <c r="AM56" s="69"/>
      <c r="AN56" s="69"/>
    </row>
    <row r="57" spans="5:52" x14ac:dyDescent="0.25">
      <c r="F57" s="288">
        <v>12</v>
      </c>
      <c r="G57" s="290" t="s">
        <v>355</v>
      </c>
      <c r="H57" s="269">
        <v>43873</v>
      </c>
      <c r="I57" s="69" t="s">
        <v>269</v>
      </c>
      <c r="J57" s="69"/>
      <c r="K57" s="69"/>
      <c r="L57" s="69"/>
      <c r="M57" s="69"/>
      <c r="N57" s="165"/>
      <c r="O57" s="165"/>
      <c r="AI57" s="69"/>
    </row>
    <row r="58" spans="5:52" x14ac:dyDescent="0.25">
      <c r="F58" s="288">
        <v>12</v>
      </c>
      <c r="G58" s="290" t="s">
        <v>355</v>
      </c>
      <c r="H58" s="165">
        <v>43873</v>
      </c>
      <c r="I58" s="69" t="s">
        <v>384</v>
      </c>
      <c r="J58" s="69"/>
      <c r="K58" s="69"/>
      <c r="L58" s="69"/>
      <c r="M58" s="69"/>
      <c r="N58" s="165"/>
      <c r="O58" s="165"/>
      <c r="AI58" s="69"/>
    </row>
    <row r="59" spans="5:52" x14ac:dyDescent="0.25">
      <c r="F59" s="288">
        <v>12</v>
      </c>
      <c r="G59" s="290" t="s">
        <v>355</v>
      </c>
      <c r="H59" s="268">
        <v>43874</v>
      </c>
      <c r="I59" s="69" t="s">
        <v>406</v>
      </c>
      <c r="J59" s="69"/>
      <c r="K59" s="69"/>
      <c r="L59" s="69"/>
      <c r="M59" s="69"/>
      <c r="N59" s="165"/>
      <c r="O59" s="165"/>
      <c r="AI59" s="69"/>
    </row>
    <row r="60" spans="5:52" x14ac:dyDescent="0.25">
      <c r="G60" s="295">
        <v>15</v>
      </c>
      <c r="H60" s="290" t="s">
        <v>355</v>
      </c>
      <c r="I60" s="268">
        <v>43879</v>
      </c>
      <c r="J60" s="69" t="s">
        <v>403</v>
      </c>
      <c r="K60" s="69"/>
      <c r="L60" s="69"/>
      <c r="M60" s="69"/>
      <c r="N60" s="165"/>
      <c r="O60" s="165"/>
      <c r="AI60" s="69"/>
    </row>
    <row r="61" spans="5:52" x14ac:dyDescent="0.25">
      <c r="G61" s="288">
        <v>15</v>
      </c>
      <c r="H61" s="290" t="s">
        <v>355</v>
      </c>
      <c r="I61" s="268">
        <v>43880</v>
      </c>
      <c r="J61" s="69" t="s">
        <v>402</v>
      </c>
      <c r="M61" s="69"/>
      <c r="N61" s="69"/>
      <c r="O61" s="69"/>
      <c r="P61" s="69"/>
      <c r="Q61" s="165"/>
      <c r="AI61" s="69"/>
    </row>
    <row r="62" spans="5:52" x14ac:dyDescent="0.25">
      <c r="E62" s="165"/>
      <c r="F62" s="165"/>
      <c r="G62" s="69"/>
      <c r="H62" s="69"/>
      <c r="I62" s="69"/>
      <c r="J62" s="69"/>
      <c r="K62" s="69"/>
      <c r="L62" s="69"/>
      <c r="M62" s="69"/>
      <c r="N62" s="286">
        <v>35</v>
      </c>
      <c r="O62" s="290" t="s">
        <v>355</v>
      </c>
      <c r="P62" s="217">
        <v>43882</v>
      </c>
      <c r="Q62" t="s">
        <v>208</v>
      </c>
    </row>
    <row r="63" spans="5:52" x14ac:dyDescent="0.25">
      <c r="E63" s="165"/>
      <c r="F63" s="165"/>
      <c r="G63" s="69"/>
      <c r="H63" s="69"/>
      <c r="I63" s="69"/>
      <c r="J63" s="69"/>
      <c r="K63" s="69"/>
      <c r="L63" s="69"/>
      <c r="M63" s="69"/>
      <c r="N63" s="288">
        <v>35</v>
      </c>
      <c r="O63" s="290" t="s">
        <v>355</v>
      </c>
      <c r="P63" s="269">
        <v>43883</v>
      </c>
      <c r="Q63" t="s">
        <v>228</v>
      </c>
    </row>
    <row r="64" spans="5:52" x14ac:dyDescent="0.25">
      <c r="E64" s="165"/>
      <c r="F64" s="165"/>
      <c r="G64" s="69"/>
      <c r="H64" s="69"/>
      <c r="I64" s="69"/>
      <c r="J64" s="69"/>
      <c r="K64" s="69"/>
      <c r="L64" s="69"/>
      <c r="M64" s="69"/>
      <c r="N64" s="288">
        <v>35</v>
      </c>
      <c r="O64" s="290" t="s">
        <v>355</v>
      </c>
      <c r="P64" s="217">
        <v>43884</v>
      </c>
      <c r="Q64" t="s">
        <v>209</v>
      </c>
      <c r="AJ64" s="69"/>
      <c r="AK64" s="69"/>
      <c r="AL64" s="69"/>
      <c r="AM64" s="69"/>
      <c r="AN64" s="69"/>
    </row>
    <row r="65" spans="4:52" x14ac:dyDescent="0.25">
      <c r="E65" s="165"/>
      <c r="F65" s="165"/>
      <c r="G65" s="69"/>
      <c r="H65" s="69"/>
      <c r="I65" s="69"/>
      <c r="J65" s="69"/>
      <c r="K65" s="69"/>
      <c r="L65" s="69"/>
      <c r="M65" s="69"/>
      <c r="N65" s="288">
        <v>35</v>
      </c>
      <c r="O65" s="290" t="s">
        <v>355</v>
      </c>
      <c r="P65" s="268">
        <v>43884</v>
      </c>
      <c r="Q65" t="s">
        <v>404</v>
      </c>
      <c r="AJ65" s="69"/>
      <c r="AK65" s="69"/>
      <c r="AL65" s="69"/>
      <c r="AM65" s="69"/>
      <c r="AN65" s="69"/>
    </row>
    <row r="66" spans="4:52" x14ac:dyDescent="0.25">
      <c r="E66" s="165"/>
      <c r="F66" s="165"/>
      <c r="G66" s="69"/>
      <c r="H66" s="69"/>
      <c r="I66" s="69"/>
      <c r="J66" s="69"/>
      <c r="K66" s="69"/>
      <c r="L66" s="69"/>
      <c r="M66" s="69"/>
      <c r="N66" s="288">
        <v>35</v>
      </c>
      <c r="O66" s="290" t="s">
        <v>355</v>
      </c>
      <c r="P66" s="268">
        <v>43884</v>
      </c>
      <c r="Q66" t="s">
        <v>405</v>
      </c>
      <c r="AJ66" s="69"/>
      <c r="AK66" s="69"/>
      <c r="AL66" s="69"/>
      <c r="AM66" s="69"/>
      <c r="AN66" s="69"/>
    </row>
    <row r="67" spans="4:52" x14ac:dyDescent="0.25">
      <c r="D67" s="217"/>
      <c r="N67" s="288">
        <v>53</v>
      </c>
      <c r="O67" s="290" t="s">
        <v>355</v>
      </c>
      <c r="P67" s="268">
        <v>43885</v>
      </c>
      <c r="Q67" t="s">
        <v>196</v>
      </c>
    </row>
    <row r="68" spans="4:52" x14ac:dyDescent="0.25">
      <c r="N68" s="288">
        <v>57</v>
      </c>
      <c r="O68" s="290" t="s">
        <v>355</v>
      </c>
      <c r="P68" s="165">
        <v>43886</v>
      </c>
      <c r="Q68" t="s">
        <v>210</v>
      </c>
    </row>
    <row r="69" spans="4:52" x14ac:dyDescent="0.25">
      <c r="N69" s="288">
        <v>57</v>
      </c>
      <c r="O69" s="290" t="s">
        <v>355</v>
      </c>
      <c r="P69" s="268">
        <v>43886</v>
      </c>
      <c r="Q69" t="s">
        <v>211</v>
      </c>
      <c r="S69" s="69"/>
      <c r="T69" s="69"/>
      <c r="AO69" s="69"/>
      <c r="AP69" s="69"/>
    </row>
    <row r="70" spans="4:52" x14ac:dyDescent="0.25">
      <c r="N70" s="288">
        <v>57</v>
      </c>
      <c r="O70" s="290" t="s">
        <v>355</v>
      </c>
      <c r="P70" s="268">
        <v>43886</v>
      </c>
      <c r="Q70" t="s">
        <v>271</v>
      </c>
      <c r="AO70" s="69"/>
      <c r="AP70" s="69"/>
    </row>
    <row r="71" spans="4:52" x14ac:dyDescent="0.25">
      <c r="N71" s="288">
        <v>57</v>
      </c>
      <c r="O71" s="290" t="s">
        <v>355</v>
      </c>
      <c r="P71" s="165">
        <v>43886</v>
      </c>
      <c r="Q71" t="s">
        <v>212</v>
      </c>
      <c r="AO71" s="69"/>
      <c r="AP71" s="69"/>
    </row>
    <row r="72" spans="4:52" x14ac:dyDescent="0.25">
      <c r="N72" s="286">
        <v>60</v>
      </c>
      <c r="O72" s="290" t="s">
        <v>355</v>
      </c>
      <c r="P72" s="268">
        <v>43887</v>
      </c>
      <c r="Q72" t="s">
        <v>408</v>
      </c>
      <c r="AO72" s="69"/>
      <c r="AP72" s="69"/>
    </row>
    <row r="73" spans="4:52" x14ac:dyDescent="0.25">
      <c r="N73" s="288">
        <v>60</v>
      </c>
      <c r="O73" s="290" t="s">
        <v>355</v>
      </c>
      <c r="P73" s="268">
        <v>43887</v>
      </c>
      <c r="Q73" t="s">
        <v>409</v>
      </c>
      <c r="AO73" s="69"/>
      <c r="AP73" s="69"/>
    </row>
    <row r="74" spans="4:52" x14ac:dyDescent="0.25">
      <c r="N74" s="288">
        <v>60</v>
      </c>
      <c r="O74" s="290" t="s">
        <v>355</v>
      </c>
      <c r="P74" s="268">
        <v>43887</v>
      </c>
      <c r="Q74" t="s">
        <v>407</v>
      </c>
      <c r="AO74" s="69"/>
      <c r="AP74" s="69"/>
    </row>
    <row r="75" spans="4:52" x14ac:dyDescent="0.25">
      <c r="N75" s="288">
        <v>60</v>
      </c>
      <c r="O75" s="290" t="s">
        <v>355</v>
      </c>
      <c r="P75" s="268">
        <v>43888</v>
      </c>
      <c r="Q75" t="s">
        <v>267</v>
      </c>
      <c r="AO75" s="69"/>
      <c r="AP75" s="69"/>
    </row>
    <row r="76" spans="4:52" x14ac:dyDescent="0.25">
      <c r="N76" s="288">
        <v>60</v>
      </c>
      <c r="O76" s="290" t="s">
        <v>355</v>
      </c>
      <c r="P76" s="268">
        <v>43888</v>
      </c>
      <c r="Q76" t="s">
        <v>268</v>
      </c>
      <c r="AJ76" s="69"/>
      <c r="AK76" s="69"/>
      <c r="AL76" s="69"/>
      <c r="AM76" s="69"/>
      <c r="AN76" s="69"/>
    </row>
    <row r="77" spans="4:52" x14ac:dyDescent="0.25">
      <c r="N77" s="288">
        <v>63</v>
      </c>
      <c r="O77" s="290" t="s">
        <v>355</v>
      </c>
      <c r="P77" s="268">
        <v>43889</v>
      </c>
      <c r="Q77" t="s">
        <v>279</v>
      </c>
      <c r="AJ77" s="69"/>
      <c r="AK77" s="69"/>
      <c r="AL77" s="69"/>
      <c r="AM77" s="69"/>
      <c r="AN77" s="69"/>
    </row>
    <row r="78" spans="4:52" x14ac:dyDescent="0.25">
      <c r="N78" s="288">
        <v>63</v>
      </c>
      <c r="O78" s="290" t="s">
        <v>355</v>
      </c>
      <c r="P78" s="165">
        <v>43889</v>
      </c>
      <c r="Q78" t="s">
        <v>389</v>
      </c>
      <c r="AJ78" s="69"/>
      <c r="AK78" s="69"/>
      <c r="AL78" s="69"/>
      <c r="AM78" s="69"/>
      <c r="AN78" s="69"/>
    </row>
    <row r="79" spans="4:52" x14ac:dyDescent="0.25">
      <c r="O79" s="288">
        <v>68</v>
      </c>
      <c r="P79" s="289">
        <v>1</v>
      </c>
      <c r="Q79" s="158">
        <v>43890</v>
      </c>
      <c r="R79" s="159" t="s">
        <v>198</v>
      </c>
      <c r="S79" s="159"/>
      <c r="T79" s="159"/>
      <c r="U79" s="159"/>
      <c r="V79" s="158">
        <f>Q79+14</f>
        <v>43904</v>
      </c>
      <c r="AQ79" s="69"/>
      <c r="AR79" s="69"/>
      <c r="AS79" s="69"/>
      <c r="AT79" s="69"/>
      <c r="AU79" s="69"/>
      <c r="AV79" s="69"/>
      <c r="AW79" s="69"/>
      <c r="AX79" s="69"/>
      <c r="AY79" s="69"/>
      <c r="AZ79" s="69"/>
    </row>
    <row r="80" spans="4:52" x14ac:dyDescent="0.25">
      <c r="O80" s="288">
        <v>68</v>
      </c>
      <c r="P80" s="290">
        <v>1</v>
      </c>
      <c r="Q80" s="268">
        <v>43890</v>
      </c>
      <c r="R80" s="69" t="s">
        <v>280</v>
      </c>
      <c r="S80" s="69"/>
      <c r="T80" s="165"/>
      <c r="AQ80" s="69"/>
      <c r="AR80" s="69"/>
      <c r="AS80" s="69"/>
      <c r="AT80" s="69"/>
      <c r="AU80" s="69"/>
      <c r="AV80" s="69"/>
      <c r="AW80" s="69"/>
      <c r="AX80" s="69"/>
      <c r="AY80" s="69"/>
      <c r="AZ80" s="69"/>
    </row>
    <row r="81" spans="3:59" x14ac:dyDescent="0.25">
      <c r="E81" s="165"/>
      <c r="O81" s="288">
        <v>100</v>
      </c>
      <c r="P81" s="289">
        <v>6</v>
      </c>
      <c r="Q81" s="158">
        <v>43892</v>
      </c>
      <c r="R81" s="158" t="s">
        <v>175</v>
      </c>
      <c r="S81" s="158"/>
      <c r="T81" s="159"/>
      <c r="U81" s="159"/>
      <c r="V81" s="159"/>
      <c r="W81" s="158">
        <v>43906</v>
      </c>
      <c r="AO81" s="69"/>
      <c r="AP81" s="69"/>
      <c r="AQ81" s="69"/>
      <c r="AR81" s="69"/>
      <c r="AS81" s="69"/>
      <c r="AT81" s="69"/>
      <c r="AU81" s="69"/>
      <c r="AV81" s="69"/>
      <c r="AW81" s="69"/>
      <c r="AX81" s="69"/>
      <c r="AY81" s="69"/>
      <c r="AZ81" s="69"/>
    </row>
    <row r="82" spans="3:59" x14ac:dyDescent="0.25">
      <c r="C82" s="69"/>
      <c r="D82" s="69"/>
      <c r="E82" s="165"/>
      <c r="F82" s="69"/>
      <c r="G82" s="69"/>
      <c r="H82" s="69"/>
      <c r="I82" s="69"/>
      <c r="J82" s="69"/>
      <c r="K82" s="69"/>
      <c r="L82" s="69"/>
      <c r="M82" s="69"/>
      <c r="N82" s="69"/>
      <c r="O82" s="288">
        <v>100</v>
      </c>
      <c r="P82" s="290">
        <v>6</v>
      </c>
      <c r="Q82" s="268">
        <v>43892</v>
      </c>
      <c r="R82" s="165" t="s">
        <v>281</v>
      </c>
      <c r="S82" s="165"/>
      <c r="T82" s="69"/>
      <c r="U82" s="165"/>
      <c r="V82" s="69"/>
      <c r="W82" s="69"/>
      <c r="Z82" s="69"/>
      <c r="AA82" s="69"/>
      <c r="AB82" s="69"/>
      <c r="AC82" s="69"/>
      <c r="AD82" s="69"/>
      <c r="AE82" s="69"/>
      <c r="AF82" s="69"/>
      <c r="AG82" s="69"/>
      <c r="AH82" s="69"/>
      <c r="AQ82" s="69"/>
      <c r="AR82" s="69"/>
      <c r="AS82" s="69"/>
      <c r="AT82" s="69"/>
      <c r="AU82" s="69"/>
      <c r="AV82" s="69"/>
      <c r="AW82" s="69"/>
      <c r="AX82" s="69"/>
      <c r="AY82" s="69"/>
      <c r="AZ82" s="69"/>
    </row>
    <row r="83" spans="3:59" x14ac:dyDescent="0.25">
      <c r="C83" s="69"/>
      <c r="D83" s="69"/>
      <c r="E83" s="165"/>
      <c r="F83" s="69"/>
      <c r="G83" s="69"/>
      <c r="H83" s="69"/>
      <c r="I83" s="69"/>
      <c r="J83" s="69"/>
      <c r="K83" s="69"/>
      <c r="L83" s="69"/>
      <c r="M83" s="69"/>
      <c r="N83" s="69"/>
      <c r="O83" s="69"/>
      <c r="P83" s="286">
        <v>124</v>
      </c>
      <c r="Q83" s="290">
        <v>9</v>
      </c>
      <c r="R83" s="165">
        <v>43893</v>
      </c>
      <c r="S83" s="69" t="s">
        <v>222</v>
      </c>
      <c r="V83" s="69"/>
      <c r="W83" s="165"/>
      <c r="X83" s="69"/>
      <c r="Y83" s="69"/>
      <c r="Z83" s="69"/>
      <c r="AA83" s="69"/>
      <c r="AB83" s="69"/>
      <c r="AC83" s="69"/>
      <c r="AD83" s="69"/>
      <c r="AE83" s="69"/>
      <c r="AF83" s="69"/>
      <c r="AG83" s="69"/>
      <c r="AH83" s="69"/>
      <c r="AQ83" s="69"/>
      <c r="AR83" s="69"/>
      <c r="AS83" s="69"/>
      <c r="AT83" s="69"/>
      <c r="AU83" s="69"/>
      <c r="AV83" s="69"/>
      <c r="AW83" s="69"/>
      <c r="AX83" s="69"/>
      <c r="AY83" s="69"/>
      <c r="AZ83" s="69"/>
    </row>
    <row r="84" spans="3:59" x14ac:dyDescent="0.25">
      <c r="E84" s="165"/>
      <c r="P84" s="288">
        <v>158</v>
      </c>
      <c r="Q84" s="290">
        <v>11</v>
      </c>
      <c r="R84" s="268">
        <v>43894</v>
      </c>
      <c r="S84" t="s">
        <v>199</v>
      </c>
      <c r="AQ84" s="69"/>
      <c r="AR84" s="69"/>
      <c r="AS84" s="69"/>
      <c r="AT84" s="69"/>
      <c r="AU84" s="69"/>
      <c r="AV84" s="69"/>
      <c r="AW84" s="69"/>
      <c r="AX84" s="69"/>
      <c r="AY84" s="69"/>
      <c r="AZ84" s="69"/>
      <c r="BA84" s="69"/>
      <c r="BB84" s="69"/>
      <c r="BC84" s="69"/>
      <c r="BD84" s="69"/>
      <c r="BE84" s="69"/>
      <c r="BF84" s="69"/>
      <c r="BG84" s="69"/>
    </row>
    <row r="85" spans="3:59" x14ac:dyDescent="0.25">
      <c r="E85" s="165"/>
      <c r="P85" s="288">
        <v>158</v>
      </c>
      <c r="Q85" s="290">
        <v>11</v>
      </c>
      <c r="R85" s="268">
        <v>43894</v>
      </c>
      <c r="S85" t="s">
        <v>325</v>
      </c>
      <c r="AQ85" s="69"/>
      <c r="AR85" s="69"/>
      <c r="AS85" s="69"/>
      <c r="AT85" s="69"/>
      <c r="AU85" s="69"/>
      <c r="AV85" s="69"/>
      <c r="AW85" s="69"/>
      <c r="AX85" s="69"/>
      <c r="AY85" s="69"/>
      <c r="AZ85" s="69"/>
    </row>
    <row r="86" spans="3:59" x14ac:dyDescent="0.25">
      <c r="E86" s="165"/>
      <c r="Q86" s="286">
        <v>221</v>
      </c>
      <c r="R86" s="290">
        <v>12</v>
      </c>
      <c r="S86" s="268">
        <v>43895</v>
      </c>
      <c r="T86" s="69" t="s">
        <v>326</v>
      </c>
      <c r="W86" s="165"/>
      <c r="AQ86" s="69"/>
      <c r="AR86" s="69"/>
      <c r="AS86" s="69"/>
      <c r="AT86" s="69"/>
      <c r="AU86" s="69"/>
      <c r="AV86" s="69"/>
      <c r="AW86" s="69"/>
      <c r="AX86" s="69"/>
      <c r="AY86" s="69"/>
      <c r="AZ86" s="69"/>
    </row>
    <row r="87" spans="3:59" x14ac:dyDescent="0.25">
      <c r="E87" s="165"/>
      <c r="Q87" s="288">
        <v>221</v>
      </c>
      <c r="R87" s="290">
        <v>12</v>
      </c>
      <c r="S87" s="268">
        <v>43895</v>
      </c>
      <c r="T87" s="69" t="s">
        <v>276</v>
      </c>
      <c r="W87" s="165"/>
      <c r="AQ87" s="69"/>
      <c r="AR87" s="69"/>
      <c r="AS87" s="69"/>
      <c r="AT87" s="69"/>
      <c r="AU87" s="69"/>
      <c r="AV87" s="69"/>
      <c r="AW87" s="69"/>
      <c r="AX87" s="69"/>
      <c r="AY87" s="69"/>
      <c r="AZ87" s="69"/>
    </row>
    <row r="88" spans="3:59" x14ac:dyDescent="0.25">
      <c r="E88" s="165"/>
      <c r="Q88" s="288">
        <v>319</v>
      </c>
      <c r="R88" s="289">
        <v>15</v>
      </c>
      <c r="S88" s="268">
        <v>43896</v>
      </c>
      <c r="T88" s="69" t="s">
        <v>235</v>
      </c>
      <c r="W88" s="165"/>
      <c r="AI88" s="69"/>
      <c r="AQ88" s="69"/>
      <c r="AR88" s="69"/>
      <c r="AS88" s="69"/>
      <c r="AT88" s="69"/>
      <c r="AU88" s="69"/>
      <c r="AV88" s="69"/>
      <c r="AW88" s="69"/>
      <c r="AX88" s="69"/>
      <c r="AY88" s="69"/>
      <c r="AZ88" s="69"/>
    </row>
    <row r="89" spans="3:59" x14ac:dyDescent="0.25">
      <c r="C89" s="69"/>
      <c r="D89" s="69"/>
      <c r="E89" s="165"/>
      <c r="F89" s="69"/>
      <c r="G89" s="69"/>
      <c r="H89" s="69"/>
      <c r="I89" s="69"/>
      <c r="J89" s="69"/>
      <c r="K89" s="69"/>
      <c r="L89" s="69"/>
      <c r="M89" s="69"/>
      <c r="N89" s="69"/>
      <c r="O89" s="69"/>
      <c r="P89" s="69"/>
      <c r="Q89" s="288">
        <v>319</v>
      </c>
      <c r="R89" s="290">
        <v>15</v>
      </c>
      <c r="S89" s="165">
        <v>43896</v>
      </c>
      <c r="T89" s="69" t="s">
        <v>246</v>
      </c>
      <c r="W89" s="165"/>
      <c r="X89" s="69"/>
      <c r="Y89" s="69"/>
      <c r="Z89" s="69"/>
      <c r="AA89" s="69"/>
      <c r="AB89" s="69"/>
      <c r="AC89" s="69"/>
      <c r="AD89" s="69"/>
      <c r="AE89" s="69"/>
      <c r="AF89" s="69"/>
      <c r="AG89" s="69"/>
      <c r="AH89" s="69"/>
      <c r="AI89" s="69"/>
      <c r="AO89" s="69"/>
      <c r="AP89" s="69"/>
    </row>
    <row r="90" spans="3:59" x14ac:dyDescent="0.25">
      <c r="C90" s="69"/>
      <c r="D90" s="69"/>
      <c r="E90" s="165"/>
      <c r="F90" s="69"/>
      <c r="G90" s="69"/>
      <c r="H90" s="69"/>
      <c r="I90" s="69"/>
      <c r="J90" s="69"/>
      <c r="K90" s="69"/>
      <c r="L90" s="69"/>
      <c r="M90" s="69"/>
      <c r="N90" s="69"/>
      <c r="O90" s="69"/>
      <c r="P90" s="69"/>
      <c r="Q90" s="288">
        <v>319</v>
      </c>
      <c r="R90" s="290">
        <v>15</v>
      </c>
      <c r="S90" s="268">
        <v>43896</v>
      </c>
      <c r="T90" s="69" t="s">
        <v>283</v>
      </c>
      <c r="W90" s="165"/>
      <c r="X90" s="69"/>
      <c r="Y90" s="69"/>
      <c r="Z90" s="69"/>
      <c r="AA90" s="69"/>
      <c r="AB90" s="69"/>
      <c r="AC90" s="69"/>
      <c r="AD90" s="69"/>
      <c r="AE90" s="69"/>
      <c r="AF90" s="69"/>
      <c r="AG90" s="69"/>
      <c r="AH90" s="69"/>
      <c r="AO90" s="69"/>
      <c r="AP90" s="69"/>
    </row>
    <row r="91" spans="3:59" x14ac:dyDescent="0.25">
      <c r="C91" s="69"/>
      <c r="D91" s="69"/>
      <c r="E91" s="165"/>
      <c r="F91" s="69"/>
      <c r="G91" s="69"/>
      <c r="H91" s="69"/>
      <c r="I91" s="69"/>
      <c r="J91" s="69"/>
      <c r="K91" s="69"/>
      <c r="L91" s="69"/>
      <c r="M91" s="69"/>
      <c r="N91" s="69"/>
      <c r="O91" s="69"/>
      <c r="P91" s="69"/>
      <c r="Q91" s="288">
        <v>319</v>
      </c>
      <c r="R91" s="290">
        <v>15</v>
      </c>
      <c r="S91" s="268">
        <v>43896</v>
      </c>
      <c r="T91" s="69" t="s">
        <v>284</v>
      </c>
      <c r="W91" s="165"/>
      <c r="X91" s="69"/>
      <c r="Y91" s="69"/>
      <c r="Z91" s="69"/>
      <c r="AA91" s="69"/>
      <c r="AB91" s="69"/>
      <c r="AC91" s="69"/>
      <c r="AD91" s="69"/>
      <c r="AE91" s="69"/>
      <c r="AF91" s="69"/>
      <c r="AG91" s="69"/>
      <c r="AH91" s="69"/>
    </row>
    <row r="92" spans="3:59" x14ac:dyDescent="0.25">
      <c r="C92" s="69"/>
      <c r="D92" s="69"/>
      <c r="E92" s="165"/>
      <c r="F92" s="69"/>
      <c r="G92" s="69"/>
      <c r="H92" s="69"/>
      <c r="I92" s="69"/>
      <c r="J92" s="69"/>
      <c r="K92" s="69"/>
      <c r="L92" s="69"/>
      <c r="M92" s="69"/>
      <c r="N92" s="69"/>
      <c r="O92" s="69"/>
      <c r="P92" s="69"/>
      <c r="Q92" s="286">
        <v>435</v>
      </c>
      <c r="R92" s="290">
        <v>19</v>
      </c>
      <c r="S92" s="268">
        <v>43897</v>
      </c>
      <c r="T92" s="69" t="s">
        <v>270</v>
      </c>
      <c r="W92" s="165"/>
      <c r="X92" s="69"/>
      <c r="Y92" s="69"/>
      <c r="Z92" s="69"/>
      <c r="AA92" s="69"/>
      <c r="AB92" s="69"/>
      <c r="AC92" s="69"/>
      <c r="AD92" s="69"/>
      <c r="AE92" s="69"/>
      <c r="AF92" s="69"/>
      <c r="AG92" s="69"/>
      <c r="AH92" s="69"/>
    </row>
    <row r="93" spans="3:59" x14ac:dyDescent="0.25">
      <c r="C93" s="69"/>
      <c r="D93" s="69"/>
      <c r="E93" s="165"/>
      <c r="F93" s="69"/>
      <c r="G93" s="69"/>
      <c r="H93" s="69"/>
      <c r="I93" s="69"/>
      <c r="J93" s="69"/>
      <c r="K93" s="69"/>
      <c r="L93" s="69"/>
      <c r="M93" s="69"/>
      <c r="N93" s="69"/>
      <c r="O93" s="69"/>
      <c r="P93" s="69"/>
      <c r="Q93" s="69"/>
      <c r="R93" s="288">
        <v>541</v>
      </c>
      <c r="S93" s="290">
        <v>22</v>
      </c>
      <c r="T93" s="268">
        <v>43898</v>
      </c>
      <c r="U93" s="165" t="s">
        <v>285</v>
      </c>
      <c r="V93" s="69"/>
      <c r="W93" s="69"/>
      <c r="X93" s="69"/>
      <c r="Y93" s="69"/>
      <c r="Z93" s="69"/>
      <c r="AA93" s="69"/>
      <c r="AB93" s="69"/>
      <c r="AC93" s="69"/>
      <c r="AD93" s="69"/>
      <c r="AE93" s="69"/>
      <c r="AF93" s="69"/>
      <c r="AG93" s="69"/>
      <c r="AH93" s="69"/>
    </row>
    <row r="94" spans="3:59" x14ac:dyDescent="0.25">
      <c r="E94" s="165"/>
      <c r="R94" s="288">
        <v>704</v>
      </c>
      <c r="S94" s="290">
        <v>26</v>
      </c>
      <c r="T94" s="268">
        <v>43899</v>
      </c>
      <c r="U94" s="165" t="s">
        <v>351</v>
      </c>
    </row>
    <row r="95" spans="3:59" x14ac:dyDescent="0.25">
      <c r="E95" s="165"/>
      <c r="R95" s="288">
        <v>704</v>
      </c>
      <c r="S95" s="290">
        <v>26</v>
      </c>
      <c r="T95" s="268">
        <v>43899</v>
      </c>
      <c r="U95" s="165" t="s">
        <v>327</v>
      </c>
      <c r="AI95" s="69"/>
    </row>
    <row r="96" spans="3:59" x14ac:dyDescent="0.25">
      <c r="E96" s="165"/>
      <c r="R96" s="288">
        <v>704</v>
      </c>
      <c r="S96" s="290">
        <v>26</v>
      </c>
      <c r="T96" s="268">
        <v>43899</v>
      </c>
      <c r="U96" s="165" t="s">
        <v>213</v>
      </c>
      <c r="AI96" s="69"/>
    </row>
    <row r="97" spans="3:59" x14ac:dyDescent="0.25">
      <c r="E97" s="165"/>
      <c r="R97" s="286">
        <v>994</v>
      </c>
      <c r="S97" s="289">
        <v>30</v>
      </c>
      <c r="T97" s="268">
        <v>43900</v>
      </c>
      <c r="U97" s="165" t="s">
        <v>286</v>
      </c>
      <c r="AI97" s="69"/>
    </row>
    <row r="98" spans="3:59" x14ac:dyDescent="0.25">
      <c r="E98" s="165"/>
      <c r="R98" s="288">
        <v>994</v>
      </c>
      <c r="S98" s="290">
        <v>30</v>
      </c>
      <c r="T98" s="268">
        <v>43900</v>
      </c>
      <c r="U98" s="165" t="s">
        <v>214</v>
      </c>
      <c r="AI98" s="69"/>
    </row>
    <row r="99" spans="3:59" x14ac:dyDescent="0.25">
      <c r="E99" s="165"/>
      <c r="R99" s="165"/>
      <c r="S99" s="288">
        <v>1301</v>
      </c>
      <c r="T99" s="290">
        <v>38</v>
      </c>
      <c r="U99" s="269">
        <v>43901</v>
      </c>
      <c r="V99" s="69" t="s">
        <v>201</v>
      </c>
      <c r="AI99" s="69"/>
    </row>
    <row r="100" spans="3:59" x14ac:dyDescent="0.25">
      <c r="E100" s="165"/>
      <c r="R100" s="165"/>
      <c r="S100" s="288">
        <v>1301</v>
      </c>
      <c r="T100" s="290">
        <v>38</v>
      </c>
      <c r="U100" s="268">
        <v>43901</v>
      </c>
      <c r="V100" s="69" t="s">
        <v>245</v>
      </c>
      <c r="AJ100" s="69"/>
      <c r="AK100" s="69"/>
      <c r="AL100" s="69"/>
      <c r="AM100" s="69"/>
      <c r="AN100" s="69"/>
      <c r="AQ100" s="69"/>
      <c r="AR100" s="69"/>
      <c r="AS100" s="69"/>
      <c r="AT100" s="69"/>
      <c r="AU100" s="69"/>
      <c r="AV100" s="69"/>
      <c r="AW100" s="69"/>
      <c r="AX100" s="69"/>
      <c r="AY100" s="69"/>
      <c r="AZ100" s="69"/>
    </row>
    <row r="101" spans="3:59" x14ac:dyDescent="0.25">
      <c r="E101" s="165"/>
      <c r="S101" s="288">
        <v>1301</v>
      </c>
      <c r="T101" s="290">
        <v>38</v>
      </c>
      <c r="U101" s="268">
        <v>43901</v>
      </c>
      <c r="V101" t="s">
        <v>219</v>
      </c>
      <c r="AJ101" s="69"/>
      <c r="AK101" s="69"/>
      <c r="AL101" s="69"/>
      <c r="AM101" s="69"/>
      <c r="AN101" s="69"/>
    </row>
    <row r="102" spans="3:59" x14ac:dyDescent="0.25">
      <c r="C102" s="69"/>
      <c r="D102" s="69"/>
      <c r="E102" s="165"/>
      <c r="F102" s="69"/>
      <c r="G102" s="69"/>
      <c r="H102" s="69"/>
      <c r="I102" s="69"/>
      <c r="J102" s="69"/>
      <c r="K102" s="69"/>
      <c r="L102" s="69"/>
      <c r="M102" s="69"/>
      <c r="N102" s="69"/>
      <c r="O102" s="69"/>
      <c r="P102" s="69"/>
      <c r="Q102" s="69"/>
      <c r="R102" s="165"/>
      <c r="S102" s="288">
        <v>1630</v>
      </c>
      <c r="T102" s="290">
        <v>41</v>
      </c>
      <c r="U102" s="165">
        <v>43902</v>
      </c>
      <c r="V102" s="69" t="s">
        <v>238</v>
      </c>
      <c r="W102" s="69"/>
      <c r="X102" s="69"/>
      <c r="Y102" s="69"/>
      <c r="Z102" s="69"/>
      <c r="AA102" s="69"/>
      <c r="AB102" s="69"/>
      <c r="AC102" s="69"/>
      <c r="AD102" s="69"/>
      <c r="AE102" s="69"/>
      <c r="AH102" s="69"/>
    </row>
    <row r="103" spans="3:59" x14ac:dyDescent="0.25">
      <c r="E103" s="165"/>
      <c r="S103" s="288">
        <v>1630</v>
      </c>
      <c r="T103" s="290">
        <v>41</v>
      </c>
      <c r="U103" s="268">
        <v>43902</v>
      </c>
      <c r="V103" t="s">
        <v>215</v>
      </c>
      <c r="BA103" s="69"/>
      <c r="BB103" s="69"/>
    </row>
    <row r="104" spans="3:59" x14ac:dyDescent="0.25">
      <c r="E104" s="165"/>
      <c r="S104" s="287">
        <v>2183</v>
      </c>
      <c r="T104" s="290">
        <v>48</v>
      </c>
      <c r="U104" s="158">
        <v>43903</v>
      </c>
      <c r="V104" s="159" t="s">
        <v>176</v>
      </c>
      <c r="W104" s="159"/>
      <c r="X104" s="159"/>
      <c r="Y104" s="159"/>
      <c r="Z104" s="159"/>
      <c r="AA104" s="159"/>
      <c r="AB104" s="159"/>
      <c r="AC104" s="159"/>
      <c r="AD104" s="159"/>
      <c r="AE104" s="159"/>
      <c r="AF104" s="159"/>
      <c r="AG104" s="159"/>
      <c r="AH104" s="159"/>
      <c r="BA104" s="69"/>
      <c r="BB104" s="69"/>
    </row>
    <row r="105" spans="3:59" x14ac:dyDescent="0.25">
      <c r="E105" s="165"/>
      <c r="S105" s="288">
        <v>2183</v>
      </c>
      <c r="T105" s="290">
        <v>48</v>
      </c>
      <c r="U105" s="268">
        <v>43903</v>
      </c>
      <c r="V105" t="s">
        <v>216</v>
      </c>
      <c r="BA105" s="69"/>
      <c r="BB105" s="69"/>
      <c r="BC105" s="69"/>
      <c r="BD105" s="69"/>
      <c r="BE105" s="69"/>
      <c r="BF105" s="69"/>
      <c r="BG105" s="69"/>
    </row>
    <row r="106" spans="3:59" x14ac:dyDescent="0.25">
      <c r="E106" s="165"/>
      <c r="S106" s="288">
        <v>2183</v>
      </c>
      <c r="T106" s="290">
        <v>48</v>
      </c>
      <c r="U106" s="268">
        <v>43903</v>
      </c>
      <c r="V106" t="s">
        <v>217</v>
      </c>
      <c r="BA106" s="69"/>
      <c r="BB106" s="69"/>
    </row>
    <row r="107" spans="3:59" x14ac:dyDescent="0.25">
      <c r="C107" s="69"/>
      <c r="D107" s="69"/>
      <c r="E107" s="165"/>
      <c r="F107" s="69"/>
      <c r="G107" s="69"/>
      <c r="H107" s="69"/>
      <c r="I107" s="69"/>
      <c r="J107" s="69"/>
      <c r="K107" s="69"/>
      <c r="L107" s="69"/>
      <c r="M107" s="69"/>
      <c r="N107" s="69"/>
      <c r="O107" s="69"/>
      <c r="P107" s="69"/>
      <c r="Q107" s="69"/>
      <c r="R107" s="69"/>
      <c r="S107" s="288">
        <v>2183</v>
      </c>
      <c r="T107" s="290">
        <v>48</v>
      </c>
      <c r="U107" s="165">
        <v>43903</v>
      </c>
      <c r="V107" s="69" t="s">
        <v>253</v>
      </c>
      <c r="W107" s="69"/>
      <c r="X107" s="69"/>
      <c r="Y107" s="69"/>
      <c r="Z107" s="69"/>
      <c r="AA107" s="69"/>
      <c r="AB107" s="69"/>
      <c r="AC107" s="69"/>
      <c r="AD107" s="69"/>
      <c r="AE107" s="69"/>
      <c r="AH107" s="69"/>
      <c r="AJ107" s="69"/>
      <c r="AK107" s="69"/>
      <c r="AL107" s="69"/>
      <c r="AM107" s="69"/>
      <c r="AN107" s="69"/>
      <c r="BA107" s="69"/>
      <c r="BB107" s="69"/>
    </row>
    <row r="108" spans="3:59" x14ac:dyDescent="0.25">
      <c r="D108" s="165"/>
      <c r="Q108" s="69"/>
      <c r="R108" s="165"/>
      <c r="S108" s="69"/>
      <c r="T108" s="288">
        <v>2771</v>
      </c>
      <c r="U108" s="289">
        <v>58</v>
      </c>
      <c r="V108" s="158">
        <v>43904</v>
      </c>
      <c r="W108" s="159" t="s">
        <v>171</v>
      </c>
      <c r="X108" s="159"/>
      <c r="Y108" s="158"/>
      <c r="Z108" s="158"/>
      <c r="AA108" s="159"/>
      <c r="AB108" s="158">
        <v>43918</v>
      </c>
      <c r="AI108" s="69"/>
      <c r="AJ108" s="69"/>
      <c r="AK108" s="69"/>
      <c r="AL108" s="69"/>
      <c r="AM108" s="69"/>
      <c r="AN108" s="69"/>
      <c r="BA108" s="69"/>
      <c r="BB108" s="69"/>
    </row>
    <row r="109" spans="3:59" x14ac:dyDescent="0.25">
      <c r="D109" s="69"/>
      <c r="E109" s="69"/>
      <c r="F109" s="165"/>
      <c r="G109" s="165"/>
      <c r="H109" s="165"/>
      <c r="I109" s="165"/>
      <c r="J109" s="165"/>
      <c r="K109" s="165"/>
      <c r="L109" s="165"/>
      <c r="M109" s="165"/>
      <c r="N109" s="165"/>
      <c r="O109" s="165"/>
      <c r="P109" s="69"/>
      <c r="Q109" s="69"/>
      <c r="U109" s="287">
        <v>4604</v>
      </c>
      <c r="V109" s="290">
        <v>95</v>
      </c>
      <c r="W109" s="158">
        <v>43906</v>
      </c>
      <c r="X109" s="159" t="s">
        <v>360</v>
      </c>
      <c r="Y109" s="159"/>
      <c r="Z109" s="159"/>
      <c r="AA109" s="159"/>
      <c r="AB109" s="159"/>
      <c r="AC109" s="159"/>
      <c r="AD109" s="159"/>
      <c r="AE109" s="159"/>
      <c r="AF109" s="159"/>
      <c r="AG109" s="159"/>
      <c r="AH109" s="159"/>
      <c r="AJ109" s="69"/>
      <c r="AK109" s="69"/>
      <c r="AL109" s="69"/>
      <c r="AM109" s="69"/>
      <c r="AN109" s="69"/>
      <c r="BA109" s="69"/>
      <c r="BB109" s="69"/>
    </row>
    <row r="110" spans="3:59" x14ac:dyDescent="0.25">
      <c r="D110" s="69"/>
      <c r="E110" s="69"/>
      <c r="F110" s="165"/>
      <c r="G110" s="165"/>
      <c r="H110" s="165"/>
      <c r="I110" s="165"/>
      <c r="J110" s="165"/>
      <c r="K110" s="165"/>
      <c r="L110" s="165"/>
      <c r="M110" s="165"/>
      <c r="N110" s="165"/>
      <c r="O110" s="165"/>
      <c r="P110" s="69"/>
      <c r="Q110" s="69"/>
      <c r="U110" s="288">
        <v>4604</v>
      </c>
      <c r="V110" s="290">
        <v>95</v>
      </c>
      <c r="W110" s="217">
        <v>43906</v>
      </c>
      <c r="X110" s="165" t="s">
        <v>509</v>
      </c>
      <c r="Y110" s="69"/>
      <c r="Z110" s="69"/>
      <c r="AA110" s="69"/>
      <c r="AB110" s="69"/>
      <c r="AC110" s="69"/>
      <c r="AD110" s="69"/>
      <c r="AE110" s="69"/>
      <c r="AF110" s="69"/>
      <c r="AG110" s="69"/>
      <c r="AH110" s="69"/>
      <c r="AJ110" s="69"/>
      <c r="AK110" s="69"/>
      <c r="AL110" s="69"/>
      <c r="AM110" s="69"/>
      <c r="AN110" s="69"/>
      <c r="BA110" s="69"/>
      <c r="BB110" s="69"/>
    </row>
    <row r="111" spans="3:59" x14ac:dyDescent="0.25">
      <c r="D111" s="69"/>
      <c r="E111" s="69"/>
      <c r="F111" s="69"/>
      <c r="G111" s="69"/>
      <c r="H111" s="69"/>
      <c r="I111" s="69"/>
      <c r="J111" s="69"/>
      <c r="K111" s="69"/>
      <c r="L111" s="69"/>
      <c r="M111" s="69"/>
      <c r="N111" s="69"/>
      <c r="O111" s="69"/>
      <c r="P111" s="165"/>
      <c r="Q111" s="69"/>
      <c r="R111" s="69"/>
      <c r="S111" s="69"/>
      <c r="T111" s="165"/>
      <c r="U111" s="288">
        <v>6357</v>
      </c>
      <c r="V111" s="289">
        <v>121</v>
      </c>
      <c r="W111" s="268">
        <v>43907</v>
      </c>
      <c r="X111" t="s">
        <v>200</v>
      </c>
      <c r="AJ111" s="69"/>
      <c r="AK111" s="69"/>
      <c r="AL111" s="69"/>
      <c r="AM111" s="69"/>
      <c r="AN111" s="69"/>
      <c r="BA111" s="69"/>
      <c r="BB111" s="69"/>
    </row>
    <row r="112" spans="3:59" x14ac:dyDescent="0.25">
      <c r="V112" s="287">
        <v>9317</v>
      </c>
      <c r="W112" s="290">
        <v>171</v>
      </c>
      <c r="X112" s="158">
        <v>43908</v>
      </c>
      <c r="Y112" s="159" t="s">
        <v>172</v>
      </c>
      <c r="Z112" s="158">
        <v>43922</v>
      </c>
      <c r="AJ112" s="69"/>
      <c r="AK112" s="69"/>
      <c r="AL112" s="69"/>
      <c r="AM112" s="69"/>
      <c r="AN112" s="69"/>
      <c r="BA112" s="69"/>
      <c r="BB112" s="69"/>
    </row>
    <row r="113" spans="3:59" s="69" customFormat="1" x14ac:dyDescent="0.25">
      <c r="C113"/>
      <c r="D113"/>
      <c r="E113"/>
      <c r="F113"/>
      <c r="G113"/>
      <c r="H113"/>
      <c r="I113"/>
      <c r="J113"/>
      <c r="K113"/>
      <c r="L113"/>
      <c r="M113"/>
      <c r="N113"/>
      <c r="O113"/>
      <c r="P113"/>
      <c r="Q113"/>
      <c r="R113"/>
      <c r="S113"/>
      <c r="T113"/>
      <c r="U113"/>
      <c r="V113" s="288">
        <v>9317</v>
      </c>
      <c r="W113" s="290">
        <v>171</v>
      </c>
      <c r="X113" s="268">
        <v>43908</v>
      </c>
      <c r="Y113" s="69" t="s">
        <v>239</v>
      </c>
      <c r="Z113" s="165"/>
      <c r="AA113"/>
      <c r="AB113"/>
      <c r="AC113"/>
      <c r="AD113"/>
      <c r="AE113"/>
      <c r="AF113"/>
      <c r="AG113"/>
      <c r="AH113"/>
      <c r="AI113"/>
      <c r="AJ113"/>
      <c r="AK113"/>
      <c r="AL113"/>
      <c r="AM113"/>
      <c r="AN113"/>
      <c r="BC113"/>
      <c r="BD113"/>
      <c r="BE113"/>
      <c r="BF113"/>
      <c r="BG113"/>
    </row>
    <row r="114" spans="3:59" x14ac:dyDescent="0.25">
      <c r="V114" s="288">
        <v>9317</v>
      </c>
      <c r="W114" s="290">
        <v>171</v>
      </c>
      <c r="X114" s="268">
        <v>43908</v>
      </c>
      <c r="Y114" s="69" t="s">
        <v>399</v>
      </c>
      <c r="Z114" s="165"/>
      <c r="AO114" s="69"/>
      <c r="AP114" s="69"/>
      <c r="AQ114" s="69"/>
      <c r="AR114" s="69"/>
      <c r="AS114" s="69"/>
      <c r="AT114" s="69"/>
      <c r="AU114" s="69"/>
      <c r="AV114" s="69"/>
      <c r="AW114" s="69"/>
      <c r="AX114" s="69"/>
      <c r="AY114" s="69"/>
      <c r="AZ114" s="69"/>
      <c r="BA114" s="69"/>
      <c r="BB114" s="69"/>
    </row>
    <row r="115" spans="3:59" x14ac:dyDescent="0.25">
      <c r="V115" s="288">
        <v>13898</v>
      </c>
      <c r="W115" s="289">
        <v>239</v>
      </c>
      <c r="X115" s="268">
        <v>43909</v>
      </c>
      <c r="Y115" s="69" t="s">
        <v>287</v>
      </c>
      <c r="Z115" s="165"/>
      <c r="AA115" s="69"/>
      <c r="AD115" s="69"/>
      <c r="AE115" s="69"/>
      <c r="AF115" s="69"/>
      <c r="AI115" s="69"/>
      <c r="AO115" s="69"/>
      <c r="AP115" s="69"/>
    </row>
    <row r="116" spans="3:59" x14ac:dyDescent="0.25">
      <c r="W116" s="287">
        <v>19551</v>
      </c>
      <c r="X116" s="290">
        <v>309</v>
      </c>
      <c r="Y116" s="158">
        <v>43910</v>
      </c>
      <c r="Z116" s="159" t="s">
        <v>173</v>
      </c>
      <c r="AA116" s="159"/>
      <c r="AB116" s="159"/>
      <c r="AC116" s="158">
        <v>43924</v>
      </c>
    </row>
    <row r="117" spans="3:59" x14ac:dyDescent="0.25">
      <c r="W117" s="69"/>
      <c r="X117" s="288">
        <v>33840</v>
      </c>
      <c r="Y117" s="289">
        <v>509</v>
      </c>
      <c r="Z117" s="268">
        <v>43912</v>
      </c>
      <c r="AA117" s="69" t="s">
        <v>398</v>
      </c>
      <c r="AB117" s="69"/>
      <c r="AC117" s="165"/>
    </row>
    <row r="118" spans="3:59" x14ac:dyDescent="0.25">
      <c r="X118" s="288">
        <v>44189</v>
      </c>
      <c r="Y118" s="290">
        <v>689</v>
      </c>
      <c r="Z118" s="268">
        <v>43913</v>
      </c>
      <c r="AA118" s="69" t="s">
        <v>323</v>
      </c>
      <c r="AB118" s="69"/>
      <c r="AC118" s="165"/>
    </row>
    <row r="119" spans="3:59" x14ac:dyDescent="0.25">
      <c r="X119" s="287">
        <v>55398</v>
      </c>
      <c r="Y119" s="289">
        <v>957</v>
      </c>
      <c r="Z119" s="158">
        <v>43914</v>
      </c>
      <c r="AA119" s="159" t="s">
        <v>174</v>
      </c>
      <c r="AB119" s="159"/>
      <c r="AC119" s="158">
        <v>43928</v>
      </c>
      <c r="AE119" s="69"/>
      <c r="AF119" s="69"/>
    </row>
    <row r="120" spans="3:59" x14ac:dyDescent="0.25">
      <c r="X120" s="288">
        <v>55398</v>
      </c>
      <c r="Y120" s="290">
        <v>957</v>
      </c>
      <c r="Z120" s="268">
        <v>43914</v>
      </c>
      <c r="AA120" t="s">
        <v>236</v>
      </c>
      <c r="AE120" s="69"/>
      <c r="AF120" s="69"/>
    </row>
    <row r="121" spans="3:59" x14ac:dyDescent="0.25">
      <c r="C121" s="69"/>
      <c r="D121" s="69"/>
      <c r="E121" s="69"/>
      <c r="F121" s="69"/>
      <c r="G121" s="69"/>
      <c r="H121" s="69"/>
      <c r="I121" s="69"/>
      <c r="J121" s="69"/>
      <c r="K121" s="69"/>
      <c r="L121" s="69"/>
      <c r="M121" s="69"/>
      <c r="N121" s="69"/>
      <c r="O121" s="69"/>
      <c r="P121" s="69"/>
      <c r="Q121" s="69"/>
      <c r="R121" s="69"/>
      <c r="S121" s="69"/>
      <c r="T121" s="69"/>
      <c r="U121" s="69"/>
      <c r="V121" s="69"/>
      <c r="W121" s="69"/>
      <c r="X121" s="288">
        <v>55398</v>
      </c>
      <c r="Y121" s="290">
        <v>957</v>
      </c>
      <c r="Z121" s="165">
        <v>43914</v>
      </c>
      <c r="AA121" s="69" t="s">
        <v>295</v>
      </c>
      <c r="AB121" s="69"/>
      <c r="AC121" s="69"/>
      <c r="AD121" s="69"/>
      <c r="AE121" s="69"/>
      <c r="AF121" s="69"/>
      <c r="AG121" s="69"/>
      <c r="AH121" s="69"/>
    </row>
    <row r="122" spans="3:59" x14ac:dyDescent="0.25">
      <c r="C122" s="69"/>
      <c r="D122" s="69"/>
      <c r="E122" s="69"/>
      <c r="F122" s="69"/>
      <c r="G122" s="69"/>
      <c r="H122" s="69"/>
      <c r="I122" s="69"/>
      <c r="J122" s="69"/>
      <c r="K122" s="69"/>
      <c r="L122" s="69"/>
      <c r="M122" s="69"/>
      <c r="N122" s="69"/>
      <c r="O122" s="69"/>
      <c r="P122" s="69"/>
      <c r="Q122" s="69"/>
      <c r="R122" s="69"/>
      <c r="S122" s="69"/>
      <c r="T122" s="69"/>
      <c r="U122" s="69"/>
      <c r="V122" s="69"/>
      <c r="W122" s="69"/>
      <c r="Y122" s="288">
        <v>68905</v>
      </c>
      <c r="Z122" s="290">
        <v>1260</v>
      </c>
      <c r="AA122" s="165">
        <v>43915</v>
      </c>
      <c r="AB122" s="69" t="s">
        <v>397</v>
      </c>
      <c r="AC122" s="69"/>
      <c r="AD122" s="69"/>
      <c r="AE122" s="69"/>
      <c r="AF122" s="69"/>
      <c r="AG122" s="69"/>
      <c r="AH122" s="69"/>
    </row>
    <row r="123" spans="3:59" x14ac:dyDescent="0.25">
      <c r="C123" s="69"/>
      <c r="D123" s="69"/>
      <c r="E123" s="69"/>
      <c r="F123" s="69"/>
      <c r="G123" s="69"/>
      <c r="H123" s="69"/>
      <c r="I123" s="69"/>
      <c r="J123" s="69"/>
      <c r="K123" s="69"/>
      <c r="L123" s="69"/>
      <c r="M123" s="69"/>
      <c r="N123" s="69"/>
      <c r="O123" s="69"/>
      <c r="P123" s="69"/>
      <c r="Q123" s="69"/>
      <c r="R123" s="69"/>
      <c r="S123" s="69"/>
      <c r="T123" s="69"/>
      <c r="U123" s="69"/>
      <c r="V123" s="69"/>
      <c r="W123" s="69"/>
      <c r="X123" s="69"/>
      <c r="Y123" s="288">
        <v>105217</v>
      </c>
      <c r="Z123" s="290">
        <v>2110</v>
      </c>
      <c r="AA123" s="217">
        <v>43917</v>
      </c>
      <c r="AB123" s="217" t="s">
        <v>220</v>
      </c>
      <c r="AC123" s="69"/>
      <c r="AD123" s="69"/>
      <c r="AE123" s="69"/>
      <c r="AF123" s="69"/>
      <c r="AG123" s="69"/>
      <c r="AH123" s="69"/>
      <c r="AO123" s="69"/>
      <c r="AP123" s="69"/>
      <c r="AQ123" s="69"/>
      <c r="AR123" s="69"/>
      <c r="AS123" s="69"/>
      <c r="AT123" s="69"/>
      <c r="AU123" s="69"/>
      <c r="AV123" s="69"/>
      <c r="AW123" s="69"/>
      <c r="AX123" s="69"/>
      <c r="AY123" s="69"/>
      <c r="AZ123" s="69"/>
    </row>
    <row r="124" spans="3:59" x14ac:dyDescent="0.25">
      <c r="C124" s="69"/>
      <c r="D124" s="69"/>
      <c r="E124" s="69"/>
      <c r="F124" s="69"/>
      <c r="G124" s="69"/>
      <c r="H124" s="69"/>
      <c r="I124" s="69"/>
      <c r="J124" s="69"/>
      <c r="K124" s="69"/>
      <c r="L124" s="69"/>
      <c r="M124" s="69"/>
      <c r="N124" s="69"/>
      <c r="O124" s="69"/>
      <c r="P124" s="69"/>
      <c r="Q124" s="69"/>
      <c r="R124" s="69"/>
      <c r="S124" s="69"/>
      <c r="T124" s="69"/>
      <c r="U124" s="69"/>
      <c r="V124" s="69"/>
      <c r="W124" s="69"/>
      <c r="X124" s="69"/>
      <c r="Y124" s="288">
        <v>105217</v>
      </c>
      <c r="Z124" s="290">
        <v>2110</v>
      </c>
      <c r="AA124" s="268">
        <v>43917</v>
      </c>
      <c r="AB124" t="s">
        <v>247</v>
      </c>
      <c r="AC124" s="69"/>
      <c r="AD124" s="69"/>
      <c r="AE124" s="69"/>
      <c r="AF124" s="69"/>
      <c r="AG124" s="69"/>
      <c r="AH124" s="69"/>
      <c r="AO124" s="69"/>
      <c r="AP124" s="69"/>
      <c r="AQ124" s="69"/>
      <c r="AR124" s="69"/>
      <c r="AS124" s="69"/>
      <c r="AT124" s="69"/>
      <c r="AU124" s="69"/>
      <c r="AV124" s="69"/>
      <c r="AW124" s="69"/>
      <c r="AX124" s="69"/>
      <c r="AY124" s="69"/>
      <c r="AZ124" s="69"/>
    </row>
    <row r="125" spans="3:59" x14ac:dyDescent="0.25">
      <c r="C125" s="69"/>
      <c r="D125" s="69"/>
      <c r="E125" s="69"/>
      <c r="F125" s="69"/>
      <c r="G125" s="69"/>
      <c r="H125" s="69"/>
      <c r="I125" s="69"/>
      <c r="J125" s="69"/>
      <c r="K125" s="69"/>
      <c r="L125" s="69"/>
      <c r="M125" s="69"/>
      <c r="N125" s="69"/>
      <c r="O125" s="69"/>
      <c r="P125" s="69"/>
      <c r="Q125" s="69"/>
      <c r="R125" s="69"/>
      <c r="S125" s="69"/>
      <c r="T125" s="69"/>
      <c r="U125" s="69"/>
      <c r="V125" s="69"/>
      <c r="W125" s="69"/>
      <c r="X125" s="69"/>
      <c r="Y125" s="288">
        <v>105217</v>
      </c>
      <c r="Z125" s="290">
        <v>2110</v>
      </c>
      <c r="AA125" s="268">
        <v>43917</v>
      </c>
      <c r="AB125" t="s">
        <v>275</v>
      </c>
      <c r="AC125" s="69"/>
      <c r="AD125" s="69"/>
      <c r="AE125" s="69"/>
      <c r="AF125" s="69"/>
      <c r="AG125" s="69"/>
      <c r="AH125" s="69"/>
      <c r="AJ125" s="69"/>
      <c r="AK125" s="69"/>
      <c r="AL125" s="69"/>
      <c r="AM125" s="69"/>
      <c r="AN125" s="69"/>
      <c r="AO125" s="69"/>
      <c r="AP125" s="69"/>
      <c r="AQ125" s="69"/>
      <c r="AR125" s="69"/>
      <c r="AS125" s="69"/>
      <c r="AT125" s="69"/>
      <c r="AU125" s="69"/>
      <c r="AV125" s="69"/>
      <c r="AW125" s="69"/>
      <c r="AX125" s="69"/>
      <c r="AY125" s="69"/>
      <c r="AZ125" s="69"/>
      <c r="BC125" s="69"/>
    </row>
    <row r="126" spans="3:59" x14ac:dyDescent="0.25">
      <c r="C126" s="69"/>
      <c r="D126" s="69"/>
      <c r="E126" s="69"/>
      <c r="F126" s="69"/>
      <c r="G126" s="69"/>
      <c r="H126" s="69"/>
      <c r="I126" s="69"/>
      <c r="J126" s="69"/>
      <c r="K126" s="69"/>
      <c r="L126" s="69"/>
      <c r="M126" s="69"/>
      <c r="N126" s="69"/>
      <c r="O126" s="69"/>
      <c r="P126" s="69"/>
      <c r="Q126" s="69"/>
      <c r="R126" s="69"/>
      <c r="S126" s="69"/>
      <c r="T126" s="69"/>
      <c r="U126" s="69"/>
      <c r="V126" s="69"/>
      <c r="W126" s="69"/>
      <c r="X126" s="69"/>
      <c r="Y126" s="288">
        <v>105217</v>
      </c>
      <c r="Z126" s="290">
        <v>2110</v>
      </c>
      <c r="AA126" s="268">
        <v>43917</v>
      </c>
      <c r="AB126" t="s">
        <v>309</v>
      </c>
      <c r="AC126" s="69"/>
      <c r="AD126" s="69"/>
      <c r="AE126" s="69"/>
      <c r="AF126" s="69"/>
      <c r="AG126" s="69"/>
      <c r="AH126" s="69"/>
      <c r="AO126" s="69"/>
      <c r="AP126" s="69"/>
      <c r="AQ126" s="69"/>
      <c r="AR126" s="69"/>
      <c r="AS126" s="69"/>
      <c r="AT126" s="69"/>
      <c r="AU126" s="69"/>
      <c r="AV126" s="69"/>
      <c r="AW126" s="69"/>
      <c r="AX126" s="69"/>
      <c r="AY126" s="69"/>
      <c r="AZ126" s="69"/>
      <c r="BC126" s="69"/>
    </row>
    <row r="127" spans="3:59" x14ac:dyDescent="0.25">
      <c r="C127" s="69"/>
      <c r="D127" s="69"/>
      <c r="E127" s="69"/>
      <c r="F127" s="69"/>
      <c r="G127" s="69"/>
      <c r="H127" s="69"/>
      <c r="I127" s="69"/>
      <c r="J127" s="69"/>
      <c r="K127" s="69"/>
      <c r="L127" s="69"/>
      <c r="M127" s="69"/>
      <c r="N127" s="69"/>
      <c r="O127" s="69"/>
      <c r="P127" s="69"/>
      <c r="Q127" s="69"/>
      <c r="R127" s="69"/>
      <c r="S127" s="69"/>
      <c r="T127" s="69"/>
      <c r="U127" s="69"/>
      <c r="V127" s="69"/>
      <c r="W127" s="69"/>
      <c r="X127" s="69"/>
      <c r="Y127" s="35"/>
      <c r="Z127" s="287">
        <v>124788</v>
      </c>
      <c r="AA127" s="294">
        <v>2754</v>
      </c>
      <c r="AB127" s="293">
        <v>43918</v>
      </c>
      <c r="AC127" s="69" t="s">
        <v>524</v>
      </c>
      <c r="AD127" s="69"/>
      <c r="AE127" s="69"/>
      <c r="AF127" s="69"/>
      <c r="AG127" s="69"/>
      <c r="AH127" s="69"/>
      <c r="AO127" s="69"/>
      <c r="AP127" s="69"/>
      <c r="AQ127" s="69"/>
      <c r="AR127" s="69"/>
      <c r="AS127" s="69"/>
      <c r="AT127" s="69"/>
      <c r="AU127" s="69"/>
      <c r="AV127" s="69"/>
      <c r="AW127" s="69"/>
      <c r="AX127" s="69"/>
      <c r="AY127" s="69"/>
      <c r="AZ127" s="69"/>
      <c r="BC127" s="69"/>
    </row>
    <row r="128" spans="3:59" x14ac:dyDescent="0.25">
      <c r="X128" s="236"/>
      <c r="Y128" s="165"/>
      <c r="Z128" s="288">
        <v>124788</v>
      </c>
      <c r="AA128" s="290">
        <v>2754</v>
      </c>
      <c r="AB128" s="269">
        <v>43918</v>
      </c>
      <c r="AC128" t="s">
        <v>244</v>
      </c>
      <c r="AD128" s="69"/>
      <c r="AE128" s="69"/>
      <c r="AO128" s="69"/>
      <c r="AP128" s="69"/>
      <c r="AQ128" s="69"/>
      <c r="AR128" s="69"/>
      <c r="AS128" s="69"/>
      <c r="AT128" s="69"/>
      <c r="AU128" s="69"/>
      <c r="AV128" s="69"/>
      <c r="AW128" s="69"/>
      <c r="AX128" s="69"/>
      <c r="AY128" s="69"/>
      <c r="AZ128" s="69"/>
      <c r="BC128" s="69"/>
    </row>
    <row r="129" spans="3:59" x14ac:dyDescent="0.25">
      <c r="X129" s="236"/>
      <c r="Y129" s="165"/>
      <c r="Z129" s="288">
        <v>144980</v>
      </c>
      <c r="AA129" s="290">
        <v>3251</v>
      </c>
      <c r="AB129" s="293">
        <v>43919</v>
      </c>
      <c r="AC129" t="s">
        <v>523</v>
      </c>
      <c r="AD129" s="69"/>
      <c r="AE129" s="69"/>
      <c r="AO129" s="69"/>
      <c r="AP129" s="69"/>
      <c r="AQ129" s="69"/>
      <c r="AR129" s="69"/>
      <c r="AS129" s="69"/>
      <c r="AT129" s="69"/>
      <c r="AU129" s="69"/>
      <c r="AV129" s="69"/>
      <c r="AW129" s="69"/>
      <c r="AX129" s="69"/>
      <c r="AY129" s="69"/>
      <c r="AZ129" s="69"/>
      <c r="BC129" s="69"/>
    </row>
    <row r="130" spans="3:59" x14ac:dyDescent="0.25">
      <c r="Z130" s="288">
        <v>168177</v>
      </c>
      <c r="AA130" s="290">
        <v>4066</v>
      </c>
      <c r="AB130" s="293">
        <v>43920</v>
      </c>
      <c r="AC130" t="s">
        <v>522</v>
      </c>
      <c r="AD130" s="69"/>
      <c r="AE130" s="69"/>
      <c r="BC130" s="69"/>
    </row>
    <row r="131" spans="3:59" x14ac:dyDescent="0.25">
      <c r="Z131" s="288">
        <v>168177</v>
      </c>
      <c r="AA131" s="290">
        <v>4066</v>
      </c>
      <c r="AB131" s="268">
        <v>43920</v>
      </c>
      <c r="AC131" t="s">
        <v>250</v>
      </c>
      <c r="AD131" s="69"/>
      <c r="AE131" s="69"/>
      <c r="BA131" s="69"/>
      <c r="BB131" s="69"/>
      <c r="BC131" s="69"/>
    </row>
    <row r="132" spans="3:59" x14ac:dyDescent="0.25">
      <c r="Z132" s="288">
        <v>168177</v>
      </c>
      <c r="AA132" s="290">
        <v>4066</v>
      </c>
      <c r="AB132" s="268">
        <v>43920</v>
      </c>
      <c r="AC132" t="s">
        <v>322</v>
      </c>
      <c r="AD132" s="69"/>
      <c r="AE132" s="69"/>
      <c r="BC132" s="69"/>
    </row>
    <row r="133" spans="3:59" x14ac:dyDescent="0.25">
      <c r="Z133" s="288">
        <v>193353</v>
      </c>
      <c r="AA133" s="294">
        <v>5151</v>
      </c>
      <c r="AB133" s="293">
        <v>43921</v>
      </c>
      <c r="AC133" t="s">
        <v>525</v>
      </c>
      <c r="AD133" s="69"/>
      <c r="AE133" s="69"/>
      <c r="BC133" s="69"/>
    </row>
    <row r="134" spans="3:59" x14ac:dyDescent="0.25">
      <c r="Z134" s="288">
        <v>220295</v>
      </c>
      <c r="AA134" s="290">
        <v>6394</v>
      </c>
      <c r="AB134" s="150">
        <v>43922</v>
      </c>
      <c r="AC134" t="s">
        <v>520</v>
      </c>
      <c r="AD134" s="69"/>
      <c r="AE134" s="69"/>
      <c r="BC134" s="69"/>
    </row>
    <row r="135" spans="3:59" x14ac:dyDescent="0.25">
      <c r="Z135" s="288">
        <v>220295</v>
      </c>
      <c r="AA135" s="290">
        <v>6394</v>
      </c>
      <c r="AB135" s="325">
        <v>43922</v>
      </c>
      <c r="AC135" t="s">
        <v>521</v>
      </c>
      <c r="AD135" s="69"/>
      <c r="AE135" s="69"/>
      <c r="BC135" s="69"/>
    </row>
    <row r="136" spans="3:59" x14ac:dyDescent="0.25">
      <c r="AA136" s="287">
        <v>250708</v>
      </c>
      <c r="AB136" s="290">
        <v>7576</v>
      </c>
      <c r="AC136" s="268">
        <v>43923</v>
      </c>
      <c r="AD136" s="69" t="s">
        <v>303</v>
      </c>
      <c r="AE136" s="69"/>
      <c r="AF136" s="69"/>
      <c r="AG136" s="69"/>
      <c r="AI136" s="69"/>
      <c r="BC136" s="69"/>
    </row>
    <row r="137" spans="3:59" x14ac:dyDescent="0.25">
      <c r="AA137" s="288">
        <v>283477</v>
      </c>
      <c r="AB137" s="290">
        <v>8839</v>
      </c>
      <c r="AC137" s="158">
        <v>43924</v>
      </c>
      <c r="AD137" s="159" t="s">
        <v>221</v>
      </c>
      <c r="AE137" s="158">
        <v>43938</v>
      </c>
      <c r="AF137" s="69"/>
      <c r="AG137" s="69"/>
      <c r="AI137" s="69"/>
      <c r="AJ137" s="69"/>
      <c r="AK137" s="69"/>
      <c r="AL137" s="69"/>
      <c r="AM137" s="69"/>
      <c r="AN137" s="69"/>
      <c r="BC137" s="69"/>
    </row>
    <row r="138" spans="3:59" x14ac:dyDescent="0.25">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288">
        <v>317994</v>
      </c>
      <c r="AB138" s="289">
        <v>10384</v>
      </c>
      <c r="AC138" s="268">
        <v>43925</v>
      </c>
      <c r="AD138" t="s">
        <v>223</v>
      </c>
      <c r="AH138" s="69"/>
      <c r="AI138" s="69"/>
      <c r="BC138" s="69"/>
      <c r="BD138" s="69"/>
      <c r="BE138" s="69"/>
      <c r="BF138" s="69"/>
      <c r="BG138" s="69"/>
    </row>
    <row r="139" spans="3:59" s="69" customFormat="1" x14ac:dyDescent="0.25">
      <c r="AA139" s="288">
        <v>343747</v>
      </c>
      <c r="AB139" s="290">
        <v>11793</v>
      </c>
      <c r="AC139" s="293">
        <v>43926</v>
      </c>
      <c r="AD139" t="s">
        <v>526</v>
      </c>
      <c r="AE139"/>
      <c r="AF139"/>
      <c r="AG139"/>
      <c r="AJ139"/>
      <c r="AK139"/>
      <c r="AL139"/>
      <c r="AM139"/>
      <c r="AN139"/>
      <c r="AO139"/>
      <c r="AP139"/>
      <c r="AQ139"/>
      <c r="AR139"/>
      <c r="AS139"/>
      <c r="AT139"/>
      <c r="AU139"/>
      <c r="AV139"/>
      <c r="AW139"/>
      <c r="AX139"/>
      <c r="AY139"/>
      <c r="AZ139"/>
      <c r="BA139"/>
      <c r="BB139"/>
    </row>
    <row r="140" spans="3:59" x14ac:dyDescent="0.25">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288">
        <v>343747</v>
      </c>
      <c r="AB140" s="290">
        <v>11793</v>
      </c>
      <c r="AC140" s="165">
        <v>43926</v>
      </c>
      <c r="AD140" t="s">
        <v>324</v>
      </c>
      <c r="AH140" s="69"/>
      <c r="AI140" s="69"/>
      <c r="AQ140" s="69"/>
      <c r="AR140" s="69"/>
      <c r="AS140" s="69"/>
      <c r="AT140" s="69"/>
      <c r="AU140" s="69"/>
      <c r="AV140" s="69"/>
      <c r="AW140" s="69"/>
      <c r="AX140" s="69"/>
      <c r="AY140" s="69"/>
      <c r="AZ140" s="69"/>
      <c r="BD140" s="69"/>
      <c r="BE140" s="69"/>
      <c r="BF140" s="69"/>
      <c r="BG140" s="69"/>
    </row>
    <row r="141" spans="3:59" x14ac:dyDescent="0.25">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288">
        <v>375348</v>
      </c>
      <c r="AB141" s="290">
        <v>13298</v>
      </c>
      <c r="AC141" s="293">
        <v>43927</v>
      </c>
      <c r="AD141" t="s">
        <v>527</v>
      </c>
      <c r="AH141" s="69"/>
      <c r="AI141" s="69"/>
      <c r="AQ141" s="69"/>
      <c r="AR141" s="69"/>
      <c r="AS141" s="69"/>
      <c r="AT141" s="69"/>
      <c r="AU141" s="69"/>
      <c r="AV141" s="69"/>
      <c r="AW141" s="69"/>
      <c r="AX141" s="69"/>
      <c r="AY141" s="69"/>
      <c r="AZ141" s="69"/>
      <c r="BD141" s="69"/>
      <c r="BE141" s="69"/>
      <c r="BF141" s="69"/>
      <c r="BG141" s="69"/>
    </row>
    <row r="142" spans="3:59" x14ac:dyDescent="0.25">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288">
        <v>441569</v>
      </c>
      <c r="AB142" s="290">
        <v>17691</v>
      </c>
      <c r="AC142" s="325">
        <v>43929</v>
      </c>
      <c r="AD142" t="s">
        <v>511</v>
      </c>
      <c r="AH142" s="69"/>
      <c r="AI142" s="69"/>
      <c r="AQ142" s="69"/>
      <c r="AR142" s="69"/>
      <c r="AS142" s="69"/>
      <c r="AT142" s="69"/>
      <c r="AU142" s="69"/>
      <c r="AV142" s="69"/>
      <c r="AW142" s="69"/>
      <c r="AX142" s="69"/>
      <c r="AY142" s="69"/>
      <c r="AZ142" s="69"/>
      <c r="BD142" s="69"/>
      <c r="BE142" s="69"/>
      <c r="BF142" s="69"/>
      <c r="BG142" s="69"/>
    </row>
    <row r="143" spans="3:59" x14ac:dyDescent="0.25">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288">
        <v>441569</v>
      </c>
      <c r="AB143" s="290">
        <v>17691</v>
      </c>
      <c r="AC143" s="325">
        <v>43929</v>
      </c>
      <c r="AD143" t="s">
        <v>553</v>
      </c>
      <c r="AH143" s="69"/>
      <c r="AI143" s="69"/>
      <c r="AQ143" s="69"/>
      <c r="AR143" s="69"/>
      <c r="AS143" s="69"/>
      <c r="AT143" s="69"/>
      <c r="AU143" s="69"/>
      <c r="AV143" s="69"/>
      <c r="AW143" s="69"/>
      <c r="AX143" s="69"/>
      <c r="AY143" s="69"/>
      <c r="AZ143" s="69"/>
      <c r="BD143" s="69"/>
      <c r="BE143" s="69"/>
      <c r="BF143" s="69"/>
      <c r="BG143" s="69"/>
    </row>
    <row r="144" spans="3:59" x14ac:dyDescent="0.25">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287">
        <v>509604</v>
      </c>
      <c r="AB144" s="290">
        <v>22038</v>
      </c>
      <c r="AC144" s="325">
        <v>43931</v>
      </c>
      <c r="AD144" t="s">
        <v>519</v>
      </c>
      <c r="AH144" s="69"/>
      <c r="AI144" s="69"/>
      <c r="AQ144" s="69"/>
      <c r="AR144" s="69"/>
      <c r="AS144" s="69"/>
      <c r="AT144" s="69"/>
      <c r="AU144" s="69"/>
      <c r="AV144" s="69"/>
      <c r="AW144" s="69"/>
      <c r="AX144" s="69"/>
      <c r="AY144" s="69"/>
      <c r="AZ144" s="69"/>
      <c r="BD144" s="69"/>
      <c r="BE144" s="69"/>
      <c r="BF144" s="69"/>
      <c r="BG144" s="69"/>
    </row>
    <row r="145" spans="3:59" x14ac:dyDescent="0.25">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288">
        <v>539942</v>
      </c>
      <c r="AC145" s="290">
        <v>24062</v>
      </c>
      <c r="AD145" s="268">
        <v>43932</v>
      </c>
      <c r="AE145" t="s">
        <v>232</v>
      </c>
      <c r="AH145" s="69"/>
      <c r="AI145" s="69"/>
      <c r="BD145" s="69"/>
      <c r="BE145" s="69"/>
      <c r="BF145" s="69"/>
      <c r="BG145" s="69"/>
    </row>
    <row r="146" spans="3:59" x14ac:dyDescent="0.25">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288">
        <v>567708</v>
      </c>
      <c r="AC146" s="294">
        <v>25789</v>
      </c>
      <c r="AD146" s="293">
        <v>43933</v>
      </c>
      <c r="AE146" t="s">
        <v>528</v>
      </c>
      <c r="AH146" s="69"/>
      <c r="AI146" s="69"/>
      <c r="BD146" s="69"/>
      <c r="BE146" s="69"/>
      <c r="BF146" s="69"/>
      <c r="BG146" s="69"/>
    </row>
    <row r="147" spans="3:59" x14ac:dyDescent="0.25">
      <c r="AB147" s="288">
        <v>594693</v>
      </c>
      <c r="AC147" s="290">
        <v>27515</v>
      </c>
      <c r="AD147" s="268">
        <v>43934</v>
      </c>
      <c r="AE147" t="s">
        <v>224</v>
      </c>
      <c r="BD147" s="69"/>
      <c r="BE147" s="69"/>
      <c r="BF147" s="69"/>
      <c r="BG147" s="69"/>
    </row>
    <row r="148" spans="3:59" x14ac:dyDescent="0.25">
      <c r="AB148" s="288">
        <v>621953</v>
      </c>
      <c r="AC148" s="290">
        <v>30081</v>
      </c>
      <c r="AD148" s="217">
        <v>43935</v>
      </c>
      <c r="AE148" t="s">
        <v>248</v>
      </c>
      <c r="BD148" s="69"/>
      <c r="BE148" s="69"/>
      <c r="BF148" s="69"/>
      <c r="BG148" s="69"/>
    </row>
    <row r="149" spans="3:59" x14ac:dyDescent="0.25">
      <c r="AC149" s="288">
        <v>652474</v>
      </c>
      <c r="AD149" s="290">
        <v>32712</v>
      </c>
      <c r="AE149" s="268">
        <v>43936</v>
      </c>
      <c r="AF149" s="69" t="s">
        <v>249</v>
      </c>
      <c r="AO149" s="69"/>
      <c r="AP149" s="69"/>
      <c r="AQ149" s="69"/>
      <c r="AR149" s="69"/>
      <c r="AS149" s="69"/>
      <c r="AT149" s="69"/>
      <c r="AU149" s="69"/>
      <c r="AV149" s="69"/>
      <c r="AW149" s="69"/>
      <c r="AX149" s="69"/>
      <c r="AY149" s="69"/>
      <c r="AZ149" s="69"/>
      <c r="BD149" s="69"/>
      <c r="BE149" s="69"/>
      <c r="BF149" s="69"/>
      <c r="BG149" s="69"/>
    </row>
    <row r="150" spans="3:59" x14ac:dyDescent="0.25">
      <c r="AC150" s="288">
        <v>652474</v>
      </c>
      <c r="AD150" s="290">
        <v>32712</v>
      </c>
      <c r="AE150" s="268">
        <v>43936</v>
      </c>
      <c r="AF150" t="s">
        <v>254</v>
      </c>
      <c r="BD150" s="69"/>
      <c r="BE150" s="69"/>
      <c r="BF150" s="69"/>
      <c r="BG150" s="69"/>
    </row>
    <row r="151" spans="3:59" x14ac:dyDescent="0.25">
      <c r="AC151" s="288">
        <v>652474</v>
      </c>
      <c r="AD151" s="290">
        <v>32712</v>
      </c>
      <c r="AE151" s="268">
        <v>43936</v>
      </c>
      <c r="AF151" t="s">
        <v>252</v>
      </c>
      <c r="AI151" s="69"/>
      <c r="BD151" s="69"/>
      <c r="BE151" s="69"/>
      <c r="BF151" s="69"/>
      <c r="BG151" s="69"/>
    </row>
    <row r="152" spans="3:59" x14ac:dyDescent="0.25">
      <c r="AC152" s="288">
        <v>652474</v>
      </c>
      <c r="AD152" s="290">
        <v>32712</v>
      </c>
      <c r="AE152" s="217">
        <v>43936</v>
      </c>
      <c r="AF152" t="s">
        <v>320</v>
      </c>
      <c r="AH152" s="217">
        <f>AE152+14</f>
        <v>43950</v>
      </c>
      <c r="AI152" s="69"/>
      <c r="BA152" s="69"/>
      <c r="BB152" s="69"/>
      <c r="BC152" s="69"/>
      <c r="BD152" s="69"/>
      <c r="BE152" s="69"/>
      <c r="BF152" s="69"/>
      <c r="BG152" s="69"/>
    </row>
    <row r="153" spans="3:59" x14ac:dyDescent="0.25">
      <c r="AC153" s="288">
        <v>682454</v>
      </c>
      <c r="AD153" s="290">
        <v>34905</v>
      </c>
      <c r="AE153" s="268">
        <v>43937</v>
      </c>
      <c r="AF153" t="s">
        <v>294</v>
      </c>
      <c r="BD153" s="69"/>
      <c r="BE153" s="69"/>
      <c r="BF153" s="69"/>
      <c r="BG153" s="69"/>
    </row>
    <row r="154" spans="3:59" x14ac:dyDescent="0.25">
      <c r="AC154" s="288">
        <v>714822</v>
      </c>
      <c r="AD154" s="290">
        <v>37448</v>
      </c>
      <c r="AE154" s="293">
        <v>43938</v>
      </c>
      <c r="AF154" t="s">
        <v>529</v>
      </c>
      <c r="BD154" s="69"/>
      <c r="BE154" s="69"/>
      <c r="BF154" s="69"/>
      <c r="BG154" s="69"/>
    </row>
    <row r="155" spans="3:59" x14ac:dyDescent="0.25">
      <c r="AC155" s="288">
        <v>714822</v>
      </c>
      <c r="AD155" s="290">
        <v>37448</v>
      </c>
      <c r="AE155" s="268">
        <v>43938</v>
      </c>
      <c r="AF155" t="s">
        <v>251</v>
      </c>
      <c r="BD155" s="69"/>
      <c r="BE155" s="69"/>
      <c r="BF155" s="69"/>
      <c r="BG155" s="69"/>
    </row>
    <row r="156" spans="3:59" x14ac:dyDescent="0.25">
      <c r="AC156" s="288">
        <v>714822</v>
      </c>
      <c r="AD156" s="290">
        <v>37448</v>
      </c>
      <c r="AE156" s="268">
        <v>43938</v>
      </c>
      <c r="AF156" t="s">
        <v>352</v>
      </c>
      <c r="AJ156" s="69"/>
      <c r="AK156" s="69"/>
      <c r="AL156" s="69"/>
      <c r="AM156" s="69"/>
      <c r="AN156" s="69"/>
      <c r="AO156" s="69"/>
      <c r="AP156" s="69"/>
      <c r="AQ156" s="69"/>
      <c r="AR156" s="69"/>
      <c r="AS156" s="69"/>
      <c r="AT156" s="69"/>
      <c r="AU156" s="69"/>
      <c r="AV156" s="69"/>
      <c r="AW156" s="69"/>
      <c r="AX156" s="69"/>
      <c r="AY156" s="69"/>
      <c r="AZ156" s="69"/>
      <c r="BD156" s="69"/>
      <c r="BE156" s="69"/>
      <c r="BF156" s="69"/>
      <c r="BG156" s="69"/>
    </row>
    <row r="157" spans="3:59" x14ac:dyDescent="0.25">
      <c r="AC157" s="288">
        <v>743901</v>
      </c>
      <c r="AD157" s="290">
        <v>39331</v>
      </c>
      <c r="AE157" s="293">
        <v>43939</v>
      </c>
      <c r="AF157" t="s">
        <v>530</v>
      </c>
      <c r="AJ157" s="69"/>
      <c r="AK157" s="69"/>
      <c r="AL157" s="69"/>
      <c r="AM157" s="69"/>
      <c r="AN157" s="69"/>
      <c r="AO157" s="69"/>
      <c r="AP157" s="69"/>
      <c r="AQ157" s="69"/>
      <c r="AR157" s="69"/>
      <c r="AS157" s="69"/>
      <c r="AT157" s="69"/>
      <c r="AU157" s="69"/>
      <c r="AV157" s="69"/>
      <c r="AW157" s="69"/>
      <c r="AX157" s="69"/>
      <c r="AY157" s="69"/>
      <c r="AZ157" s="69"/>
      <c r="BD157" s="69"/>
      <c r="BE157" s="69"/>
      <c r="BF157" s="69"/>
      <c r="BG157" s="69"/>
    </row>
    <row r="158" spans="3:59" x14ac:dyDescent="0.25">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288">
        <v>743901</v>
      </c>
      <c r="AD158" s="290">
        <v>39331</v>
      </c>
      <c r="AE158" s="268">
        <v>43939</v>
      </c>
      <c r="AF158" s="69" t="s">
        <v>256</v>
      </c>
      <c r="AJ158" s="69"/>
      <c r="AK158" s="69"/>
      <c r="AL158" s="69"/>
      <c r="AM158" s="69"/>
      <c r="AN158" s="69"/>
      <c r="BC158" s="69"/>
    </row>
    <row r="159" spans="3:59" x14ac:dyDescent="0.25">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288">
        <v>743901</v>
      </c>
      <c r="AD159" s="290">
        <v>39331</v>
      </c>
      <c r="AE159" s="268">
        <v>43939</v>
      </c>
      <c r="AF159" s="69" t="s">
        <v>361</v>
      </c>
      <c r="AJ159" s="69"/>
      <c r="AK159" s="69"/>
      <c r="AL159" s="69"/>
      <c r="AM159" s="69"/>
      <c r="AN159" s="69"/>
      <c r="BC159" s="69"/>
    </row>
    <row r="160" spans="3:59" x14ac:dyDescent="0.25">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D160" s="288">
        <v>770014</v>
      </c>
      <c r="AE160" s="290">
        <v>40901</v>
      </c>
      <c r="AF160" s="268">
        <v>43940</v>
      </c>
      <c r="AG160" s="47" t="s">
        <v>504</v>
      </c>
      <c r="AJ160" s="69"/>
      <c r="AK160" s="69"/>
      <c r="AL160" s="69"/>
      <c r="AM160" s="69"/>
      <c r="AN160" s="69"/>
      <c r="BC160" s="69"/>
    </row>
    <row r="161" spans="3:54" x14ac:dyDescent="0.25">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288">
        <v>798145</v>
      </c>
      <c r="AE161" s="290">
        <v>42853</v>
      </c>
      <c r="AF161" s="268">
        <v>43941</v>
      </c>
      <c r="AG161" s="69" t="s">
        <v>304</v>
      </c>
      <c r="AJ161" s="69"/>
      <c r="AK161" s="69"/>
      <c r="AL161" s="69"/>
      <c r="AM161" s="69"/>
      <c r="AN161" s="69"/>
    </row>
    <row r="162" spans="3:54" x14ac:dyDescent="0.25">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288">
        <v>798145</v>
      </c>
      <c r="AE162" s="290">
        <v>42853</v>
      </c>
      <c r="AF162" s="268">
        <v>43941</v>
      </c>
      <c r="AG162" s="69" t="s">
        <v>518</v>
      </c>
      <c r="AJ162" s="69"/>
      <c r="AK162" s="69"/>
      <c r="AL162" s="69"/>
      <c r="AM162" s="69"/>
      <c r="AN162" s="69"/>
    </row>
    <row r="163" spans="3:54" x14ac:dyDescent="0.25">
      <c r="AD163" s="288">
        <v>824229</v>
      </c>
      <c r="AE163" s="290">
        <v>45536</v>
      </c>
      <c r="AF163" s="217">
        <v>43942</v>
      </c>
      <c r="AG163" t="s">
        <v>293</v>
      </c>
      <c r="AH163" s="69"/>
      <c r="AI163" s="69"/>
      <c r="AJ163" s="69"/>
      <c r="AK163" s="69"/>
      <c r="AL163" s="69"/>
      <c r="AM163" s="69"/>
      <c r="AN163" s="69"/>
      <c r="BA163" s="69"/>
      <c r="BB163" s="69"/>
    </row>
    <row r="164" spans="3:54" x14ac:dyDescent="0.25">
      <c r="AD164" s="288">
        <v>854385</v>
      </c>
      <c r="AE164" s="290">
        <v>47894</v>
      </c>
      <c r="AF164" s="217">
        <v>43943</v>
      </c>
      <c r="AG164" t="s">
        <v>290</v>
      </c>
      <c r="BA164" s="69"/>
      <c r="BB164" s="69"/>
    </row>
    <row r="165" spans="3:54" x14ac:dyDescent="0.25">
      <c r="AD165" s="288">
        <v>854385</v>
      </c>
      <c r="AE165" s="290">
        <v>47894</v>
      </c>
      <c r="AF165" s="268">
        <v>43943</v>
      </c>
      <c r="AG165" s="69" t="s">
        <v>302</v>
      </c>
      <c r="BA165" s="69"/>
      <c r="BB165" s="69"/>
    </row>
    <row r="166" spans="3:54" x14ac:dyDescent="0.25">
      <c r="AD166" s="288">
        <v>854385</v>
      </c>
      <c r="AE166" s="290">
        <v>47894</v>
      </c>
      <c r="AF166" s="268">
        <v>43943</v>
      </c>
      <c r="AG166" t="s">
        <v>288</v>
      </c>
      <c r="BA166" s="69"/>
      <c r="BB166" s="69"/>
    </row>
    <row r="167" spans="3:54" x14ac:dyDescent="0.25">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288">
        <v>886274</v>
      </c>
      <c r="AF167" s="289">
        <v>50234</v>
      </c>
      <c r="AG167" s="268">
        <v>43944</v>
      </c>
      <c r="AH167" t="s">
        <v>291</v>
      </c>
      <c r="BA167" s="69"/>
      <c r="BB167" s="69"/>
    </row>
    <row r="168" spans="3:54" x14ac:dyDescent="0.25">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288">
        <v>886274</v>
      </c>
      <c r="AF168" s="290">
        <v>50234</v>
      </c>
      <c r="AG168" s="268">
        <v>43944</v>
      </c>
      <c r="AH168" t="s">
        <v>292</v>
      </c>
      <c r="AK168" s="69"/>
      <c r="AL168" s="69"/>
      <c r="AM168" s="69"/>
      <c r="AN168" s="69"/>
    </row>
    <row r="169" spans="3:54" x14ac:dyDescent="0.25">
      <c r="AE169" s="288">
        <v>886274</v>
      </c>
      <c r="AF169" s="290">
        <v>50234</v>
      </c>
      <c r="AG169" s="217">
        <v>43944</v>
      </c>
      <c r="AH169" t="s">
        <v>319</v>
      </c>
      <c r="AK169" s="69"/>
      <c r="AL169" s="69"/>
      <c r="AM169" s="69"/>
      <c r="AN169" s="69"/>
    </row>
    <row r="170" spans="3:54" x14ac:dyDescent="0.25">
      <c r="AE170" s="288">
        <v>925232</v>
      </c>
      <c r="AF170" s="290">
        <v>52191</v>
      </c>
      <c r="AG170" s="268">
        <v>43945</v>
      </c>
      <c r="AH170" t="s">
        <v>305</v>
      </c>
    </row>
    <row r="171" spans="3:54" x14ac:dyDescent="0.25">
      <c r="AE171" s="288">
        <v>925232</v>
      </c>
      <c r="AF171" s="290">
        <v>52191</v>
      </c>
      <c r="AG171" s="268">
        <v>43945</v>
      </c>
      <c r="AH171" t="s">
        <v>505</v>
      </c>
    </row>
    <row r="172" spans="3:54" x14ac:dyDescent="0.25">
      <c r="AE172" s="288">
        <v>925232</v>
      </c>
      <c r="AF172" s="290">
        <v>52191</v>
      </c>
      <c r="AG172" s="217">
        <v>43945</v>
      </c>
      <c r="AH172" s="69" t="s">
        <v>310</v>
      </c>
    </row>
    <row r="173" spans="3:54" x14ac:dyDescent="0.25">
      <c r="AE173" s="288">
        <v>925232</v>
      </c>
      <c r="AF173" s="290">
        <v>52191</v>
      </c>
      <c r="AG173" s="217">
        <v>43945</v>
      </c>
      <c r="AH173" s="69" t="s">
        <v>395</v>
      </c>
    </row>
    <row r="174" spans="3:54" x14ac:dyDescent="0.25">
      <c r="AE174" s="288">
        <v>925232</v>
      </c>
      <c r="AF174" s="290">
        <v>52191</v>
      </c>
      <c r="AG174" s="217">
        <v>43945</v>
      </c>
      <c r="AH174" s="69" t="s">
        <v>414</v>
      </c>
    </row>
    <row r="175" spans="3:54" x14ac:dyDescent="0.25">
      <c r="AE175" s="288">
        <v>960651</v>
      </c>
      <c r="AF175" s="290">
        <v>54191</v>
      </c>
      <c r="AG175" s="165">
        <v>43946</v>
      </c>
      <c r="AH175" s="69" t="s">
        <v>307</v>
      </c>
      <c r="AO175" s="69"/>
      <c r="AP175" s="69"/>
      <c r="AQ175" s="69"/>
      <c r="AR175" s="69"/>
      <c r="AS175" s="69"/>
      <c r="AT175" s="69"/>
      <c r="AU175" s="69"/>
      <c r="AV175" s="69"/>
      <c r="AW175" s="69"/>
      <c r="AX175" s="69"/>
      <c r="AY175" s="69"/>
      <c r="AZ175" s="69"/>
    </row>
    <row r="176" spans="3:54" x14ac:dyDescent="0.25">
      <c r="AE176" s="288">
        <v>960651</v>
      </c>
      <c r="AF176" s="290">
        <v>54191</v>
      </c>
      <c r="AG176" s="269">
        <v>43946</v>
      </c>
      <c r="AH176" s="69" t="s">
        <v>313</v>
      </c>
      <c r="AO176" s="69"/>
      <c r="AP176" s="69"/>
      <c r="AQ176" s="69"/>
      <c r="AR176" s="69"/>
      <c r="AS176" s="69"/>
      <c r="AT176" s="69"/>
      <c r="AU176" s="69"/>
      <c r="AV176" s="69"/>
      <c r="AW176" s="69"/>
      <c r="AX176" s="69"/>
      <c r="AY176" s="69"/>
      <c r="AZ176" s="69"/>
      <c r="BA176" s="69"/>
      <c r="BB176" s="69"/>
    </row>
    <row r="177" spans="3:59" s="69" customFormat="1" x14ac:dyDescent="0.25">
      <c r="C177"/>
      <c r="D177"/>
      <c r="E177"/>
      <c r="F177"/>
      <c r="G177"/>
      <c r="H177"/>
      <c r="I177"/>
      <c r="J177"/>
      <c r="K177"/>
      <c r="L177"/>
      <c r="M177"/>
      <c r="N177"/>
      <c r="O177"/>
      <c r="P177"/>
      <c r="Q177"/>
      <c r="R177"/>
      <c r="S177"/>
      <c r="T177"/>
      <c r="U177"/>
      <c r="V177"/>
      <c r="W177"/>
      <c r="X177"/>
      <c r="Y177"/>
      <c r="Z177"/>
      <c r="AA177"/>
      <c r="AB177"/>
      <c r="AC177"/>
      <c r="AD177"/>
      <c r="AE177" s="288">
        <v>960651</v>
      </c>
      <c r="AF177" s="290">
        <v>54191</v>
      </c>
      <c r="AG177" s="269">
        <v>43946</v>
      </c>
      <c r="AH177" s="69" t="s">
        <v>312</v>
      </c>
      <c r="AI177"/>
      <c r="AJ177"/>
      <c r="AK177"/>
      <c r="AL177"/>
      <c r="AM177"/>
      <c r="AN177"/>
      <c r="BA177"/>
      <c r="BB177"/>
      <c r="BC177"/>
    </row>
    <row r="178" spans="3:59" s="69" customFormat="1" x14ac:dyDescent="0.25">
      <c r="C178"/>
      <c r="D178"/>
      <c r="E178"/>
      <c r="F178"/>
      <c r="G178"/>
      <c r="H178"/>
      <c r="I178"/>
      <c r="J178"/>
      <c r="K178"/>
      <c r="L178"/>
      <c r="M178"/>
      <c r="N178"/>
      <c r="O178"/>
      <c r="P178"/>
      <c r="Q178"/>
      <c r="R178"/>
      <c r="S178"/>
      <c r="T178"/>
      <c r="U178"/>
      <c r="V178"/>
      <c r="W178"/>
      <c r="X178"/>
      <c r="Y178"/>
      <c r="Z178"/>
      <c r="AA178"/>
      <c r="AB178"/>
      <c r="AC178"/>
      <c r="AD178"/>
      <c r="AE178"/>
      <c r="AF178" s="287">
        <v>1010356</v>
      </c>
      <c r="AG178" s="290">
        <v>56795</v>
      </c>
      <c r="AH178" s="269">
        <v>43948</v>
      </c>
      <c r="AI178" t="s">
        <v>311</v>
      </c>
      <c r="AJ178"/>
      <c r="AK178"/>
      <c r="AL178"/>
      <c r="AM178"/>
      <c r="AN178"/>
      <c r="BA178"/>
      <c r="BB178"/>
      <c r="BC178"/>
      <c r="BD178"/>
      <c r="BE178"/>
      <c r="BF178"/>
      <c r="BG178"/>
    </row>
    <row r="179" spans="3:59" s="69" customFormat="1" x14ac:dyDescent="0.25">
      <c r="C179"/>
      <c r="D179"/>
      <c r="E179"/>
      <c r="F179"/>
      <c r="G179"/>
      <c r="H179"/>
      <c r="I179"/>
      <c r="J179"/>
      <c r="K179"/>
      <c r="L179"/>
      <c r="M179"/>
      <c r="N179"/>
      <c r="O179"/>
      <c r="P179"/>
      <c r="Q179"/>
      <c r="R179"/>
      <c r="S179"/>
      <c r="T179"/>
      <c r="U179"/>
      <c r="V179"/>
      <c r="W179"/>
      <c r="X179"/>
      <c r="Y179"/>
      <c r="Z179"/>
      <c r="AA179"/>
      <c r="AB179"/>
      <c r="AC179"/>
      <c r="AD179"/>
      <c r="AE179"/>
      <c r="AF179" s="288">
        <v>1010356</v>
      </c>
      <c r="AG179" s="290">
        <v>56795</v>
      </c>
      <c r="AH179" s="268">
        <v>43948</v>
      </c>
      <c r="AI179" s="69" t="s">
        <v>301</v>
      </c>
      <c r="AJ179"/>
      <c r="AK179"/>
      <c r="AL179"/>
      <c r="AM179"/>
      <c r="AN179"/>
      <c r="AO179"/>
      <c r="AP179"/>
      <c r="AQ179" s="217"/>
      <c r="AR179" s="217"/>
      <c r="AS179" s="217"/>
      <c r="AT179" s="217"/>
      <c r="AU179" s="217"/>
      <c r="AV179"/>
      <c r="AW179"/>
      <c r="AX179"/>
      <c r="AY179"/>
      <c r="AZ179"/>
      <c r="BA179"/>
      <c r="BB179"/>
      <c r="BC179"/>
      <c r="BD179"/>
      <c r="BE179"/>
      <c r="BF179"/>
      <c r="BG179"/>
    </row>
    <row r="180" spans="3:59" s="69" customFormat="1" x14ac:dyDescent="0.25">
      <c r="C180"/>
      <c r="D180"/>
      <c r="E180"/>
      <c r="F180"/>
      <c r="G180"/>
      <c r="H180"/>
      <c r="I180"/>
      <c r="J180"/>
      <c r="K180"/>
      <c r="L180"/>
      <c r="M180"/>
      <c r="N180"/>
      <c r="O180"/>
      <c r="P180"/>
      <c r="Q180"/>
      <c r="R180"/>
      <c r="S180"/>
      <c r="T180"/>
      <c r="U180"/>
      <c r="V180"/>
      <c r="W180"/>
      <c r="X180"/>
      <c r="Y180"/>
      <c r="Z180"/>
      <c r="AA180"/>
      <c r="AB180"/>
      <c r="AC180"/>
      <c r="AD180"/>
      <c r="AF180" s="288">
        <v>1035765</v>
      </c>
      <c r="AG180" s="290">
        <v>59265</v>
      </c>
      <c r="AH180" s="192">
        <v>43949</v>
      </c>
      <c r="AI180" t="s">
        <v>531</v>
      </c>
      <c r="AJ180"/>
      <c r="AO180"/>
      <c r="AP180"/>
      <c r="AQ180"/>
      <c r="AR180"/>
      <c r="AS180"/>
      <c r="AT180"/>
      <c r="AU180"/>
      <c r="AV180"/>
      <c r="AW180"/>
      <c r="AX180"/>
      <c r="AY180"/>
      <c r="AZ180"/>
      <c r="BA180"/>
      <c r="BB180"/>
      <c r="BC180"/>
      <c r="BD180"/>
      <c r="BE180"/>
      <c r="BF180"/>
      <c r="BG180"/>
    </row>
    <row r="181" spans="3:59" s="69" customFormat="1" x14ac:dyDescent="0.25">
      <c r="C181"/>
      <c r="D181"/>
      <c r="E181"/>
      <c r="F181"/>
      <c r="G181"/>
      <c r="H181"/>
      <c r="I181"/>
      <c r="J181"/>
      <c r="K181"/>
      <c r="L181"/>
      <c r="M181"/>
      <c r="N181"/>
      <c r="O181"/>
      <c r="P181"/>
      <c r="Q181"/>
      <c r="R181"/>
      <c r="S181"/>
      <c r="T181"/>
      <c r="U181"/>
      <c r="V181"/>
      <c r="W181"/>
      <c r="X181"/>
      <c r="Y181"/>
      <c r="Z181"/>
      <c r="AA181"/>
      <c r="AB181"/>
      <c r="AC181"/>
      <c r="AD181"/>
      <c r="AE181"/>
      <c r="AF181" s="288">
        <v>1035765</v>
      </c>
      <c r="AG181" s="290">
        <v>59265</v>
      </c>
      <c r="AH181" s="268">
        <v>43949</v>
      </c>
      <c r="AI181" t="s">
        <v>308</v>
      </c>
      <c r="AL181"/>
      <c r="AM181"/>
      <c r="AN181"/>
      <c r="AO181"/>
      <c r="AP181"/>
      <c r="AQ181"/>
      <c r="AR181"/>
      <c r="AS181"/>
      <c r="AT181"/>
      <c r="AU181"/>
      <c r="AV181"/>
      <c r="AW181"/>
      <c r="AX181"/>
      <c r="AY181"/>
      <c r="AZ181"/>
      <c r="BC181"/>
      <c r="BD181"/>
      <c r="BE181"/>
      <c r="BF181"/>
      <c r="BG181"/>
    </row>
    <row r="182" spans="3:59" s="69" customFormat="1" x14ac:dyDescent="0.25">
      <c r="C182"/>
      <c r="D182"/>
      <c r="E182"/>
      <c r="F182"/>
      <c r="G182"/>
      <c r="H182"/>
      <c r="I182"/>
      <c r="J182"/>
      <c r="K182"/>
      <c r="L182"/>
      <c r="M182"/>
      <c r="N182"/>
      <c r="O182"/>
      <c r="P182"/>
      <c r="Q182"/>
      <c r="R182"/>
      <c r="S182"/>
      <c r="T182"/>
      <c r="U182"/>
      <c r="V182"/>
      <c r="W182"/>
      <c r="X182"/>
      <c r="Y182"/>
      <c r="Z182"/>
      <c r="AA182"/>
      <c r="AB182"/>
      <c r="AC182"/>
      <c r="AD182"/>
      <c r="AE182"/>
      <c r="AF182" s="288">
        <v>1035765</v>
      </c>
      <c r="AG182" s="290">
        <v>59265</v>
      </c>
      <c r="AH182" s="217">
        <v>43949</v>
      </c>
      <c r="AI182" t="s">
        <v>318</v>
      </c>
      <c r="AJ182"/>
      <c r="AK182"/>
      <c r="AL182"/>
      <c r="AM182"/>
      <c r="AN182"/>
      <c r="AO182"/>
      <c r="AP182"/>
      <c r="AQ182"/>
      <c r="AR182"/>
      <c r="AS182"/>
      <c r="AT182"/>
      <c r="AU182"/>
      <c r="AV182"/>
      <c r="AW182"/>
      <c r="AX182"/>
      <c r="AY182"/>
      <c r="AZ182"/>
      <c r="BA182"/>
      <c r="BB182"/>
      <c r="BC182"/>
      <c r="BD182"/>
      <c r="BE182"/>
      <c r="BF182"/>
      <c r="BG182"/>
    </row>
    <row r="183" spans="3:59" s="69" customFormat="1" x14ac:dyDescent="0.25">
      <c r="C183"/>
      <c r="D183"/>
      <c r="E183"/>
      <c r="F183"/>
      <c r="G183"/>
      <c r="H183"/>
      <c r="I183"/>
      <c r="J183"/>
      <c r="K183"/>
      <c r="L183"/>
      <c r="M183"/>
      <c r="N183"/>
      <c r="O183"/>
      <c r="P183"/>
      <c r="Q183"/>
      <c r="R183"/>
      <c r="S183"/>
      <c r="T183"/>
      <c r="U183"/>
      <c r="V183"/>
      <c r="W183"/>
      <c r="X183"/>
      <c r="Y183"/>
      <c r="Z183"/>
      <c r="AA183"/>
      <c r="AB183"/>
      <c r="AC183"/>
      <c r="AD183"/>
      <c r="AE183"/>
      <c r="AF183" s="288">
        <v>1064194</v>
      </c>
      <c r="AG183" s="290">
        <v>61655</v>
      </c>
      <c r="AH183" s="192">
        <v>43950</v>
      </c>
      <c r="AI183" t="s">
        <v>532</v>
      </c>
      <c r="AJ183"/>
      <c r="AK183"/>
      <c r="AL183"/>
      <c r="AM183"/>
      <c r="AN183"/>
      <c r="AO183"/>
      <c r="AP183"/>
      <c r="AQ183"/>
      <c r="AR183"/>
      <c r="AS183"/>
      <c r="AT183"/>
      <c r="AU183"/>
      <c r="AV183"/>
      <c r="AW183"/>
      <c r="AX183"/>
      <c r="AY183"/>
      <c r="AZ183"/>
      <c r="BA183"/>
      <c r="BB183"/>
      <c r="BC183"/>
      <c r="BD183"/>
      <c r="BE183"/>
      <c r="BF183"/>
      <c r="BG183"/>
    </row>
    <row r="184" spans="3:59" s="69" customFormat="1" x14ac:dyDescent="0.25">
      <c r="C184"/>
      <c r="D184"/>
      <c r="E184"/>
      <c r="F184"/>
      <c r="G184"/>
      <c r="H184"/>
      <c r="I184"/>
      <c r="J184"/>
      <c r="K184"/>
      <c r="L184"/>
      <c r="M184"/>
      <c r="N184"/>
      <c r="O184"/>
      <c r="P184"/>
      <c r="Q184"/>
      <c r="R184"/>
      <c r="S184"/>
      <c r="T184"/>
      <c r="U184"/>
      <c r="V184"/>
      <c r="W184"/>
      <c r="X184"/>
      <c r="Y184"/>
      <c r="Z184"/>
      <c r="AA184"/>
      <c r="AB184"/>
      <c r="AC184"/>
      <c r="AD184"/>
      <c r="AE184"/>
      <c r="AF184" s="288">
        <v>1064194</v>
      </c>
      <c r="AG184" s="290">
        <v>61655</v>
      </c>
      <c r="AH184" s="268">
        <v>43950</v>
      </c>
      <c r="AI184" t="s">
        <v>517</v>
      </c>
      <c r="AJ184"/>
      <c r="AK184"/>
      <c r="AL184"/>
      <c r="AM184"/>
      <c r="AN184"/>
      <c r="AO184"/>
      <c r="AP184"/>
      <c r="AQ184"/>
      <c r="AR184"/>
      <c r="AS184"/>
      <c r="AT184"/>
      <c r="AU184"/>
      <c r="AV184"/>
      <c r="AW184"/>
      <c r="AX184"/>
      <c r="AY184"/>
      <c r="AZ184"/>
      <c r="BA184"/>
      <c r="BB184"/>
      <c r="BC184"/>
      <c r="BD184"/>
      <c r="BE184"/>
      <c r="BF184"/>
      <c r="BG184"/>
    </row>
    <row r="185" spans="3:59" s="69" customFormat="1" x14ac:dyDescent="0.25">
      <c r="AF185" s="288">
        <v>1095023</v>
      </c>
      <c r="AG185" s="290">
        <v>63856</v>
      </c>
      <c r="AH185" s="268">
        <v>43951</v>
      </c>
      <c r="AI185" t="s">
        <v>314</v>
      </c>
      <c r="AJ185"/>
      <c r="AK185"/>
      <c r="AO185"/>
      <c r="AP185"/>
      <c r="AQ185"/>
      <c r="AR185"/>
      <c r="AS185"/>
      <c r="AT185"/>
      <c r="AU185"/>
      <c r="AV185"/>
      <c r="AW185"/>
      <c r="AX185"/>
      <c r="AY185"/>
      <c r="AZ185"/>
      <c r="BA185"/>
      <c r="BB185"/>
      <c r="BC185"/>
      <c r="BD185"/>
      <c r="BE185"/>
      <c r="BF185"/>
      <c r="BG185"/>
    </row>
    <row r="186" spans="3:59" s="69" customFormat="1" x14ac:dyDescent="0.25">
      <c r="AF186" s="288">
        <v>1095023</v>
      </c>
      <c r="AG186" s="290">
        <v>63856</v>
      </c>
      <c r="AH186" s="268">
        <v>43951</v>
      </c>
      <c r="AI186" t="s">
        <v>315</v>
      </c>
      <c r="BA186"/>
      <c r="BB186"/>
      <c r="BD186"/>
      <c r="BE186"/>
      <c r="BF186"/>
      <c r="BG186"/>
    </row>
    <row r="187" spans="3:59" s="69" customFormat="1" x14ac:dyDescent="0.25">
      <c r="C187"/>
      <c r="D187"/>
      <c r="E187"/>
      <c r="F187"/>
      <c r="G187"/>
      <c r="H187"/>
      <c r="I187"/>
      <c r="J187"/>
      <c r="K187"/>
      <c r="L187"/>
      <c r="M187"/>
      <c r="N187"/>
      <c r="O187"/>
      <c r="P187"/>
      <c r="Q187"/>
      <c r="R187"/>
      <c r="S187"/>
      <c r="T187"/>
      <c r="U187"/>
      <c r="V187"/>
      <c r="W187"/>
      <c r="X187"/>
      <c r="Y187"/>
      <c r="Z187"/>
      <c r="AA187"/>
      <c r="AB187"/>
      <c r="AC187"/>
      <c r="AD187"/>
      <c r="AE187"/>
      <c r="AF187" s="288">
        <v>1095023</v>
      </c>
      <c r="AG187" s="290">
        <v>63856</v>
      </c>
      <c r="AH187" s="217">
        <v>43951</v>
      </c>
      <c r="AI187" t="s">
        <v>317</v>
      </c>
      <c r="AL187"/>
      <c r="AM187"/>
      <c r="AN187"/>
      <c r="BA187"/>
      <c r="BB187"/>
      <c r="BD187"/>
      <c r="BE187"/>
      <c r="BF187"/>
      <c r="BG187"/>
    </row>
    <row r="188" spans="3:59" s="69" customFormat="1" x14ac:dyDescent="0.25">
      <c r="C188"/>
      <c r="D188"/>
      <c r="E188"/>
      <c r="F188"/>
      <c r="G188"/>
      <c r="H188"/>
      <c r="I188"/>
      <c r="J188"/>
      <c r="K188"/>
      <c r="L188"/>
      <c r="M188"/>
      <c r="N188"/>
      <c r="O188"/>
      <c r="P188"/>
      <c r="Q188"/>
      <c r="R188"/>
      <c r="S188"/>
      <c r="T188"/>
      <c r="U188"/>
      <c r="V188"/>
      <c r="W188"/>
      <c r="X188"/>
      <c r="Y188"/>
      <c r="Z188"/>
      <c r="AA188"/>
      <c r="AB188"/>
      <c r="AC188"/>
      <c r="AD188"/>
      <c r="AE188"/>
      <c r="AF188" s="288">
        <v>1095023</v>
      </c>
      <c r="AG188" s="290">
        <v>63856</v>
      </c>
      <c r="AH188" s="165">
        <v>43951</v>
      </c>
      <c r="AI188" s="69" t="s">
        <v>316</v>
      </c>
      <c r="AJ188"/>
      <c r="AK188"/>
      <c r="AL188"/>
      <c r="AM188"/>
      <c r="AN188"/>
      <c r="AO188"/>
      <c r="AP188"/>
      <c r="AQ188"/>
      <c r="AR188"/>
      <c r="AS188"/>
      <c r="AT188"/>
      <c r="AU188"/>
      <c r="AV188"/>
      <c r="AW188"/>
      <c r="AX188"/>
      <c r="AY188"/>
      <c r="AZ188"/>
      <c r="BA188"/>
      <c r="BB188"/>
      <c r="BC188"/>
      <c r="BD188"/>
      <c r="BE188"/>
      <c r="BF188"/>
      <c r="BG188"/>
    </row>
    <row r="189" spans="3:59" s="69" customFormat="1" x14ac:dyDescent="0.25">
      <c r="C189"/>
      <c r="D189"/>
      <c r="E189"/>
      <c r="F189"/>
      <c r="G189"/>
      <c r="H189"/>
      <c r="I189"/>
      <c r="J189"/>
      <c r="K189"/>
      <c r="L189"/>
      <c r="M189"/>
      <c r="N189"/>
      <c r="O189"/>
      <c r="P189"/>
      <c r="Q189"/>
      <c r="R189"/>
      <c r="S189"/>
      <c r="T189"/>
      <c r="U189"/>
      <c r="V189"/>
      <c r="W189"/>
      <c r="X189"/>
      <c r="Y189"/>
      <c r="Z189"/>
      <c r="AA189"/>
      <c r="AB189"/>
      <c r="AC189"/>
      <c r="AD189"/>
      <c r="AE189"/>
      <c r="AF189" s="288">
        <v>1095023</v>
      </c>
      <c r="AG189" s="290">
        <v>63856</v>
      </c>
      <c r="AH189" s="268">
        <v>43951</v>
      </c>
      <c r="AI189" s="69" t="s">
        <v>345</v>
      </c>
      <c r="AJ189"/>
      <c r="AK189"/>
      <c r="AL189"/>
      <c r="AM189"/>
      <c r="AN189"/>
      <c r="AO189"/>
      <c r="AP189"/>
      <c r="AQ189"/>
      <c r="AR189"/>
      <c r="AS189"/>
      <c r="AT189"/>
      <c r="AU189"/>
      <c r="AV189"/>
      <c r="AW189"/>
      <c r="AX189"/>
      <c r="AY189"/>
      <c r="AZ189"/>
      <c r="BC189"/>
      <c r="BD189"/>
      <c r="BE189"/>
      <c r="BF189"/>
      <c r="BG189"/>
    </row>
    <row r="190" spans="3:59" s="69" customFormat="1" x14ac:dyDescent="0.25">
      <c r="C190"/>
      <c r="D190"/>
      <c r="E190"/>
      <c r="F190"/>
      <c r="G190"/>
      <c r="H190"/>
      <c r="I190"/>
      <c r="J190"/>
      <c r="K190"/>
      <c r="L190"/>
      <c r="M190"/>
      <c r="N190"/>
      <c r="O190"/>
      <c r="P190"/>
      <c r="Q190"/>
      <c r="R190"/>
      <c r="S190"/>
      <c r="T190"/>
      <c r="U190"/>
      <c r="V190"/>
      <c r="W190"/>
      <c r="X190"/>
      <c r="Y190"/>
      <c r="Z190"/>
      <c r="AA190"/>
      <c r="AB190"/>
      <c r="AC190"/>
      <c r="AD190"/>
      <c r="AE190"/>
      <c r="AF190" s="288">
        <v>1095023</v>
      </c>
      <c r="AG190" s="290">
        <v>63856</v>
      </c>
      <c r="AH190" s="217">
        <v>43951</v>
      </c>
      <c r="AI190" s="69" t="s">
        <v>337</v>
      </c>
      <c r="AL190"/>
      <c r="AM190"/>
      <c r="AN190"/>
      <c r="AO190"/>
      <c r="AP190"/>
      <c r="AQ190"/>
      <c r="AR190"/>
      <c r="AS190"/>
      <c r="AT190"/>
      <c r="AU190"/>
      <c r="AV190"/>
      <c r="AW190"/>
      <c r="AX190"/>
      <c r="AY190"/>
      <c r="AZ190"/>
      <c r="BA190"/>
      <c r="BB190"/>
      <c r="BD190"/>
      <c r="BE190"/>
      <c r="BF190"/>
      <c r="BG190"/>
    </row>
    <row r="191" spans="3:59" s="69" customFormat="1" x14ac:dyDescent="0.25">
      <c r="C191"/>
      <c r="D191"/>
      <c r="E191"/>
      <c r="F191"/>
      <c r="G191"/>
      <c r="H191"/>
      <c r="I191"/>
      <c r="J191"/>
      <c r="K191"/>
      <c r="L191"/>
      <c r="M191"/>
      <c r="N191"/>
      <c r="O191"/>
      <c r="P191"/>
      <c r="Q191"/>
      <c r="R191"/>
      <c r="S191"/>
      <c r="T191"/>
      <c r="U191"/>
      <c r="V191"/>
      <c r="W191"/>
      <c r="X191"/>
      <c r="Y191"/>
      <c r="Z191"/>
      <c r="AA191"/>
      <c r="AB191"/>
      <c r="AC191"/>
      <c r="AD191"/>
      <c r="AE191"/>
      <c r="AF191" s="288">
        <v>1131030</v>
      </c>
      <c r="AG191" s="290">
        <v>65753</v>
      </c>
      <c r="AH191" s="217">
        <v>43952</v>
      </c>
      <c r="AI191" t="s">
        <v>321</v>
      </c>
      <c r="AJ191"/>
      <c r="AK191"/>
      <c r="AL191"/>
      <c r="AM191"/>
      <c r="AN191"/>
      <c r="AO191"/>
      <c r="AP191"/>
      <c r="AQ191"/>
      <c r="AR191"/>
      <c r="AS191"/>
      <c r="AT191"/>
      <c r="AU191"/>
      <c r="AV191"/>
      <c r="AW191"/>
      <c r="AX191"/>
      <c r="AY191"/>
      <c r="AZ191"/>
      <c r="BA191"/>
      <c r="BB191"/>
      <c r="BD191"/>
      <c r="BE191"/>
      <c r="BF191"/>
      <c r="BG191"/>
    </row>
    <row r="192" spans="3:59" s="69" customFormat="1" x14ac:dyDescent="0.25">
      <c r="C192"/>
      <c r="D192"/>
      <c r="E192"/>
      <c r="F192"/>
      <c r="G192"/>
      <c r="H192"/>
      <c r="I192"/>
      <c r="J192"/>
      <c r="K192"/>
      <c r="L192"/>
      <c r="M192"/>
      <c r="N192"/>
      <c r="O192"/>
      <c r="P192"/>
      <c r="Q192"/>
      <c r="R192"/>
      <c r="S192"/>
      <c r="T192"/>
      <c r="U192"/>
      <c r="V192"/>
      <c r="W192"/>
      <c r="X192"/>
      <c r="Y192"/>
      <c r="Z192"/>
      <c r="AA192"/>
      <c r="AB192"/>
      <c r="AC192"/>
      <c r="AD192"/>
      <c r="AE192"/>
      <c r="AF192" s="288">
        <v>1131030</v>
      </c>
      <c r="AG192" s="290">
        <v>65753</v>
      </c>
      <c r="AH192" s="268">
        <v>43952</v>
      </c>
      <c r="AI192" t="s">
        <v>515</v>
      </c>
      <c r="AJ192"/>
      <c r="AK192"/>
      <c r="AL192"/>
      <c r="AM192"/>
      <c r="AN192"/>
      <c r="AO192"/>
      <c r="AP192"/>
      <c r="AQ192"/>
      <c r="AR192"/>
      <c r="AS192"/>
      <c r="AT192"/>
      <c r="AU192"/>
      <c r="AV192"/>
      <c r="AW192"/>
      <c r="AX192"/>
      <c r="AY192"/>
      <c r="AZ192"/>
      <c r="BA192"/>
      <c r="BB192"/>
      <c r="BD192"/>
      <c r="BE192"/>
      <c r="BF192"/>
      <c r="BG192"/>
    </row>
    <row r="193" spans="3:59" x14ac:dyDescent="0.25">
      <c r="AF193" s="288">
        <v>1188122</v>
      </c>
      <c r="AG193" s="290">
        <v>68597</v>
      </c>
      <c r="AH193" s="217">
        <v>43954</v>
      </c>
      <c r="AI193" t="s">
        <v>516</v>
      </c>
      <c r="AJ193" s="69"/>
      <c r="AK193" s="69"/>
      <c r="BC193" s="69"/>
    </row>
    <row r="194" spans="3:59" x14ac:dyDescent="0.25">
      <c r="AF194" s="288">
        <v>1212835</v>
      </c>
      <c r="AG194" s="290">
        <v>69921</v>
      </c>
      <c r="AH194" s="268">
        <v>43955</v>
      </c>
      <c r="AI194" t="s">
        <v>514</v>
      </c>
      <c r="AJ194" s="69"/>
      <c r="AK194" s="69"/>
      <c r="BC194" s="69"/>
    </row>
    <row r="195" spans="3:59" x14ac:dyDescent="0.25">
      <c r="AF195" s="288">
        <v>1237633</v>
      </c>
      <c r="AG195" s="290">
        <v>72271</v>
      </c>
      <c r="AH195" s="217">
        <v>43956</v>
      </c>
      <c r="AI195" t="s">
        <v>331</v>
      </c>
      <c r="AJ195" s="69"/>
      <c r="AK195" s="69"/>
    </row>
    <row r="196" spans="3:59" x14ac:dyDescent="0.25">
      <c r="AF196" s="288">
        <v>1237633</v>
      </c>
      <c r="AG196" s="290">
        <v>72271</v>
      </c>
      <c r="AH196" s="217">
        <v>43956</v>
      </c>
      <c r="AI196" t="s">
        <v>368</v>
      </c>
      <c r="AJ196" s="69"/>
      <c r="AK196" s="69"/>
    </row>
    <row r="197" spans="3:59" x14ac:dyDescent="0.25">
      <c r="AF197" s="288">
        <v>1237633</v>
      </c>
      <c r="AG197" s="290">
        <v>72271</v>
      </c>
      <c r="AH197" s="217">
        <v>43956</v>
      </c>
      <c r="AI197" t="s">
        <v>330</v>
      </c>
    </row>
    <row r="198" spans="3:59" s="69" customFormat="1" x14ac:dyDescent="0.25">
      <c r="C198"/>
      <c r="D198"/>
      <c r="E198"/>
      <c r="F198"/>
      <c r="G198"/>
      <c r="H198"/>
      <c r="I198"/>
      <c r="J198"/>
      <c r="K198"/>
      <c r="L198"/>
      <c r="M198"/>
      <c r="N198"/>
      <c r="O198"/>
      <c r="P198"/>
      <c r="Q198"/>
      <c r="R198"/>
      <c r="S198"/>
      <c r="T198"/>
      <c r="U198"/>
      <c r="V198"/>
      <c r="W198"/>
      <c r="X198"/>
      <c r="Y198"/>
      <c r="Z198"/>
      <c r="AA198"/>
      <c r="AB198"/>
      <c r="AC198"/>
      <c r="AD198"/>
      <c r="AE198"/>
      <c r="AF198" s="288">
        <v>1237633</v>
      </c>
      <c r="AG198" s="290">
        <v>72271</v>
      </c>
      <c r="AH198" s="268">
        <v>43956</v>
      </c>
      <c r="AI198" t="s">
        <v>329</v>
      </c>
      <c r="AJ198"/>
      <c r="AK198"/>
      <c r="AL198"/>
      <c r="AM198"/>
      <c r="AN198"/>
      <c r="AO198"/>
      <c r="AP198"/>
      <c r="AQ198"/>
      <c r="AR198"/>
      <c r="AS198"/>
      <c r="AT198"/>
      <c r="AU198"/>
      <c r="AV198"/>
      <c r="AW198"/>
      <c r="AX198"/>
      <c r="AY198"/>
      <c r="AZ198"/>
      <c r="BA198"/>
      <c r="BB198"/>
      <c r="BC198"/>
    </row>
    <row r="199" spans="3:59" x14ac:dyDescent="0.25">
      <c r="AG199" s="288">
        <v>1292623</v>
      </c>
      <c r="AH199" s="290">
        <v>76928</v>
      </c>
      <c r="AI199" s="268">
        <v>43958</v>
      </c>
      <c r="AJ199" t="s">
        <v>338</v>
      </c>
      <c r="BC199" s="69"/>
    </row>
    <row r="200" spans="3:59" x14ac:dyDescent="0.25">
      <c r="AG200" s="288">
        <v>1321785</v>
      </c>
      <c r="AH200" s="290">
        <v>78615</v>
      </c>
      <c r="AI200" s="217">
        <v>43959</v>
      </c>
      <c r="AJ200" t="s">
        <v>359</v>
      </c>
    </row>
    <row r="201" spans="3:59" x14ac:dyDescent="0.25">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288">
        <v>1321785</v>
      </c>
      <c r="AH201" s="290">
        <v>78615</v>
      </c>
      <c r="AI201" s="268">
        <v>43959</v>
      </c>
      <c r="AJ201" s="69" t="s">
        <v>335</v>
      </c>
      <c r="AK201" s="69"/>
      <c r="AL201" s="69"/>
      <c r="AM201" s="69"/>
      <c r="AN201" s="69"/>
      <c r="AO201" s="69"/>
      <c r="AP201" s="69"/>
      <c r="AQ201" s="69"/>
      <c r="AR201" s="69"/>
      <c r="AS201" s="69"/>
      <c r="AT201" s="69"/>
      <c r="AU201" s="69"/>
      <c r="AV201" s="69"/>
      <c r="AW201" s="69"/>
      <c r="AX201" s="69"/>
      <c r="AY201" s="69"/>
      <c r="AZ201" s="69"/>
      <c r="BD201" s="69"/>
      <c r="BE201" s="69"/>
      <c r="BF201" s="69"/>
      <c r="BG201" s="69"/>
    </row>
    <row r="202" spans="3:59" x14ac:dyDescent="0.25">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288">
        <v>1321785</v>
      </c>
      <c r="AH202" s="290">
        <v>78615</v>
      </c>
      <c r="AI202" s="165">
        <v>43959</v>
      </c>
      <c r="AJ202" s="69" t="s">
        <v>332</v>
      </c>
      <c r="AM202" s="69"/>
      <c r="AN202" s="69"/>
      <c r="AO202" s="69"/>
      <c r="AP202" s="69"/>
      <c r="AQ202" s="69"/>
      <c r="AR202" s="69"/>
      <c r="AS202" s="69"/>
      <c r="AT202" s="69"/>
      <c r="AU202" s="69"/>
      <c r="AV202" s="69"/>
      <c r="AW202" s="69"/>
      <c r="AX202" s="69"/>
      <c r="AY202" s="69"/>
      <c r="AZ202" s="69"/>
      <c r="BD202" s="69"/>
      <c r="BE202" s="69"/>
      <c r="BF202" s="69"/>
      <c r="BG202" s="69"/>
    </row>
    <row r="203" spans="3:59" x14ac:dyDescent="0.25">
      <c r="AG203" s="288">
        <v>1321785</v>
      </c>
      <c r="AH203" s="290">
        <v>78615</v>
      </c>
      <c r="AI203" s="217">
        <v>43959</v>
      </c>
      <c r="AJ203" s="69" t="s">
        <v>336</v>
      </c>
    </row>
    <row r="204" spans="3:59" x14ac:dyDescent="0.25">
      <c r="D204" s="69"/>
      <c r="E204" s="69"/>
      <c r="F204" s="69"/>
      <c r="G204" s="69"/>
      <c r="H204" s="69"/>
      <c r="I204" s="69"/>
      <c r="J204" s="69"/>
      <c r="K204" s="69"/>
      <c r="L204" s="69"/>
      <c r="M204" s="69"/>
      <c r="N204" s="69"/>
      <c r="O204" s="69"/>
      <c r="P204" s="69"/>
      <c r="Q204" s="69"/>
      <c r="R204" s="165"/>
      <c r="S204" s="69"/>
      <c r="T204" s="69"/>
      <c r="U204" s="69"/>
      <c r="AG204" s="288">
        <v>1321785</v>
      </c>
      <c r="AH204" s="290">
        <v>78615</v>
      </c>
      <c r="AI204" s="217">
        <v>43959</v>
      </c>
      <c r="AJ204" s="69" t="s">
        <v>342</v>
      </c>
    </row>
    <row r="205" spans="3:59" x14ac:dyDescent="0.25">
      <c r="D205" s="69"/>
      <c r="E205" s="69"/>
      <c r="F205" s="69"/>
      <c r="G205" s="69"/>
      <c r="H205" s="69"/>
      <c r="I205" s="69"/>
      <c r="J205" s="69"/>
      <c r="K205" s="69"/>
      <c r="L205" s="69"/>
      <c r="M205" s="69"/>
      <c r="N205" s="69"/>
      <c r="O205" s="69"/>
      <c r="P205" s="69"/>
      <c r="Q205" s="69"/>
      <c r="R205" s="165"/>
      <c r="S205" s="69"/>
      <c r="T205" s="69"/>
      <c r="U205" s="69"/>
      <c r="AG205" s="288">
        <v>1347309</v>
      </c>
      <c r="AH205" s="290">
        <v>80037</v>
      </c>
      <c r="AI205" s="217">
        <v>43960</v>
      </c>
      <c r="AJ205" s="69" t="s">
        <v>358</v>
      </c>
      <c r="BA205" s="69"/>
      <c r="BB205" s="69"/>
      <c r="BC205" s="69"/>
      <c r="BD205" s="69"/>
      <c r="BE205" s="69"/>
      <c r="BF205" s="69"/>
      <c r="BG205" s="69"/>
    </row>
    <row r="206" spans="3:59" x14ac:dyDescent="0.25">
      <c r="D206" s="69"/>
      <c r="E206" s="69"/>
      <c r="F206" s="69"/>
      <c r="G206" s="69"/>
      <c r="H206" s="69"/>
      <c r="I206" s="69"/>
      <c r="J206" s="69"/>
      <c r="K206" s="69"/>
      <c r="L206" s="69"/>
      <c r="M206" s="69"/>
      <c r="N206" s="69"/>
      <c r="O206" s="69"/>
      <c r="P206" s="69"/>
      <c r="Q206" s="69"/>
      <c r="R206" s="165"/>
      <c r="S206" s="69"/>
      <c r="T206" s="69"/>
      <c r="U206" s="69"/>
      <c r="AG206" s="288">
        <v>1347309</v>
      </c>
      <c r="AH206" s="290">
        <v>80037</v>
      </c>
      <c r="AI206" s="217">
        <v>43960</v>
      </c>
      <c r="AJ206" s="69" t="s">
        <v>333</v>
      </c>
      <c r="BA206" s="69"/>
      <c r="BB206" s="69"/>
      <c r="BC206" s="69"/>
    </row>
    <row r="207" spans="3:59" x14ac:dyDescent="0.25">
      <c r="C207" s="69"/>
      <c r="D207" s="69"/>
      <c r="E207" s="69"/>
      <c r="F207" s="69"/>
      <c r="G207" s="69"/>
      <c r="H207" s="69"/>
      <c r="I207" s="69"/>
      <c r="J207" s="69"/>
      <c r="K207" s="69"/>
      <c r="L207" s="69"/>
      <c r="M207" s="69"/>
      <c r="N207" s="69"/>
      <c r="O207" s="69"/>
      <c r="P207" s="69"/>
      <c r="Q207" s="69"/>
      <c r="R207" s="165"/>
      <c r="S207" s="69"/>
      <c r="T207" s="69"/>
      <c r="U207" s="69"/>
      <c r="V207" s="69"/>
      <c r="W207" s="69"/>
      <c r="AB207" s="69"/>
      <c r="AC207" s="69"/>
      <c r="AD207" s="69"/>
      <c r="AE207" s="69"/>
      <c r="AF207" s="69"/>
      <c r="AG207" s="288">
        <v>1347309</v>
      </c>
      <c r="AH207" s="290">
        <v>80037</v>
      </c>
      <c r="AI207" s="268">
        <v>43960</v>
      </c>
      <c r="AJ207" s="69" t="s">
        <v>341</v>
      </c>
      <c r="AM207" s="69"/>
      <c r="AN207" s="69"/>
      <c r="AO207" s="69"/>
      <c r="AP207" s="69"/>
      <c r="AQ207" s="69"/>
      <c r="AR207" s="69"/>
      <c r="AS207" s="69"/>
      <c r="AT207" s="69"/>
      <c r="AU207" s="69"/>
      <c r="AV207" s="69"/>
      <c r="AW207" s="69"/>
      <c r="AX207" s="69"/>
      <c r="AY207" s="69"/>
      <c r="AZ207" s="69"/>
      <c r="BA207" s="69"/>
      <c r="BB207" s="69"/>
      <c r="BD207" s="69"/>
      <c r="BE207" s="69"/>
      <c r="BF207" s="69"/>
      <c r="BG207" s="69"/>
    </row>
    <row r="208" spans="3:59" x14ac:dyDescent="0.25">
      <c r="AG208" s="288">
        <v>1347309</v>
      </c>
      <c r="AH208" s="290">
        <v>80037</v>
      </c>
      <c r="AI208" s="217">
        <v>43960</v>
      </c>
      <c r="AJ208" s="69" t="s">
        <v>334</v>
      </c>
      <c r="BA208" s="69"/>
      <c r="BB208" s="69"/>
      <c r="BD208" s="69"/>
      <c r="BE208" s="69"/>
      <c r="BF208" s="69"/>
      <c r="BG208" s="69"/>
    </row>
    <row r="209" spans="3:59" x14ac:dyDescent="0.25">
      <c r="AG209" s="288">
        <v>1367638</v>
      </c>
      <c r="AH209" s="290">
        <v>80787</v>
      </c>
      <c r="AI209" s="217">
        <v>43961</v>
      </c>
      <c r="AJ209" s="69" t="s">
        <v>339</v>
      </c>
    </row>
    <row r="210" spans="3:59" x14ac:dyDescent="0.25">
      <c r="AG210" s="288">
        <v>1367638</v>
      </c>
      <c r="AH210" s="290">
        <v>80787</v>
      </c>
      <c r="AI210" s="268">
        <v>43961</v>
      </c>
      <c r="AJ210" s="69" t="s">
        <v>340</v>
      </c>
    </row>
    <row r="211" spans="3:59" s="69" customFormat="1" x14ac:dyDescent="0.25">
      <c r="C211"/>
      <c r="D211"/>
      <c r="E211"/>
      <c r="F211"/>
      <c r="G211"/>
      <c r="H211"/>
      <c r="I211"/>
      <c r="J211"/>
      <c r="K211"/>
      <c r="L211"/>
      <c r="M211"/>
      <c r="N211"/>
      <c r="O211"/>
      <c r="P211"/>
      <c r="Q211"/>
      <c r="R211"/>
      <c r="S211"/>
      <c r="T211"/>
      <c r="U211"/>
      <c r="V211"/>
      <c r="W211"/>
      <c r="X211"/>
      <c r="Y211"/>
      <c r="Z211"/>
      <c r="AA211"/>
      <c r="AB211"/>
      <c r="AC211"/>
      <c r="AD211"/>
      <c r="AE211"/>
      <c r="AF211"/>
      <c r="AG211" s="288">
        <v>1385834</v>
      </c>
      <c r="AH211" s="290">
        <v>81795</v>
      </c>
      <c r="AI211" s="217">
        <v>43962</v>
      </c>
      <c r="AJ211" s="69" t="s">
        <v>343</v>
      </c>
      <c r="AK211"/>
      <c r="AL211"/>
      <c r="AM211"/>
      <c r="AN211"/>
      <c r="AO211"/>
      <c r="AP211"/>
      <c r="AQ211"/>
      <c r="AR211"/>
      <c r="AS211"/>
      <c r="AT211"/>
      <c r="AU211"/>
      <c r="AV211"/>
      <c r="AW211"/>
      <c r="AX211"/>
      <c r="AY211"/>
      <c r="AZ211"/>
      <c r="BA211"/>
      <c r="BB211"/>
      <c r="BC211"/>
      <c r="BD211"/>
      <c r="BE211"/>
      <c r="BF211"/>
      <c r="BG211"/>
    </row>
    <row r="212" spans="3:59" s="69" customFormat="1" x14ac:dyDescent="0.25">
      <c r="C212"/>
      <c r="D212"/>
      <c r="E212"/>
      <c r="F212"/>
      <c r="G212"/>
      <c r="H212"/>
      <c r="I212"/>
      <c r="J212"/>
      <c r="K212"/>
      <c r="L212"/>
      <c r="M212"/>
      <c r="N212"/>
      <c r="O212"/>
      <c r="P212"/>
      <c r="Q212"/>
      <c r="R212"/>
      <c r="S212"/>
      <c r="T212"/>
      <c r="U212"/>
      <c r="V212"/>
      <c r="W212"/>
      <c r="X212"/>
      <c r="Y212"/>
      <c r="Z212"/>
      <c r="AA212"/>
      <c r="AB212"/>
      <c r="AC212"/>
      <c r="AD212"/>
      <c r="AE212"/>
      <c r="AF212"/>
      <c r="AG212" s="288">
        <v>1385834</v>
      </c>
      <c r="AH212" s="290">
        <v>81795</v>
      </c>
      <c r="AI212" s="268">
        <v>43962</v>
      </c>
      <c r="AJ212" s="69" t="s">
        <v>344</v>
      </c>
      <c r="AK212"/>
      <c r="AL212"/>
      <c r="AM212"/>
      <c r="AN212"/>
      <c r="AO212"/>
      <c r="AP212"/>
      <c r="AQ212"/>
      <c r="AR212"/>
      <c r="AS212"/>
      <c r="AT212"/>
      <c r="AU212"/>
      <c r="AV212"/>
      <c r="AW212"/>
      <c r="AX212"/>
      <c r="AY212"/>
      <c r="AZ212"/>
      <c r="BA212"/>
      <c r="BB212"/>
      <c r="BC212"/>
      <c r="BD212"/>
      <c r="BE212"/>
      <c r="BF212"/>
      <c r="BG212"/>
    </row>
    <row r="213" spans="3:59" s="69" customFormat="1" x14ac:dyDescent="0.25">
      <c r="C213"/>
      <c r="D213"/>
      <c r="E213"/>
      <c r="F213"/>
      <c r="G213"/>
      <c r="H213"/>
      <c r="I213"/>
      <c r="J213"/>
      <c r="K213"/>
      <c r="L213"/>
      <c r="M213"/>
      <c r="N213"/>
      <c r="O213"/>
      <c r="P213"/>
      <c r="Q213"/>
      <c r="R213"/>
      <c r="S213"/>
      <c r="T213"/>
      <c r="U213"/>
      <c r="V213"/>
      <c r="W213"/>
      <c r="X213"/>
      <c r="Y213"/>
      <c r="Z213"/>
      <c r="AA213"/>
      <c r="AB213"/>
      <c r="AC213"/>
      <c r="AD213"/>
      <c r="AE213"/>
      <c r="AF213"/>
      <c r="AG213" s="288">
        <v>1385834</v>
      </c>
      <c r="AH213" s="290">
        <v>81795</v>
      </c>
      <c r="AI213" s="268">
        <v>43962</v>
      </c>
      <c r="AJ213" s="69" t="s">
        <v>549</v>
      </c>
      <c r="AK213"/>
      <c r="AL213"/>
      <c r="AM213"/>
      <c r="AN213"/>
      <c r="AO213"/>
      <c r="AP213"/>
      <c r="AQ213"/>
      <c r="AR213"/>
      <c r="AS213"/>
      <c r="AT213"/>
      <c r="AU213"/>
      <c r="AV213"/>
      <c r="AW213"/>
      <c r="AX213"/>
      <c r="AY213"/>
      <c r="AZ213"/>
      <c r="BA213"/>
      <c r="BB213"/>
      <c r="BC213"/>
      <c r="BD213"/>
      <c r="BE213"/>
      <c r="BF213"/>
      <c r="BG213"/>
    </row>
    <row r="214" spans="3:59" x14ac:dyDescent="0.25">
      <c r="AG214" s="288">
        <v>1385834</v>
      </c>
      <c r="AH214" s="290">
        <v>81795</v>
      </c>
      <c r="AI214" s="165">
        <v>43962</v>
      </c>
      <c r="AJ214" s="69" t="s">
        <v>349</v>
      </c>
      <c r="BA214" s="69"/>
      <c r="BB214" s="69"/>
      <c r="BD214" s="69"/>
      <c r="BE214" s="69"/>
      <c r="BF214" s="69"/>
      <c r="BG214" s="69"/>
    </row>
    <row r="215" spans="3:59" x14ac:dyDescent="0.25">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288">
        <v>1385834</v>
      </c>
      <c r="AH215" s="290">
        <v>81795</v>
      </c>
      <c r="AI215" s="165">
        <v>43962</v>
      </c>
      <c r="AJ215" s="69" t="s">
        <v>347</v>
      </c>
      <c r="AK215" s="69"/>
      <c r="AL215" s="69"/>
      <c r="AM215" s="69"/>
      <c r="AN215" s="69"/>
      <c r="AO215" s="69"/>
      <c r="AP215" s="69"/>
      <c r="AQ215" s="69"/>
      <c r="AR215" s="69"/>
      <c r="AS215" s="69"/>
      <c r="AT215" s="69"/>
      <c r="AU215" s="69"/>
      <c r="AV215" s="69"/>
      <c r="AW215" s="69"/>
      <c r="AX215" s="69"/>
      <c r="AY215" s="69"/>
      <c r="AZ215" s="69"/>
      <c r="BA215" s="69"/>
      <c r="BB215" s="69"/>
    </row>
    <row r="216" spans="3:59" x14ac:dyDescent="0.25">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288">
        <v>1385834</v>
      </c>
      <c r="AH216" s="290">
        <v>81795</v>
      </c>
      <c r="AI216" s="268">
        <v>43962</v>
      </c>
      <c r="AJ216" s="69" t="s">
        <v>348</v>
      </c>
      <c r="AK216" s="69"/>
      <c r="AL216" s="69"/>
      <c r="AM216" s="69"/>
      <c r="AN216" s="69"/>
      <c r="AO216" s="69"/>
      <c r="AP216" s="69"/>
      <c r="AQ216" s="69"/>
      <c r="AR216" s="69"/>
      <c r="AS216" s="69"/>
      <c r="AT216" s="69"/>
      <c r="AU216" s="69"/>
      <c r="AV216" s="69"/>
      <c r="AW216" s="69"/>
      <c r="AX216" s="69"/>
      <c r="AY216" s="69"/>
      <c r="AZ216" s="69"/>
    </row>
    <row r="217" spans="3:59" x14ac:dyDescent="0.25">
      <c r="AG217" s="288">
        <v>1408636</v>
      </c>
      <c r="AH217" s="290">
        <v>83425</v>
      </c>
      <c r="AI217" s="268">
        <v>43963</v>
      </c>
      <c r="AJ217" t="s">
        <v>346</v>
      </c>
    </row>
    <row r="218" spans="3:59" x14ac:dyDescent="0.25">
      <c r="AG218" s="288">
        <v>1430347</v>
      </c>
      <c r="AH218" s="290">
        <v>85197</v>
      </c>
      <c r="AI218" s="268">
        <v>43964</v>
      </c>
      <c r="AJ218" t="s">
        <v>350</v>
      </c>
      <c r="BC218" s="69"/>
    </row>
    <row r="219" spans="3:59" x14ac:dyDescent="0.25">
      <c r="AG219" s="288">
        <v>1430347</v>
      </c>
      <c r="AH219" s="290">
        <v>85197</v>
      </c>
      <c r="AI219" s="217">
        <v>43964</v>
      </c>
      <c r="AJ219" t="s">
        <v>362</v>
      </c>
      <c r="AK219" s="217">
        <f>AI219+14</f>
        <v>43978</v>
      </c>
      <c r="BC219" s="69"/>
    </row>
    <row r="220" spans="3:59" x14ac:dyDescent="0.25">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288">
        <v>1484285</v>
      </c>
      <c r="AH220" s="290">
        <v>88507</v>
      </c>
      <c r="AI220" s="217">
        <v>43966</v>
      </c>
      <c r="AJ220" t="s">
        <v>363</v>
      </c>
      <c r="AK220" s="69"/>
      <c r="AL220" s="69"/>
      <c r="AM220" s="69"/>
      <c r="AN220" s="69"/>
      <c r="AO220" s="69"/>
      <c r="AP220" s="69"/>
      <c r="AQ220" s="69"/>
      <c r="AR220" s="69"/>
      <c r="AS220" s="69"/>
      <c r="AT220" s="69"/>
      <c r="AU220" s="69"/>
      <c r="AV220" s="69"/>
      <c r="AW220" s="69"/>
      <c r="AX220" s="69"/>
      <c r="AY220" s="69"/>
      <c r="AZ220" s="69"/>
      <c r="BC220" s="69"/>
    </row>
    <row r="221" spans="3:59" x14ac:dyDescent="0.25">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288">
        <v>1484285</v>
      </c>
      <c r="AH221" s="290">
        <v>88507</v>
      </c>
      <c r="AI221" s="165">
        <v>43966</v>
      </c>
      <c r="AJ221" s="69" t="s">
        <v>364</v>
      </c>
      <c r="AL221" s="69"/>
      <c r="AM221" s="69"/>
      <c r="AN221" s="69"/>
      <c r="AO221" s="69"/>
      <c r="AP221" s="69"/>
      <c r="AQ221" s="69"/>
      <c r="AR221" s="69"/>
      <c r="AS221" s="69"/>
      <c r="AT221" s="69"/>
      <c r="AU221" s="69"/>
      <c r="AV221" s="69"/>
      <c r="AW221" s="69"/>
      <c r="AX221" s="69"/>
      <c r="AY221" s="69"/>
      <c r="AZ221" s="69"/>
    </row>
    <row r="222" spans="3:59" x14ac:dyDescent="0.25">
      <c r="AG222" s="288">
        <v>1484285</v>
      </c>
      <c r="AH222" s="290">
        <v>88507</v>
      </c>
      <c r="AI222" s="268">
        <v>43966</v>
      </c>
      <c r="AJ222" s="69" t="s">
        <v>365</v>
      </c>
    </row>
    <row r="223" spans="3:59" x14ac:dyDescent="0.25">
      <c r="AG223" s="288">
        <v>1507773</v>
      </c>
      <c r="AH223" s="290">
        <v>90113</v>
      </c>
      <c r="AI223" s="268">
        <v>43967</v>
      </c>
      <c r="AJ223" s="69" t="s">
        <v>366</v>
      </c>
    </row>
    <row r="224" spans="3:59" x14ac:dyDescent="0.25">
      <c r="AG224" s="288">
        <v>1507773</v>
      </c>
      <c r="AH224" s="290">
        <v>90113</v>
      </c>
      <c r="AI224" s="165">
        <v>43967</v>
      </c>
      <c r="AJ224" s="69" t="s">
        <v>383</v>
      </c>
    </row>
    <row r="225" spans="3:59" x14ac:dyDescent="0.25">
      <c r="AG225" s="288">
        <v>1527664</v>
      </c>
      <c r="AH225" s="290">
        <v>90978</v>
      </c>
      <c r="AI225" s="217">
        <v>43968</v>
      </c>
      <c r="AJ225" t="s">
        <v>373</v>
      </c>
    </row>
    <row r="226" spans="3:59" x14ac:dyDescent="0.25">
      <c r="AG226" s="288">
        <v>1527664</v>
      </c>
      <c r="AH226" s="290">
        <v>90978</v>
      </c>
      <c r="AI226" s="268">
        <v>43968</v>
      </c>
      <c r="AJ226" t="s">
        <v>367</v>
      </c>
    </row>
    <row r="227" spans="3:59" s="69" customFormat="1" x14ac:dyDescent="0.25">
      <c r="AH227" s="288">
        <v>1570583</v>
      </c>
      <c r="AI227" s="290">
        <v>93533</v>
      </c>
      <c r="AJ227" s="268">
        <v>43970</v>
      </c>
      <c r="AK227" t="s">
        <v>371</v>
      </c>
    </row>
    <row r="228" spans="3:59" x14ac:dyDescent="0.25">
      <c r="AH228" s="288">
        <v>1570583</v>
      </c>
      <c r="AI228" s="290">
        <v>93533</v>
      </c>
      <c r="AJ228" s="217">
        <v>43970</v>
      </c>
      <c r="AK228" t="s">
        <v>374</v>
      </c>
      <c r="BA228" s="69"/>
      <c r="BB228" s="69"/>
      <c r="BC228" s="69"/>
      <c r="BD228" s="69"/>
      <c r="BE228" s="69"/>
      <c r="BF228" s="69"/>
      <c r="BG228" s="69"/>
    </row>
    <row r="229" spans="3:59" x14ac:dyDescent="0.25">
      <c r="AH229" s="288">
        <v>1570583</v>
      </c>
      <c r="AI229" s="290">
        <v>93533</v>
      </c>
      <c r="AJ229" s="268">
        <v>43970</v>
      </c>
      <c r="AK229" t="s">
        <v>369</v>
      </c>
    </row>
    <row r="230" spans="3:59" s="69" customFormat="1" x14ac:dyDescent="0.25">
      <c r="C230"/>
      <c r="D230"/>
      <c r="E230"/>
      <c r="F230"/>
      <c r="G230"/>
      <c r="H230"/>
      <c r="I230"/>
      <c r="J230"/>
      <c r="K230"/>
      <c r="L230"/>
      <c r="M230"/>
      <c r="N230"/>
      <c r="O230"/>
      <c r="P230"/>
      <c r="Q230"/>
      <c r="R230"/>
      <c r="S230"/>
      <c r="T230"/>
      <c r="U230"/>
      <c r="V230"/>
      <c r="W230"/>
      <c r="X230"/>
      <c r="Y230"/>
      <c r="Z230"/>
      <c r="AA230"/>
      <c r="AB230"/>
      <c r="AC230"/>
      <c r="AD230"/>
      <c r="AE230"/>
      <c r="AF230"/>
      <c r="AG230"/>
      <c r="AH230" s="288">
        <v>1570583</v>
      </c>
      <c r="AI230" s="290">
        <v>93533</v>
      </c>
      <c r="AJ230" s="268">
        <v>43970</v>
      </c>
      <c r="AK230" t="s">
        <v>372</v>
      </c>
      <c r="AL230"/>
      <c r="AM230"/>
      <c r="AN230"/>
      <c r="AO230"/>
      <c r="AP230"/>
      <c r="AQ230"/>
      <c r="AR230"/>
      <c r="AS230"/>
      <c r="AT230"/>
      <c r="AU230"/>
      <c r="AV230"/>
      <c r="AW230"/>
      <c r="AX230"/>
      <c r="AY230"/>
      <c r="AZ230"/>
      <c r="BA230"/>
      <c r="BB230"/>
      <c r="BC230"/>
      <c r="BD230"/>
      <c r="BE230"/>
      <c r="BF230"/>
      <c r="BG230"/>
    </row>
    <row r="231" spans="3:59" s="69" customFormat="1" x14ac:dyDescent="0.25">
      <c r="C231"/>
      <c r="D231"/>
      <c r="E231"/>
      <c r="F231"/>
      <c r="G231"/>
      <c r="H231"/>
      <c r="I231"/>
      <c r="J231"/>
      <c r="K231"/>
      <c r="L231"/>
      <c r="M231"/>
      <c r="N231"/>
      <c r="O231"/>
      <c r="P231"/>
      <c r="Q231"/>
      <c r="R231"/>
      <c r="S231"/>
      <c r="T231"/>
      <c r="U231"/>
      <c r="V231"/>
      <c r="W231"/>
      <c r="X231"/>
      <c r="Y231"/>
      <c r="Z231"/>
      <c r="AA231"/>
      <c r="AB231"/>
      <c r="AC231"/>
      <c r="AD231"/>
      <c r="AE231"/>
      <c r="AF231"/>
      <c r="AG231"/>
      <c r="AH231" s="288">
        <v>1570583</v>
      </c>
      <c r="AI231" s="290">
        <v>93533</v>
      </c>
      <c r="AJ231" s="217">
        <v>43970</v>
      </c>
      <c r="AK231" t="s">
        <v>375</v>
      </c>
      <c r="AL231"/>
      <c r="AM231"/>
      <c r="AN231"/>
      <c r="AO231"/>
      <c r="AP231"/>
      <c r="AQ231"/>
      <c r="AR231"/>
      <c r="AS231"/>
      <c r="AT231"/>
      <c r="AU231"/>
      <c r="AV231"/>
      <c r="AW231"/>
      <c r="AX231"/>
      <c r="AY231"/>
      <c r="AZ231"/>
      <c r="BA231"/>
      <c r="BB231"/>
      <c r="BC231"/>
      <c r="BD231"/>
      <c r="BE231"/>
      <c r="BF231"/>
      <c r="BG231"/>
    </row>
    <row r="232" spans="3:59" x14ac:dyDescent="0.25">
      <c r="AH232" s="288">
        <v>1570583</v>
      </c>
      <c r="AI232" s="290">
        <v>93533</v>
      </c>
      <c r="AJ232" s="217">
        <v>43970</v>
      </c>
      <c r="AK232" t="s">
        <v>370</v>
      </c>
    </row>
    <row r="233" spans="3:59" x14ac:dyDescent="0.25">
      <c r="AH233" s="288">
        <v>1570583</v>
      </c>
      <c r="AI233" s="290">
        <v>93533</v>
      </c>
      <c r="AJ233" s="217">
        <v>43970</v>
      </c>
      <c r="AK233" t="s">
        <v>387</v>
      </c>
    </row>
    <row r="234" spans="3:59" s="69" customFormat="1" x14ac:dyDescent="0.25">
      <c r="C234"/>
      <c r="D234"/>
      <c r="E234"/>
      <c r="F234"/>
      <c r="G234"/>
      <c r="H234"/>
      <c r="I234"/>
      <c r="J234"/>
      <c r="K234"/>
      <c r="L234"/>
      <c r="M234"/>
      <c r="N234"/>
      <c r="O234"/>
      <c r="P234"/>
      <c r="Q234"/>
      <c r="R234"/>
      <c r="S234"/>
      <c r="T234"/>
      <c r="U234"/>
      <c r="V234"/>
      <c r="W234"/>
      <c r="X234"/>
      <c r="Y234"/>
      <c r="Z234"/>
      <c r="AA234"/>
      <c r="AB234"/>
      <c r="AC234"/>
      <c r="AD234"/>
      <c r="AE234"/>
      <c r="AF234"/>
      <c r="AG234"/>
      <c r="AH234" s="288">
        <v>1570583</v>
      </c>
      <c r="AI234" s="290">
        <v>93533</v>
      </c>
      <c r="AJ234" s="217">
        <v>43970</v>
      </c>
      <c r="AK234" t="s">
        <v>391</v>
      </c>
      <c r="AL234"/>
      <c r="AM234"/>
      <c r="AN234"/>
      <c r="AO234"/>
      <c r="AP234"/>
      <c r="AQ234"/>
      <c r="AR234"/>
      <c r="AS234"/>
      <c r="AT234"/>
      <c r="AU234"/>
      <c r="AV234"/>
      <c r="AW234"/>
      <c r="AX234"/>
      <c r="AY234"/>
      <c r="AZ234"/>
    </row>
    <row r="235" spans="3:59" x14ac:dyDescent="0.25">
      <c r="AH235" s="288">
        <v>1591991</v>
      </c>
      <c r="AI235" s="290">
        <v>94994</v>
      </c>
      <c r="AJ235" s="217">
        <v>43971</v>
      </c>
      <c r="AK235" t="s">
        <v>376</v>
      </c>
    </row>
    <row r="236" spans="3:59" s="69" customFormat="1" x14ac:dyDescent="0.25">
      <c r="C236"/>
      <c r="D236"/>
      <c r="E236"/>
      <c r="F236"/>
      <c r="G236"/>
      <c r="H236"/>
      <c r="I236"/>
      <c r="J236"/>
      <c r="K236"/>
      <c r="L236"/>
      <c r="M236"/>
      <c r="N236"/>
      <c r="O236"/>
      <c r="P236"/>
      <c r="Q236"/>
      <c r="R236"/>
      <c r="S236"/>
      <c r="T236"/>
      <c r="U236"/>
      <c r="V236"/>
      <c r="W236"/>
      <c r="X236"/>
      <c r="Y236"/>
      <c r="Z236"/>
      <c r="AA236"/>
      <c r="AB236"/>
      <c r="AC236"/>
      <c r="AD236"/>
      <c r="AE236"/>
      <c r="AF236"/>
      <c r="AG236"/>
      <c r="AH236" s="288">
        <v>1591991</v>
      </c>
      <c r="AI236" s="290">
        <v>94994</v>
      </c>
      <c r="AJ236" s="217">
        <v>43971</v>
      </c>
      <c r="AK236" t="s">
        <v>396</v>
      </c>
      <c r="AL236"/>
      <c r="AM236"/>
      <c r="AN236"/>
      <c r="AO236"/>
      <c r="AP236"/>
      <c r="AQ236"/>
      <c r="AR236"/>
      <c r="AS236"/>
      <c r="AT236"/>
      <c r="AU236"/>
      <c r="AV236"/>
      <c r="AW236"/>
      <c r="AX236"/>
      <c r="AY236"/>
      <c r="AZ236"/>
      <c r="BA236"/>
      <c r="BB236"/>
      <c r="BC236"/>
      <c r="BD236"/>
      <c r="BE236"/>
      <c r="BF236"/>
      <c r="BG236"/>
    </row>
    <row r="237" spans="3:59" s="69" customFormat="1" x14ac:dyDescent="0.25">
      <c r="C237"/>
      <c r="D237"/>
      <c r="E237"/>
      <c r="F237"/>
      <c r="G237"/>
      <c r="H237"/>
      <c r="I237"/>
      <c r="J237"/>
      <c r="K237"/>
      <c r="L237"/>
      <c r="M237"/>
      <c r="N237"/>
      <c r="O237"/>
      <c r="P237"/>
      <c r="Q237"/>
      <c r="R237"/>
      <c r="S237"/>
      <c r="T237"/>
      <c r="U237"/>
      <c r="V237"/>
      <c r="W237"/>
      <c r="X237"/>
      <c r="Y237"/>
      <c r="Z237"/>
      <c r="AA237"/>
      <c r="AB237"/>
      <c r="AC237"/>
      <c r="AD237"/>
      <c r="AE237"/>
      <c r="AF237"/>
      <c r="AG237"/>
      <c r="AH237" s="288">
        <v>1591991</v>
      </c>
      <c r="AI237" s="290">
        <v>94994</v>
      </c>
      <c r="AJ237" s="217">
        <v>43971</v>
      </c>
      <c r="AK237" t="s">
        <v>422</v>
      </c>
      <c r="AL237"/>
      <c r="AM237"/>
      <c r="AN237"/>
      <c r="AO237"/>
      <c r="AP237"/>
      <c r="AQ237"/>
      <c r="AR237"/>
      <c r="AS237"/>
      <c r="AT237"/>
      <c r="AU237"/>
      <c r="AV237"/>
      <c r="AW237"/>
      <c r="AX237"/>
      <c r="AY237"/>
      <c r="AZ237"/>
      <c r="BA237"/>
      <c r="BB237"/>
      <c r="BC237"/>
      <c r="BD237"/>
      <c r="BE237"/>
      <c r="BF237"/>
      <c r="BG237"/>
    </row>
    <row r="238" spans="3:59" s="69" customFormat="1" x14ac:dyDescent="0.25">
      <c r="C238"/>
      <c r="D238"/>
      <c r="E238"/>
      <c r="F238"/>
      <c r="G238"/>
      <c r="H238"/>
      <c r="I238"/>
      <c r="J238"/>
      <c r="K238"/>
      <c r="L238"/>
      <c r="M238"/>
      <c r="N238"/>
      <c r="O238"/>
      <c r="P238"/>
      <c r="Q238"/>
      <c r="R238"/>
      <c r="S238"/>
      <c r="T238"/>
      <c r="U238"/>
      <c r="V238"/>
      <c r="W238"/>
      <c r="X238"/>
      <c r="Y238"/>
      <c r="Z238"/>
      <c r="AA238"/>
      <c r="AB238"/>
      <c r="AC238"/>
      <c r="AD238"/>
      <c r="AE238"/>
      <c r="AF238"/>
      <c r="AG238"/>
      <c r="AH238" s="288">
        <v>1620902</v>
      </c>
      <c r="AI238" s="290">
        <v>96354</v>
      </c>
      <c r="AJ238" s="217">
        <v>43972</v>
      </c>
      <c r="AK238" t="s">
        <v>377</v>
      </c>
      <c r="AL238"/>
      <c r="AM238"/>
      <c r="AN238"/>
      <c r="AO238"/>
      <c r="AP238"/>
      <c r="AQ238"/>
      <c r="AR238"/>
      <c r="AS238"/>
      <c r="AT238"/>
      <c r="AU238"/>
      <c r="AV238"/>
      <c r="AW238"/>
      <c r="AX238"/>
      <c r="AY238"/>
      <c r="AZ238"/>
      <c r="BA238"/>
      <c r="BB238"/>
      <c r="BC238"/>
      <c r="BD238"/>
      <c r="BE238"/>
      <c r="BF238"/>
      <c r="BG238"/>
    </row>
    <row r="239" spans="3:59" x14ac:dyDescent="0.25">
      <c r="AH239" s="288">
        <v>1620902</v>
      </c>
      <c r="AI239" s="290">
        <v>96354</v>
      </c>
      <c r="AJ239" s="268">
        <v>43972</v>
      </c>
      <c r="AK239" t="s">
        <v>390</v>
      </c>
    </row>
    <row r="240" spans="3:59" x14ac:dyDescent="0.25">
      <c r="AH240" s="288">
        <v>1620902</v>
      </c>
      <c r="AI240" s="290">
        <v>96354</v>
      </c>
      <c r="AJ240" s="268">
        <v>43972</v>
      </c>
      <c r="AK240" t="s">
        <v>380</v>
      </c>
    </row>
    <row r="241" spans="3:59" x14ac:dyDescent="0.25">
      <c r="AH241" s="288">
        <v>1620902</v>
      </c>
      <c r="AI241" s="290">
        <v>96354</v>
      </c>
      <c r="AJ241" s="217">
        <v>43972</v>
      </c>
      <c r="AK241" t="s">
        <v>379</v>
      </c>
    </row>
    <row r="242" spans="3:59" x14ac:dyDescent="0.25">
      <c r="AH242" s="288">
        <v>1620902</v>
      </c>
      <c r="AI242" s="290">
        <v>96354</v>
      </c>
      <c r="AJ242" s="268">
        <v>43972</v>
      </c>
      <c r="AK242" t="s">
        <v>378</v>
      </c>
    </row>
    <row r="243" spans="3:59" x14ac:dyDescent="0.25">
      <c r="AH243" s="288">
        <v>1620902</v>
      </c>
      <c r="AI243" s="290">
        <v>96354</v>
      </c>
      <c r="AJ243" s="268">
        <v>43972</v>
      </c>
      <c r="AK243" t="s">
        <v>421</v>
      </c>
    </row>
    <row r="244" spans="3:59" x14ac:dyDescent="0.25">
      <c r="AH244" s="288">
        <v>1620902</v>
      </c>
      <c r="AI244" s="290">
        <v>96354</v>
      </c>
      <c r="AJ244" s="268">
        <v>43972</v>
      </c>
      <c r="AK244" t="s">
        <v>423</v>
      </c>
    </row>
    <row r="245" spans="3:59" x14ac:dyDescent="0.25">
      <c r="AH245" s="288">
        <v>1645094</v>
      </c>
      <c r="AI245" s="290">
        <v>97647</v>
      </c>
      <c r="AJ245" s="165">
        <v>43973</v>
      </c>
      <c r="AK245" t="s">
        <v>388</v>
      </c>
    </row>
    <row r="246" spans="3:59" s="69" customFormat="1" x14ac:dyDescent="0.25">
      <c r="C246"/>
      <c r="D246"/>
      <c r="E246"/>
      <c r="F246"/>
      <c r="G246"/>
      <c r="H246"/>
      <c r="I246"/>
      <c r="J246"/>
      <c r="K246"/>
      <c r="L246"/>
      <c r="M246"/>
      <c r="N246"/>
      <c r="O246"/>
      <c r="P246"/>
      <c r="Q246"/>
      <c r="R246"/>
      <c r="S246"/>
      <c r="T246"/>
      <c r="U246"/>
      <c r="V246"/>
      <c r="W246"/>
      <c r="X246"/>
      <c r="Y246"/>
      <c r="Z246"/>
      <c r="AA246"/>
      <c r="AB246"/>
      <c r="AC246"/>
      <c r="AD246"/>
      <c r="AE246"/>
      <c r="AF246"/>
      <c r="AG246"/>
      <c r="AH246" s="288">
        <v>1645094</v>
      </c>
      <c r="AI246" s="290">
        <v>97647</v>
      </c>
      <c r="AJ246" s="165">
        <v>43973</v>
      </c>
      <c r="AK246" t="s">
        <v>394</v>
      </c>
      <c r="AL246"/>
      <c r="AM246"/>
      <c r="AN246"/>
      <c r="AO246"/>
      <c r="AP246"/>
      <c r="AQ246"/>
      <c r="AR246"/>
      <c r="AS246"/>
      <c r="AT246"/>
      <c r="AU246"/>
      <c r="AV246"/>
      <c r="AW246"/>
      <c r="AX246"/>
      <c r="AY246"/>
      <c r="AZ246"/>
      <c r="BA246"/>
      <c r="BB246"/>
      <c r="BC246"/>
      <c r="BD246"/>
      <c r="BE246"/>
      <c r="BF246"/>
      <c r="BG246"/>
    </row>
    <row r="247" spans="3:59" s="69" customFormat="1" x14ac:dyDescent="0.25">
      <c r="C247"/>
      <c r="D247"/>
      <c r="E247"/>
      <c r="F247"/>
      <c r="G247"/>
      <c r="H247"/>
      <c r="I247"/>
      <c r="J247"/>
      <c r="K247"/>
      <c r="L247"/>
      <c r="M247"/>
      <c r="N247"/>
      <c r="O247"/>
      <c r="P247"/>
      <c r="Q247"/>
      <c r="R247"/>
      <c r="S247"/>
      <c r="T247"/>
      <c r="U247"/>
      <c r="V247"/>
      <c r="W247"/>
      <c r="X247"/>
      <c r="Y247"/>
      <c r="Z247"/>
      <c r="AA247"/>
      <c r="AB247"/>
      <c r="AC247"/>
      <c r="AD247"/>
      <c r="AE247"/>
      <c r="AF247"/>
      <c r="AG247"/>
      <c r="AH247" s="288">
        <v>1645094</v>
      </c>
      <c r="AI247" s="290">
        <v>97647</v>
      </c>
      <c r="AJ247" s="165">
        <v>43973</v>
      </c>
      <c r="AK247" t="s">
        <v>508</v>
      </c>
      <c r="AL247"/>
      <c r="AM247"/>
      <c r="AN247"/>
      <c r="AO247"/>
      <c r="AP247"/>
      <c r="AQ247"/>
      <c r="AR247"/>
      <c r="AS247"/>
      <c r="AT247"/>
      <c r="AU247"/>
      <c r="AV247"/>
      <c r="AW247"/>
      <c r="AX247"/>
      <c r="AY247"/>
      <c r="AZ247"/>
      <c r="BA247"/>
      <c r="BB247"/>
      <c r="BC247"/>
      <c r="BD247"/>
      <c r="BE247"/>
      <c r="BF247"/>
      <c r="BG247"/>
    </row>
    <row r="248" spans="3:59" x14ac:dyDescent="0.25">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c r="AD248" s="69"/>
      <c r="AE248" s="69"/>
      <c r="AF248" s="69"/>
      <c r="AG248" s="69"/>
      <c r="AH248" s="288">
        <v>1645094</v>
      </c>
      <c r="AI248" s="290">
        <v>97647</v>
      </c>
      <c r="AJ248" s="268">
        <v>43973</v>
      </c>
      <c r="AK248" t="s">
        <v>386</v>
      </c>
      <c r="AL248" s="69"/>
      <c r="AM248" s="69"/>
      <c r="AN248" s="69"/>
      <c r="AO248" s="69"/>
      <c r="AP248" s="69"/>
      <c r="AQ248" s="69"/>
      <c r="AR248" s="69"/>
      <c r="AS248" s="69"/>
      <c r="AT248" s="69"/>
      <c r="AU248" s="69"/>
      <c r="AV248" s="69"/>
      <c r="AW248" s="69"/>
      <c r="AX248" s="69"/>
      <c r="AY248" s="69"/>
      <c r="AZ248" s="69"/>
      <c r="BA248" s="69"/>
      <c r="BB248" s="69"/>
      <c r="BC248" s="69"/>
      <c r="BD248" s="69"/>
      <c r="BE248" s="69"/>
      <c r="BF248" s="69"/>
      <c r="BG248" s="69"/>
    </row>
    <row r="249" spans="3:59" x14ac:dyDescent="0.25">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c r="AD249" s="69"/>
      <c r="AE249" s="69"/>
      <c r="AF249" s="69"/>
      <c r="AG249" s="69"/>
      <c r="AH249" s="288">
        <v>1644899</v>
      </c>
      <c r="AI249" s="290">
        <v>98678</v>
      </c>
      <c r="AJ249" s="165">
        <v>43974</v>
      </c>
      <c r="AK249" s="69" t="s">
        <v>392</v>
      </c>
      <c r="AL249" s="69"/>
      <c r="AM249" s="69"/>
      <c r="AN249" s="69"/>
      <c r="AO249" s="69"/>
      <c r="AP249" s="69"/>
      <c r="AQ249" s="69"/>
      <c r="AR249" s="69"/>
      <c r="AS249" s="69"/>
      <c r="AT249" s="69"/>
      <c r="AU249" s="69"/>
      <c r="AV249" s="69"/>
      <c r="AW249" s="69"/>
      <c r="AX249" s="69"/>
      <c r="AY249" s="69"/>
      <c r="AZ249" s="69"/>
      <c r="BA249" s="69"/>
      <c r="BB249" s="69"/>
      <c r="BC249" s="69"/>
      <c r="BD249" s="69"/>
      <c r="BE249" s="69"/>
      <c r="BF249" s="69"/>
      <c r="BG249" s="69"/>
    </row>
    <row r="250" spans="3:59" x14ac:dyDescent="0.25">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c r="AD250" s="69"/>
      <c r="AE250" s="69"/>
      <c r="AF250" s="69"/>
      <c r="AG250" s="69"/>
      <c r="AH250" s="288">
        <v>1644899</v>
      </c>
      <c r="AI250" s="290">
        <v>98678</v>
      </c>
      <c r="AJ250" s="165">
        <v>43974</v>
      </c>
      <c r="AK250" s="69" t="s">
        <v>415</v>
      </c>
      <c r="AL250" s="69"/>
      <c r="AM250" s="69"/>
      <c r="AN250" s="69"/>
      <c r="AO250" s="69"/>
      <c r="AP250" s="69"/>
      <c r="AQ250" s="69"/>
      <c r="AR250" s="69"/>
      <c r="AS250" s="69"/>
      <c r="AT250" s="69"/>
      <c r="AU250" s="69"/>
      <c r="AV250" s="69"/>
      <c r="AW250" s="69"/>
      <c r="AX250" s="69"/>
      <c r="AY250" s="69"/>
      <c r="AZ250" s="69"/>
      <c r="BA250" s="69"/>
      <c r="BB250" s="69"/>
      <c r="BC250" s="69"/>
      <c r="BD250" s="69"/>
      <c r="BE250" s="69"/>
      <c r="BF250" s="69"/>
      <c r="BG250" s="69"/>
    </row>
    <row r="251" spans="3:59" x14ac:dyDescent="0.25">
      <c r="AH251" s="288">
        <v>1686436</v>
      </c>
      <c r="AI251" s="290">
        <v>99293</v>
      </c>
      <c r="AJ251" s="165">
        <v>43975</v>
      </c>
      <c r="AK251" s="69" t="s">
        <v>419</v>
      </c>
    </row>
    <row r="252" spans="3:59" x14ac:dyDescent="0.25">
      <c r="AH252" s="288">
        <v>1686436</v>
      </c>
      <c r="AI252" s="290">
        <v>99293</v>
      </c>
      <c r="AJ252" s="165">
        <v>43975</v>
      </c>
      <c r="AK252" s="69" t="s">
        <v>393</v>
      </c>
    </row>
    <row r="253" spans="3:59" x14ac:dyDescent="0.25">
      <c r="AH253" s="288">
        <v>1706226</v>
      </c>
      <c r="AI253" s="290">
        <v>99798</v>
      </c>
      <c r="AJ253" s="217">
        <v>43976</v>
      </c>
      <c r="AK253" s="69" t="s">
        <v>411</v>
      </c>
    </row>
    <row r="254" spans="3:59" x14ac:dyDescent="0.25">
      <c r="AH254" s="288">
        <v>1706226</v>
      </c>
      <c r="AI254" s="290">
        <v>99798</v>
      </c>
      <c r="AJ254" s="268">
        <v>43976</v>
      </c>
      <c r="AK254" s="69" t="s">
        <v>413</v>
      </c>
    </row>
    <row r="255" spans="3:59" x14ac:dyDescent="0.25">
      <c r="AH255" s="288">
        <v>1706226</v>
      </c>
      <c r="AI255" s="290">
        <v>99798</v>
      </c>
      <c r="AJ255" s="268">
        <v>43976</v>
      </c>
      <c r="AK255" s="69" t="s">
        <v>410</v>
      </c>
      <c r="AL255" s="69"/>
    </row>
    <row r="256" spans="3:59" x14ac:dyDescent="0.25">
      <c r="AH256" s="288">
        <v>1706226</v>
      </c>
      <c r="AI256" s="290">
        <v>99798</v>
      </c>
      <c r="AJ256" s="268">
        <v>43976</v>
      </c>
      <c r="AK256" s="69" t="s">
        <v>412</v>
      </c>
    </row>
    <row r="257" spans="1:38" x14ac:dyDescent="0.25">
      <c r="AH257" s="288">
        <v>1706226</v>
      </c>
      <c r="AI257" s="290">
        <v>99798</v>
      </c>
      <c r="AJ257" s="268">
        <v>43976</v>
      </c>
      <c r="AK257" s="69" t="s">
        <v>417</v>
      </c>
    </row>
    <row r="258" spans="1:38" x14ac:dyDescent="0.25">
      <c r="AH258" s="288">
        <v>1706226</v>
      </c>
      <c r="AI258" s="290">
        <v>99798</v>
      </c>
      <c r="AJ258" s="217">
        <v>43976</v>
      </c>
      <c r="AK258" s="69" t="s">
        <v>418</v>
      </c>
    </row>
    <row r="259" spans="1:38" x14ac:dyDescent="0.25">
      <c r="AH259" s="288">
        <v>1706226</v>
      </c>
      <c r="AI259" s="290">
        <v>99798</v>
      </c>
      <c r="AJ259" s="269">
        <v>43976</v>
      </c>
      <c r="AK259" s="69" t="s">
        <v>420</v>
      </c>
      <c r="AL259" s="253"/>
    </row>
    <row r="260" spans="1:38" x14ac:dyDescent="0.25">
      <c r="AH260" s="288">
        <v>1725275</v>
      </c>
      <c r="AI260" s="289">
        <v>100572</v>
      </c>
      <c r="AJ260" s="192">
        <v>43977</v>
      </c>
      <c r="AK260" s="69" t="s">
        <v>533</v>
      </c>
    </row>
    <row r="261" spans="1:38" x14ac:dyDescent="0.25">
      <c r="AH261" s="288">
        <v>1725275</v>
      </c>
      <c r="AI261" s="290">
        <v>100572</v>
      </c>
      <c r="AJ261" s="268">
        <v>43977</v>
      </c>
      <c r="AK261" s="47" t="s">
        <v>506</v>
      </c>
    </row>
    <row r="262" spans="1:38" x14ac:dyDescent="0.25">
      <c r="AH262" s="288">
        <v>1725275</v>
      </c>
      <c r="AI262" s="290">
        <v>100572</v>
      </c>
      <c r="AJ262" s="268">
        <v>43977</v>
      </c>
      <c r="AK262" s="47" t="s">
        <v>424</v>
      </c>
    </row>
    <row r="263" spans="1:38" x14ac:dyDescent="0.25">
      <c r="AH263" s="288">
        <v>1745803</v>
      </c>
      <c r="AI263" s="297">
        <v>102107</v>
      </c>
      <c r="AJ263" s="268">
        <v>43978</v>
      </c>
      <c r="AK263" s="47" t="s">
        <v>416</v>
      </c>
    </row>
    <row r="264" spans="1:38" x14ac:dyDescent="0.25">
      <c r="AH264" s="288">
        <v>1745803</v>
      </c>
      <c r="AI264" s="297">
        <v>102107</v>
      </c>
      <c r="AJ264" s="268">
        <v>43978</v>
      </c>
      <c r="AK264" s="47" t="s">
        <v>507</v>
      </c>
    </row>
    <row r="265" spans="1:38" x14ac:dyDescent="0.25">
      <c r="AH265" s="298">
        <v>1768461</v>
      </c>
      <c r="AI265" s="297">
        <v>103330</v>
      </c>
      <c r="AJ265" s="268">
        <v>43979</v>
      </c>
      <c r="AK265" s="47" t="s">
        <v>425</v>
      </c>
    </row>
    <row r="266" spans="1:38" s="69" customFormat="1" x14ac:dyDescent="0.25">
      <c r="AI266" s="298">
        <v>1793530</v>
      </c>
      <c r="AJ266" s="297">
        <v>104542</v>
      </c>
      <c r="AK266" s="268">
        <v>43980</v>
      </c>
      <c r="AL266" s="47" t="s">
        <v>535</v>
      </c>
    </row>
    <row r="267" spans="1:38" s="69" customFormat="1" x14ac:dyDescent="0.25">
      <c r="AI267" s="298">
        <v>1793530</v>
      </c>
      <c r="AJ267" s="297">
        <v>104542</v>
      </c>
      <c r="AK267" s="165">
        <v>43980</v>
      </c>
      <c r="AL267" s="69" t="s">
        <v>513</v>
      </c>
    </row>
    <row r="268" spans="1:38" s="69" customFormat="1" x14ac:dyDescent="0.25">
      <c r="AI268" s="298">
        <v>1793530</v>
      </c>
      <c r="AJ268" s="297">
        <v>104542</v>
      </c>
      <c r="AK268" s="268">
        <v>43980</v>
      </c>
      <c r="AL268" s="69" t="s">
        <v>534</v>
      </c>
    </row>
    <row r="269" spans="1:38" x14ac:dyDescent="0.25">
      <c r="AI269" s="298">
        <v>1837170</v>
      </c>
      <c r="AJ269" s="297">
        <v>106195</v>
      </c>
      <c r="AK269" s="268">
        <v>43982</v>
      </c>
      <c r="AL269" s="69" t="s">
        <v>539</v>
      </c>
    </row>
    <row r="270" spans="1:38" x14ac:dyDescent="0.25">
      <c r="A270" s="4" t="s">
        <v>188</v>
      </c>
      <c r="B270" s="221">
        <v>330565500</v>
      </c>
      <c r="AI270" s="298">
        <v>1859323</v>
      </c>
      <c r="AJ270" s="297">
        <v>106925</v>
      </c>
      <c r="AK270" s="217">
        <v>43983</v>
      </c>
      <c r="AL270" s="69" t="s">
        <v>538</v>
      </c>
    </row>
    <row r="271" spans="1:38" x14ac:dyDescent="0.25">
      <c r="A271" s="4"/>
      <c r="B271" s="296"/>
      <c r="AI271" s="298">
        <v>1859323</v>
      </c>
      <c r="AJ271" s="297">
        <v>106925</v>
      </c>
      <c r="AK271" s="217">
        <v>43983</v>
      </c>
      <c r="AL271" s="69" t="s">
        <v>541</v>
      </c>
    </row>
    <row r="272" spans="1:38" x14ac:dyDescent="0.25">
      <c r="A272" s="57" t="s">
        <v>381</v>
      </c>
      <c r="B272" s="291">
        <v>1.4E-2</v>
      </c>
      <c r="AI272" s="298">
        <v>1881205</v>
      </c>
      <c r="AJ272" s="297">
        <v>108059</v>
      </c>
      <c r="AK272" s="269">
        <v>43984</v>
      </c>
      <c r="AL272" s="69" t="s">
        <v>542</v>
      </c>
    </row>
    <row r="273" spans="1:63" s="69" customFormat="1" x14ac:dyDescent="0.25">
      <c r="A273" s="62"/>
      <c r="B273" s="169"/>
      <c r="C273" s="69" t="s">
        <v>299</v>
      </c>
      <c r="AI273" s="298">
        <v>1940315</v>
      </c>
      <c r="AJ273" s="297">
        <v>110415</v>
      </c>
      <c r="AK273" s="165">
        <v>43986</v>
      </c>
      <c r="AL273" s="69" t="s">
        <v>563</v>
      </c>
    </row>
    <row r="274" spans="1:63" x14ac:dyDescent="0.25">
      <c r="A274" s="4" t="s">
        <v>112</v>
      </c>
      <c r="B274" s="155">
        <f>B272/B282</f>
        <v>0.25</v>
      </c>
      <c r="C274" t="s">
        <v>382</v>
      </c>
      <c r="D274" s="69"/>
      <c r="E274" s="69"/>
      <c r="G274" s="69"/>
      <c r="H274" s="69"/>
      <c r="I274" s="69"/>
      <c r="J274" s="69"/>
      <c r="K274" s="69"/>
      <c r="L274" s="69"/>
      <c r="M274" s="69"/>
      <c r="N274" s="69"/>
      <c r="O274" s="69"/>
      <c r="P274" s="69"/>
      <c r="Q274" s="69"/>
      <c r="R274" s="69"/>
      <c r="S274" s="165"/>
      <c r="T274" s="69"/>
      <c r="U274" s="165"/>
      <c r="X274" s="198"/>
      <c r="Y274" s="16"/>
      <c r="AI274" s="298">
        <v>1965708</v>
      </c>
      <c r="AJ274" s="297">
        <v>111390</v>
      </c>
      <c r="AK274" s="268">
        <v>43987</v>
      </c>
      <c r="AL274" s="69" t="s">
        <v>559</v>
      </c>
    </row>
    <row r="275" spans="1:63" x14ac:dyDescent="0.25">
      <c r="A275" s="37" t="s">
        <v>114</v>
      </c>
      <c r="B275" s="114">
        <v>7.0000000000000007E-2</v>
      </c>
      <c r="C275" s="248"/>
      <c r="D275" s="69"/>
      <c r="E275" s="69"/>
      <c r="F275" s="69"/>
      <c r="G275" s="69"/>
      <c r="H275" s="69"/>
      <c r="I275" s="69"/>
      <c r="J275" s="69"/>
      <c r="K275" s="69"/>
      <c r="L275" s="69"/>
      <c r="M275" s="69"/>
      <c r="N275" s="69"/>
      <c r="O275" s="69"/>
      <c r="P275" s="69"/>
      <c r="Q275" s="69"/>
      <c r="R275" s="69"/>
      <c r="S275" s="69"/>
      <c r="T275" s="165"/>
      <c r="U275" s="165"/>
      <c r="V275" s="69"/>
      <c r="W275" s="69"/>
      <c r="X275" s="16"/>
      <c r="Y275" s="16"/>
      <c r="AI275" s="298">
        <v>1965708</v>
      </c>
      <c r="AJ275" s="297">
        <v>111390</v>
      </c>
      <c r="AK275" s="217">
        <v>43987</v>
      </c>
      <c r="AL275" s="69" t="s">
        <v>567</v>
      </c>
    </row>
    <row r="276" spans="1:63" x14ac:dyDescent="0.25">
      <c r="A276" s="4" t="s">
        <v>177</v>
      </c>
      <c r="B276" s="249">
        <v>2.4</v>
      </c>
      <c r="C276" s="64">
        <f>(B270/1000)*B276</f>
        <v>793357.2</v>
      </c>
      <c r="D276" s="69"/>
      <c r="E276" s="69"/>
      <c r="F276" s="69"/>
      <c r="G276" s="69"/>
      <c r="H276" s="69"/>
      <c r="I276" s="69"/>
      <c r="J276" s="69"/>
      <c r="K276" s="69"/>
      <c r="L276" s="69"/>
      <c r="M276" s="69"/>
      <c r="N276" s="69"/>
      <c r="O276" s="69"/>
      <c r="P276" s="69"/>
      <c r="Q276" s="69"/>
      <c r="R276" s="69"/>
      <c r="S276" s="69"/>
      <c r="T276" s="69"/>
      <c r="U276" s="69"/>
      <c r="V276" s="69"/>
      <c r="W276" s="69"/>
      <c r="X276" s="16"/>
      <c r="Y276" s="16"/>
      <c r="AA276" s="120"/>
      <c r="AI276" s="287">
        <v>2007449</v>
      </c>
      <c r="AJ276" s="297">
        <v>112469</v>
      </c>
      <c r="AK276" s="217">
        <v>43989</v>
      </c>
      <c r="AL276" s="69" t="s">
        <v>564</v>
      </c>
    </row>
    <row r="277" spans="1:63" x14ac:dyDescent="0.25">
      <c r="A277" s="37" t="s">
        <v>178</v>
      </c>
      <c r="B277" s="250">
        <v>34.700000000000003</v>
      </c>
      <c r="C277" s="61">
        <f>(B270/100000)*B277</f>
        <v>114706.22850000001</v>
      </c>
      <c r="D277" s="69"/>
      <c r="E277" s="69"/>
      <c r="F277" s="69"/>
      <c r="G277" s="69"/>
      <c r="H277" s="69"/>
      <c r="I277" s="69"/>
      <c r="J277" s="69"/>
      <c r="K277" s="69"/>
      <c r="L277" s="69"/>
      <c r="M277" s="69"/>
      <c r="N277" s="69"/>
      <c r="O277" s="69"/>
      <c r="P277" s="69"/>
      <c r="Q277" s="69"/>
      <c r="R277" s="69"/>
      <c r="S277" s="69"/>
      <c r="T277" s="69"/>
      <c r="U277" s="69"/>
      <c r="V277" s="150"/>
      <c r="W277" s="69"/>
      <c r="AI277" s="298">
        <v>2026493</v>
      </c>
      <c r="AJ277" s="297">
        <v>113055</v>
      </c>
      <c r="AK277" s="269">
        <v>43990</v>
      </c>
      <c r="AL277" s="69" t="s">
        <v>566</v>
      </c>
    </row>
    <row r="278" spans="1:63" x14ac:dyDescent="0.25">
      <c r="A278" s="41"/>
      <c r="B278" s="285"/>
      <c r="C278" s="10"/>
      <c r="D278" s="69"/>
      <c r="E278" s="69"/>
      <c r="F278" s="69"/>
      <c r="G278" s="69"/>
      <c r="H278" s="69"/>
      <c r="I278" s="69"/>
      <c r="J278" s="69"/>
      <c r="K278" s="69"/>
      <c r="L278" s="69"/>
      <c r="M278" s="69"/>
      <c r="N278" s="69"/>
      <c r="O278" s="69"/>
      <c r="P278" s="69"/>
      <c r="Q278" s="69"/>
      <c r="R278" s="69"/>
      <c r="S278" s="69"/>
      <c r="T278" s="69"/>
      <c r="U278" s="69"/>
      <c r="V278" s="150"/>
      <c r="W278" s="69"/>
      <c r="AJ278" s="298">
        <v>2045549</v>
      </c>
      <c r="AK278" s="297">
        <v>114148</v>
      </c>
      <c r="AL278" s="269">
        <v>43991</v>
      </c>
      <c r="AM278" t="s">
        <v>565</v>
      </c>
    </row>
    <row r="279" spans="1:63" x14ac:dyDescent="0.25">
      <c r="A279" s="4" t="s">
        <v>73</v>
      </c>
      <c r="B279" s="112">
        <v>0.81</v>
      </c>
      <c r="C279" s="2"/>
      <c r="D279" s="69"/>
      <c r="E279" s="69"/>
      <c r="F279" s="69"/>
      <c r="G279" s="69"/>
      <c r="H279" s="69"/>
      <c r="I279" s="69"/>
      <c r="J279" s="69"/>
      <c r="K279" s="69"/>
      <c r="L279" s="69"/>
      <c r="M279" s="69"/>
      <c r="N279" s="69"/>
      <c r="O279" s="69"/>
      <c r="P279" s="69"/>
      <c r="Q279" s="69"/>
      <c r="R279" s="69"/>
      <c r="S279" s="69"/>
      <c r="T279" s="69"/>
      <c r="U279" s="69"/>
      <c r="Z279" s="217"/>
      <c r="AC279" s="253"/>
    </row>
    <row r="280" spans="1:63" x14ac:dyDescent="0.25">
      <c r="A280" s="41" t="s">
        <v>74</v>
      </c>
      <c r="B280" s="113">
        <v>0.14000000000000001</v>
      </c>
      <c r="C280" s="2"/>
      <c r="D280" s="69"/>
      <c r="E280" s="69"/>
      <c r="F280" s="69"/>
      <c r="G280" s="69"/>
      <c r="H280" s="69"/>
      <c r="I280" s="69"/>
      <c r="J280" s="69"/>
      <c r="K280" s="69"/>
      <c r="L280" s="69"/>
      <c r="M280" s="69"/>
      <c r="N280" s="69"/>
      <c r="O280" s="69"/>
      <c r="P280" s="69"/>
      <c r="Q280" s="69"/>
      <c r="R280" s="69"/>
      <c r="S280" s="69"/>
      <c r="T280" s="69"/>
      <c r="U280" s="47"/>
      <c r="V280" s="69"/>
      <c r="W280" s="165"/>
      <c r="AC280" s="217"/>
      <c r="AV280" s="253"/>
      <c r="AW280" s="253"/>
      <c r="AX280" s="253"/>
      <c r="AY280" s="253"/>
      <c r="AZ280" s="253"/>
    </row>
    <row r="281" spans="1:63" x14ac:dyDescent="0.25">
      <c r="A281" s="37" t="s">
        <v>108</v>
      </c>
      <c r="B281" s="114">
        <v>0.05</v>
      </c>
      <c r="C281" s="2"/>
      <c r="D281" s="212" t="s">
        <v>167</v>
      </c>
      <c r="T281" s="16"/>
      <c r="U281" s="16"/>
      <c r="V281" s="257"/>
      <c r="W281" s="16"/>
      <c r="AE281" s="2"/>
      <c r="AJ281" s="217"/>
      <c r="AK281" s="217"/>
      <c r="BA281" s="175"/>
      <c r="BB281" s="175"/>
      <c r="BC281" s="175"/>
      <c r="BD281" s="175"/>
      <c r="BE281" s="175"/>
      <c r="BF281" s="175"/>
    </row>
    <row r="282" spans="1:63" x14ac:dyDescent="0.25">
      <c r="A282" s="37" t="s">
        <v>113</v>
      </c>
      <c r="B282" s="65">
        <v>5.6000000000000001E-2</v>
      </c>
      <c r="C282" s="2"/>
      <c r="D282" s="179" t="s">
        <v>159</v>
      </c>
      <c r="U282" s="16"/>
      <c r="V282" s="16"/>
      <c r="W282" s="16"/>
      <c r="AI282" s="217"/>
      <c r="AJ282" s="217"/>
      <c r="AV282" s="176"/>
      <c r="AW282" s="176"/>
      <c r="AX282" s="176"/>
      <c r="AY282" s="176"/>
      <c r="AZ282" s="176"/>
    </row>
    <row r="283" spans="1:63" x14ac:dyDescent="0.25">
      <c r="A283" s="153" t="s">
        <v>297</v>
      </c>
      <c r="B283" s="154">
        <v>43851</v>
      </c>
      <c r="C283" s="2"/>
      <c r="D283" s="254">
        <f>(BA286-P286)/(LOG(BA287/P287)/LOG(2))</f>
        <v>37.421052631578945</v>
      </c>
      <c r="E283" s="175"/>
      <c r="L283" s="217"/>
      <c r="M283" s="217"/>
      <c r="N283" s="217"/>
      <c r="S283" s="16"/>
      <c r="T283" s="16"/>
      <c r="U283" s="16"/>
      <c r="V283" s="16"/>
      <c r="W283" s="16"/>
      <c r="AC283" t="s">
        <v>328</v>
      </c>
      <c r="AK283" s="217"/>
      <c r="AL283" s="217"/>
    </row>
    <row r="284" spans="1:63" x14ac:dyDescent="0.25">
      <c r="A284" s="16"/>
      <c r="B284" s="50" t="s">
        <v>54</v>
      </c>
      <c r="C284" s="10"/>
      <c r="D284" s="16"/>
      <c r="E284" s="16"/>
      <c r="F284" s="16"/>
      <c r="G284" s="16"/>
      <c r="H284" s="16"/>
      <c r="I284" s="16"/>
      <c r="J284" s="16"/>
      <c r="K284" s="16"/>
      <c r="L284" s="16"/>
      <c r="M284" s="16"/>
      <c r="N284" s="16"/>
      <c r="O284" s="16"/>
      <c r="Q284" s="16"/>
      <c r="R284" s="16"/>
      <c r="S284" s="16"/>
      <c r="T284" s="16"/>
      <c r="U284" s="16"/>
      <c r="V284" s="16"/>
      <c r="W284" s="16"/>
      <c r="X284" s="16"/>
      <c r="Y284" s="16"/>
      <c r="Z284" s="16"/>
      <c r="AA284" s="16"/>
      <c r="AB284" s="16"/>
      <c r="AC284" s="16"/>
      <c r="AD284" s="16"/>
      <c r="AE284" s="16"/>
      <c r="AF284" s="16" t="s">
        <v>289</v>
      </c>
      <c r="AG284" s="16"/>
      <c r="AH284" s="16"/>
      <c r="AI284" s="16"/>
      <c r="AJ284" s="16"/>
      <c r="AK284" s="16"/>
      <c r="AL284" s="16"/>
      <c r="AM284" s="16"/>
      <c r="AN284" s="16"/>
      <c r="AO284" s="16"/>
      <c r="AP284" s="16"/>
      <c r="AQ284" s="16"/>
      <c r="AR284" s="16"/>
      <c r="AS284" s="16"/>
      <c r="AT284" s="16"/>
      <c r="AU284" s="16"/>
      <c r="BH284" s="152"/>
    </row>
    <row r="285" spans="1:63" x14ac:dyDescent="0.25">
      <c r="A285" s="53" t="s">
        <v>41</v>
      </c>
      <c r="B285" s="192">
        <v>43882</v>
      </c>
      <c r="C285" s="192">
        <v>43890</v>
      </c>
      <c r="D285" s="192">
        <v>43893</v>
      </c>
      <c r="E285" s="192">
        <v>43895</v>
      </c>
      <c r="F285" s="192">
        <v>43904</v>
      </c>
      <c r="G285" s="192">
        <v>43912</v>
      </c>
      <c r="H285" s="192">
        <v>43918</v>
      </c>
      <c r="I285" s="192">
        <v>43923</v>
      </c>
      <c r="J285" s="192">
        <v>43932</v>
      </c>
      <c r="K285" s="192">
        <v>43948</v>
      </c>
      <c r="L285" s="192">
        <f>K285+K286</f>
        <v>43991</v>
      </c>
      <c r="M285" s="192">
        <f>L285+L286</f>
        <v>44077</v>
      </c>
      <c r="N285" s="192">
        <f>M285+M286</f>
        <v>44249</v>
      </c>
      <c r="O285" s="192"/>
      <c r="Q285" s="133" t="s">
        <v>298</v>
      </c>
      <c r="R285" s="16"/>
      <c r="S285" s="16"/>
      <c r="T285" s="16"/>
      <c r="U285" s="16"/>
      <c r="V285" s="16"/>
      <c r="W285" s="16"/>
      <c r="X285" s="16"/>
      <c r="Y285" s="182"/>
      <c r="Z285" s="16"/>
      <c r="AA285" s="16"/>
      <c r="AB285" s="16"/>
      <c r="AC285" s="16" t="s">
        <v>264</v>
      </c>
      <c r="AG285" t="s">
        <v>300</v>
      </c>
      <c r="AL285" s="16"/>
      <c r="AM285" s="16"/>
      <c r="AN285" s="16"/>
      <c r="AO285" s="16"/>
      <c r="AP285" s="16"/>
      <c r="AQ285" s="16"/>
      <c r="AR285" s="16"/>
      <c r="AS285" s="16"/>
      <c r="AT285" s="16"/>
      <c r="AU285" s="16"/>
      <c r="BB285" s="212" t="s">
        <v>168</v>
      </c>
      <c r="BH285" s="252" t="s">
        <v>187</v>
      </c>
    </row>
    <row r="286" spans="1:63" x14ac:dyDescent="0.25">
      <c r="A286" s="4" t="s">
        <v>11</v>
      </c>
      <c r="B286" s="84">
        <v>8</v>
      </c>
      <c r="C286" s="157">
        <v>3</v>
      </c>
      <c r="D286" s="256">
        <v>2</v>
      </c>
      <c r="E286" s="157">
        <v>3</v>
      </c>
      <c r="F286" s="256">
        <v>2</v>
      </c>
      <c r="G286" s="157">
        <v>3</v>
      </c>
      <c r="H286" s="156">
        <v>5</v>
      </c>
      <c r="I286" s="255">
        <v>9</v>
      </c>
      <c r="J286">
        <v>16</v>
      </c>
      <c r="K286">
        <v>43</v>
      </c>
      <c r="L286">
        <f>K286*2</f>
        <v>86</v>
      </c>
      <c r="M286">
        <f>L286*2</f>
        <v>172</v>
      </c>
      <c r="N286">
        <f>M286*2</f>
        <v>344</v>
      </c>
      <c r="O286" s="220"/>
      <c r="P286" s="275">
        <v>43882</v>
      </c>
      <c r="Q286" s="276">
        <f t="shared" ref="Q286:AD286" si="0">P286+HLOOKUP(P286+1, $B$285:$O$286,2,TRUE)</f>
        <v>43890</v>
      </c>
      <c r="R286" s="277">
        <f t="shared" si="0"/>
        <v>43893</v>
      </c>
      <c r="S286" s="276">
        <f t="shared" si="0"/>
        <v>43895</v>
      </c>
      <c r="T286" s="276">
        <f t="shared" si="0"/>
        <v>43898</v>
      </c>
      <c r="U286" s="276">
        <f t="shared" si="0"/>
        <v>43901</v>
      </c>
      <c r="V286" s="277">
        <f t="shared" si="0"/>
        <v>43904</v>
      </c>
      <c r="W286" s="277">
        <f t="shared" si="0"/>
        <v>43906</v>
      </c>
      <c r="X286" s="277">
        <f t="shared" si="0"/>
        <v>43908</v>
      </c>
      <c r="Y286" s="277">
        <f t="shared" si="0"/>
        <v>43910</v>
      </c>
      <c r="Z286" s="276">
        <f t="shared" si="0"/>
        <v>43912</v>
      </c>
      <c r="AA286" s="278">
        <f t="shared" si="0"/>
        <v>43915</v>
      </c>
      <c r="AB286" s="278">
        <f t="shared" si="0"/>
        <v>43918</v>
      </c>
      <c r="AC286" s="279">
        <f t="shared" si="0"/>
        <v>43923</v>
      </c>
      <c r="AD286" s="280">
        <f t="shared" si="0"/>
        <v>43932</v>
      </c>
      <c r="AE286" s="281">
        <f>$AD$286+(($AH$286-$AD$286)*0.25)</f>
        <v>43936</v>
      </c>
      <c r="AF286" s="281">
        <f>$AD$286+(($AH$286-$AD$286)*0.5)</f>
        <v>43940</v>
      </c>
      <c r="AG286" s="281">
        <f>$AD$286+(($AH$286-$AD$286)*0.75)</f>
        <v>43944</v>
      </c>
      <c r="AH286" s="280">
        <f>AD286+HLOOKUP(AD286+1, $B$285:$O$286,2,TRUE)</f>
        <v>43948</v>
      </c>
      <c r="AI286" s="281">
        <f>$AH$286+(($AL$286-$AH$286)*0.25)</f>
        <v>43958.75</v>
      </c>
      <c r="AJ286" s="281">
        <f>$AH$286+(($AL$286-$AH$286)*0.5)</f>
        <v>43969.5</v>
      </c>
      <c r="AK286" s="281">
        <f>$AH$286+(($AL$286-$AH$286)*0.77)</f>
        <v>43981.11</v>
      </c>
      <c r="AL286" s="348">
        <f>AH286+HLOOKUP(AH286+1, $B$285:$O$286,2,TRUE)</f>
        <v>43991</v>
      </c>
      <c r="AM286" s="283">
        <f>$AL$286+(($AQ$286-$AL$286)*0.2)</f>
        <v>44008.2</v>
      </c>
      <c r="AN286" s="283">
        <f>$AL$286+(($AQ$286-$AL$286)*0.4)</f>
        <v>44025.4</v>
      </c>
      <c r="AO286" s="283">
        <f>$AL$286+(($AQ$286-$AL$286)*0.6)</f>
        <v>44042.6</v>
      </c>
      <c r="AP286" s="283">
        <f>$AL$286+(($AQ$286-$AL$286)*0.8)</f>
        <v>44059.8</v>
      </c>
      <c r="AQ286" s="228">
        <f>AL286+HLOOKUP(AL286+1, $B$285:$O$286,2,TRUE)</f>
        <v>44077</v>
      </c>
      <c r="AR286" s="283">
        <f>$AQ$286+(($AV$286-$AQ$286)*0.2)</f>
        <v>44111.4</v>
      </c>
      <c r="AS286" s="283">
        <f>$AQ$286+(($AV$286-$AQ$286)*0.4)</f>
        <v>44145.8</v>
      </c>
      <c r="AT286" s="283">
        <f>$AQ$286+(($AV$286-$AQ$286)*0.6)</f>
        <v>44180.2</v>
      </c>
      <c r="AU286" s="283">
        <f>$AQ$286+(($AV$286-$AQ$286)*0.8)</f>
        <v>44214.6</v>
      </c>
      <c r="AV286" s="228">
        <f>AQ286+HLOOKUP(AQ286+1, $B$285:$O$286,2,TRUE)</f>
        <v>44249</v>
      </c>
      <c r="AW286" s="283">
        <f>$AV$286+(($BA$286-$AV$286)*0.2)</f>
        <v>44317.8</v>
      </c>
      <c r="AX286" s="283">
        <f>$AV$286+(($BA$286-$AV$286)*0.4)</f>
        <v>44386.6</v>
      </c>
      <c r="AY286" s="283">
        <f>$AV$286+(($BA$286-$AV$286)*0.6)</f>
        <v>44455.4</v>
      </c>
      <c r="AZ286" s="283">
        <f>$AV$286+(($BA$286-$AV$286)*0.8)</f>
        <v>44524.2</v>
      </c>
      <c r="BA286" s="237">
        <f>AV286+HLOOKUP(AV286+1, $B$285:$O$286,2,TRUE)</f>
        <v>44593</v>
      </c>
      <c r="BB286" s="228">
        <f>BA286+HLOOKUP(BA286+1, $B$285:$O$286,2,TRUE)</f>
        <v>44937</v>
      </c>
      <c r="BC286" s="228">
        <f t="shared" ref="BC286:BG286" si="1">BB286+HLOOKUP(BB286+1, $B$285:$O$286,2,TRUE)</f>
        <v>45281</v>
      </c>
      <c r="BD286" s="228">
        <f t="shared" si="1"/>
        <v>45625</v>
      </c>
      <c r="BE286" s="228">
        <f t="shared" si="1"/>
        <v>45969</v>
      </c>
      <c r="BF286" s="237">
        <f t="shared" si="1"/>
        <v>46313</v>
      </c>
      <c r="BG286" s="237">
        <f t="shared" si="1"/>
        <v>46657</v>
      </c>
      <c r="BH286" s="251">
        <f>BG286+(7*8)</f>
        <v>46713</v>
      </c>
      <c r="BI286" s="70"/>
      <c r="BJ286" s="70"/>
      <c r="BK286" s="69"/>
    </row>
    <row r="287" spans="1:63" x14ac:dyDescent="0.25">
      <c r="A287" s="41" t="s">
        <v>106</v>
      </c>
      <c r="B287" s="16"/>
      <c r="C287" s="16"/>
      <c r="D287" s="16"/>
      <c r="E287" s="16"/>
      <c r="F287" s="16"/>
      <c r="G287" s="16"/>
      <c r="H287" s="16"/>
      <c r="I287" s="16"/>
      <c r="J287" s="16"/>
      <c r="K287" s="16"/>
      <c r="L287" s="16"/>
      <c r="M287" s="16"/>
      <c r="N287" s="16"/>
      <c r="O287" s="16"/>
      <c r="P287" s="271">
        <v>31.25</v>
      </c>
      <c r="Q287" s="272">
        <f>P287*2</f>
        <v>62.5</v>
      </c>
      <c r="R287" s="272">
        <f t="shared" ref="R287:AD287" si="2">Q287*2</f>
        <v>125</v>
      </c>
      <c r="S287" s="272">
        <f t="shared" si="2"/>
        <v>250</v>
      </c>
      <c r="T287" s="272">
        <f t="shared" si="2"/>
        <v>500</v>
      </c>
      <c r="U287" s="272">
        <f t="shared" si="2"/>
        <v>1000</v>
      </c>
      <c r="V287" s="272">
        <f t="shared" si="2"/>
        <v>2000</v>
      </c>
      <c r="W287" s="272">
        <f t="shared" si="2"/>
        <v>4000</v>
      </c>
      <c r="X287" s="272">
        <f t="shared" si="2"/>
        <v>8000</v>
      </c>
      <c r="Y287" s="272">
        <f>X287*2</f>
        <v>16000</v>
      </c>
      <c r="Z287" s="272">
        <f>Y287*2</f>
        <v>32000</v>
      </c>
      <c r="AA287" s="272">
        <f>Z287*2</f>
        <v>64000</v>
      </c>
      <c r="AB287" s="272">
        <f>AA287*2</f>
        <v>128000</v>
      </c>
      <c r="AC287" s="272">
        <f t="shared" si="2"/>
        <v>256000</v>
      </c>
      <c r="AD287" s="272">
        <f t="shared" si="2"/>
        <v>512000</v>
      </c>
      <c r="AE287" s="272">
        <f>$AD$287+(($AH$287-$AD$287)*0.25)</f>
        <v>640000</v>
      </c>
      <c r="AF287" s="272">
        <f>$AD$287+(($AH$287-$AD$287)*0.5)</f>
        <v>768000</v>
      </c>
      <c r="AG287" s="272">
        <f>$AD$287+(($AH$287-$AD$287)*0.75)</f>
        <v>896000</v>
      </c>
      <c r="AH287" s="272">
        <f>AD287*2</f>
        <v>1024000</v>
      </c>
      <c r="AI287" s="272">
        <f>$AH$287+(($AL$287-$AH$287)*0.28)</f>
        <v>1310720</v>
      </c>
      <c r="AJ287" s="272">
        <f>$AH$287+(($AL$287-$AH$287)*0.5)</f>
        <v>1536000</v>
      </c>
      <c r="AK287" s="272">
        <f>$AH$287+(($AL$287-$AH$287)*0.75)</f>
        <v>1792000</v>
      </c>
      <c r="AL287" s="272">
        <f>AH287*2</f>
        <v>2048000</v>
      </c>
      <c r="AM287" s="272">
        <f>$AL$287+(($AQ$287-$AL$287)*0.2)</f>
        <v>2457600</v>
      </c>
      <c r="AN287" s="272">
        <f>$AL$287+(($AQ$287-$AL$287)*0.4)</f>
        <v>2867200</v>
      </c>
      <c r="AO287" s="272">
        <f>$AL$287+(($AQ$287-$AL$287)*0.6)</f>
        <v>3276800</v>
      </c>
      <c r="AP287" s="272">
        <f>$AL$287+(($AQ$287-$AL$287)*0.8)</f>
        <v>3686400</v>
      </c>
      <c r="AQ287" s="272">
        <f>AL287*2</f>
        <v>4096000</v>
      </c>
      <c r="AR287" s="272">
        <f>$AQ$287+(($AV$287-$AQ$287)*0.2)</f>
        <v>4915200</v>
      </c>
      <c r="AS287" s="272">
        <f>$AQ$287+(($AV$287-$AQ$287)*0.4)</f>
        <v>5734400</v>
      </c>
      <c r="AT287" s="272">
        <f>$AQ$287+(($AV$287-$AQ$287)*0.6)</f>
        <v>6553600</v>
      </c>
      <c r="AU287" s="272">
        <f>$AQ$287+(($AV$287-$AQ$287)*0.8)</f>
        <v>7372800</v>
      </c>
      <c r="AV287" s="272">
        <f>AQ287*2</f>
        <v>8192000</v>
      </c>
      <c r="AW287" s="272">
        <f>$AV$287+(($BA$287-$AV$287)*0.2)</f>
        <v>9830400</v>
      </c>
      <c r="AX287" s="272">
        <f>$AV$287+(($BA$287-$AV$287)*0.4)</f>
        <v>11468800</v>
      </c>
      <c r="AY287" s="272">
        <f>$AV$287+(($BA$287-$AV$287)*0.6)</f>
        <v>13107200</v>
      </c>
      <c r="AZ287" s="272">
        <f>$AV$287+(($BA$287-$AV$287)*0.8)</f>
        <v>14745600</v>
      </c>
      <c r="BA287" s="273">
        <f>AV287*2</f>
        <v>16384000</v>
      </c>
      <c r="BB287" s="238">
        <f t="shared" ref="BB287:BE287" si="3">BA287*2</f>
        <v>32768000</v>
      </c>
      <c r="BC287" s="208">
        <f t="shared" si="3"/>
        <v>65536000</v>
      </c>
      <c r="BD287" s="208">
        <f t="shared" si="3"/>
        <v>131072000</v>
      </c>
      <c r="BE287" s="208">
        <f t="shared" si="3"/>
        <v>262144000</v>
      </c>
      <c r="BF287" s="209">
        <f>B270</f>
        <v>330565500</v>
      </c>
      <c r="BG287" s="199">
        <f>B270</f>
        <v>330565500</v>
      </c>
      <c r="BH287" s="242">
        <f>B270*BH288</f>
        <v>23139585.000000004</v>
      </c>
      <c r="BI287" s="45"/>
      <c r="BJ287" s="45"/>
      <c r="BK287" s="69"/>
    </row>
    <row r="288" spans="1:63" x14ac:dyDescent="0.25">
      <c r="A288" s="41" t="s">
        <v>107</v>
      </c>
      <c r="B288" s="16"/>
      <c r="C288" s="16"/>
      <c r="D288" s="16"/>
      <c r="E288" s="16"/>
      <c r="F288" s="16"/>
      <c r="G288" s="16"/>
      <c r="H288" s="16"/>
      <c r="I288" s="16"/>
      <c r="J288" s="16"/>
      <c r="K288" s="16"/>
      <c r="L288" s="16"/>
      <c r="M288" s="16"/>
      <c r="N288" s="16"/>
      <c r="O288" s="16"/>
      <c r="P288" s="218">
        <f t="shared" ref="P288:AP288" si="4">P287/$B$270</f>
        <v>9.453497113280122E-8</v>
      </c>
      <c r="Q288" s="219">
        <f t="shared" si="4"/>
        <v>1.8906994226560244E-7</v>
      </c>
      <c r="R288" s="219">
        <f t="shared" si="4"/>
        <v>3.7813988453120488E-7</v>
      </c>
      <c r="S288" s="196">
        <f t="shared" si="4"/>
        <v>7.5627976906240976E-7</v>
      </c>
      <c r="T288" s="196">
        <f t="shared" si="4"/>
        <v>1.5125595381248195E-6</v>
      </c>
      <c r="U288" s="196">
        <f t="shared" si="4"/>
        <v>3.025119076249639E-6</v>
      </c>
      <c r="V288" s="196">
        <f t="shared" si="4"/>
        <v>6.0502381524992781E-6</v>
      </c>
      <c r="W288" s="66">
        <f t="shared" si="4"/>
        <v>1.2100476304998556E-5</v>
      </c>
      <c r="X288" s="36">
        <f t="shared" si="4"/>
        <v>2.4200952609997112E-5</v>
      </c>
      <c r="Y288" s="36">
        <f>Y287/$B$270</f>
        <v>4.8401905219994225E-5</v>
      </c>
      <c r="Z288" s="36">
        <f>Z287/$B$270</f>
        <v>9.6803810439988449E-5</v>
      </c>
      <c r="AA288" s="36">
        <f>AA287/$B$270</f>
        <v>1.936076208799769E-4</v>
      </c>
      <c r="AB288" s="36">
        <f>AB287/$B$270</f>
        <v>3.872152417599538E-4</v>
      </c>
      <c r="AC288" s="14">
        <f t="shared" si="4"/>
        <v>7.7443048351990759E-4</v>
      </c>
      <c r="AD288" s="14">
        <f t="shared" si="4"/>
        <v>1.5488609670398152E-3</v>
      </c>
      <c r="AE288" s="14">
        <f t="shared" ref="AE288:AG288" si="5">AE287/$B$270</f>
        <v>1.9360762087997688E-3</v>
      </c>
      <c r="AF288" s="14">
        <f t="shared" si="5"/>
        <v>2.3232914505597227E-3</v>
      </c>
      <c r="AG288" s="14">
        <f t="shared" si="5"/>
        <v>2.7105066923196765E-3</v>
      </c>
      <c r="AH288" s="14">
        <f t="shared" si="4"/>
        <v>3.0977219340796304E-3</v>
      </c>
      <c r="AI288" s="14">
        <f t="shared" ref="AI288:AK288" si="6">AI287/$B$270</f>
        <v>3.9650840756219269E-3</v>
      </c>
      <c r="AJ288" s="14">
        <f t="shared" si="6"/>
        <v>4.6465829011194454E-3</v>
      </c>
      <c r="AK288" s="14">
        <f t="shared" si="6"/>
        <v>5.4210133846393531E-3</v>
      </c>
      <c r="AL288" s="14">
        <f t="shared" si="4"/>
        <v>6.1954438681592608E-3</v>
      </c>
      <c r="AM288" s="15">
        <f t="shared" si="4"/>
        <v>7.4345326417911122E-3</v>
      </c>
      <c r="AN288" s="15">
        <f t="shared" si="4"/>
        <v>8.6736214154229645E-3</v>
      </c>
      <c r="AO288" s="15">
        <f t="shared" si="4"/>
        <v>9.9127101890548169E-3</v>
      </c>
      <c r="AP288" s="15">
        <f t="shared" si="4"/>
        <v>1.1151798962686669E-2</v>
      </c>
      <c r="AQ288" s="15">
        <f>AQ287/$B$270</f>
        <v>1.2390887736318522E-2</v>
      </c>
      <c r="AR288" s="15">
        <f t="shared" ref="AR288:AU288" si="7">AR287/$B$270</f>
        <v>1.4869065283582224E-2</v>
      </c>
      <c r="AS288" s="15">
        <f t="shared" si="7"/>
        <v>1.7347242830845929E-2</v>
      </c>
      <c r="AT288" s="15">
        <f t="shared" si="7"/>
        <v>1.9825420378109634E-2</v>
      </c>
      <c r="AU288" s="15">
        <f t="shared" si="7"/>
        <v>2.2303597925373338E-2</v>
      </c>
      <c r="AV288" s="15">
        <f>AV287/$B$270</f>
        <v>2.4781775472637043E-2</v>
      </c>
      <c r="AW288" s="15">
        <f t="shared" ref="AW288:AZ288" si="8">AW287/$B$270</f>
        <v>2.9738130567164449E-2</v>
      </c>
      <c r="AX288" s="15">
        <f t="shared" si="8"/>
        <v>3.4694485661691858E-2</v>
      </c>
      <c r="AY288" s="15">
        <f t="shared" si="8"/>
        <v>3.9650840756219267E-2</v>
      </c>
      <c r="AZ288" s="15">
        <f t="shared" si="8"/>
        <v>4.4607195850746677E-2</v>
      </c>
      <c r="BA288" s="224">
        <f>BA287/$B$270</f>
        <v>4.9563550945274086E-2</v>
      </c>
      <c r="BB288" s="258">
        <f t="shared" ref="BB288:BF288" si="9">BB287/$B$270</f>
        <v>9.9127101890548172E-2</v>
      </c>
      <c r="BC288" s="223">
        <f t="shared" si="9"/>
        <v>0.19825420378109634</v>
      </c>
      <c r="BD288" s="223">
        <f t="shared" si="9"/>
        <v>0.39650840756219269</v>
      </c>
      <c r="BE288" s="223">
        <f t="shared" si="9"/>
        <v>0.79301681512438538</v>
      </c>
      <c r="BF288" s="178">
        <f t="shared" si="9"/>
        <v>1</v>
      </c>
      <c r="BG288" s="177">
        <f>BG287/$B$270</f>
        <v>1</v>
      </c>
      <c r="BH288" s="243">
        <f>B275</f>
        <v>7.0000000000000007E-2</v>
      </c>
      <c r="BI288" s="25"/>
      <c r="BJ288" s="25"/>
      <c r="BK288" s="69"/>
    </row>
    <row r="289" spans="1:63" x14ac:dyDescent="0.25">
      <c r="A289" s="41" t="s">
        <v>155</v>
      </c>
      <c r="B289" s="16"/>
      <c r="C289" s="16"/>
      <c r="D289" s="16"/>
      <c r="E289" s="16"/>
      <c r="F289" s="16"/>
      <c r="G289" s="16"/>
      <c r="H289" s="16"/>
      <c r="I289" s="16"/>
      <c r="J289" s="16"/>
      <c r="K289" s="16"/>
      <c r="L289" s="16"/>
      <c r="M289" s="16"/>
      <c r="N289" s="16"/>
      <c r="O289" s="16"/>
      <c r="P289" s="262">
        <f t="shared" ref="P289:Y289" si="10">MAX(P287-(P295-P296)-(P297-P298)-(P299-P300),0)</f>
        <v>25.558430925469978</v>
      </c>
      <c r="Q289" s="263">
        <f t="shared" si="10"/>
        <v>48.253729583441825</v>
      </c>
      <c r="R289" s="263">
        <f t="shared" si="10"/>
        <v>104.90319014596037</v>
      </c>
      <c r="S289" s="263">
        <f t="shared" si="10"/>
        <v>224.72190063694103</v>
      </c>
      <c r="T289" s="263">
        <f>MAX(T287-(T295-T296)-(T297-T298)-(T299-T300),0)</f>
        <v>468.16151942648673</v>
      </c>
      <c r="U289" s="263">
        <f t="shared" si="10"/>
        <v>955.08635794363818</v>
      </c>
      <c r="V289" s="263">
        <f>MAX(V287-(V295-V296)-(V297-V298)-(V299-V300),0)</f>
        <v>1950.8214285714287</v>
      </c>
      <c r="W289" s="263">
        <f t="shared" si="10"/>
        <v>3941.9387841598559</v>
      </c>
      <c r="X289" s="263">
        <f t="shared" si="10"/>
        <v>7899.3926009765419</v>
      </c>
      <c r="Y289" s="263">
        <f t="shared" si="10"/>
        <v>15815.828395301851</v>
      </c>
      <c r="Z289" s="263">
        <f>MAX(Z287-(Z295-Z296)-(Z297-Z298)-(Z299-Z300),0)</f>
        <v>31608.741071428572</v>
      </c>
      <c r="AA289" s="263">
        <f t="shared" ref="AA289:BA289" si="11">MAX(AA287-(AA295-AA296)-(AA297-AA298)-(AA299-AA300),0)</f>
        <v>63059.098214285717</v>
      </c>
      <c r="AB289" s="263">
        <f t="shared" si="11"/>
        <v>125994.22083273345</v>
      </c>
      <c r="AC289" s="263">
        <f t="shared" si="11"/>
        <v>247644.31677867728</v>
      </c>
      <c r="AD289" s="263">
        <f t="shared" si="11"/>
        <v>416172.14285714284</v>
      </c>
      <c r="AE289" s="263">
        <f t="shared" ref="AE289:AG289" si="12">MAX(AE287-(AE295-AE296)-(AE297-AE298)-(AE299-AE300),0)</f>
        <v>402226.56939406152</v>
      </c>
      <c r="AF289" s="263">
        <f t="shared" si="12"/>
        <v>399354.62073629722</v>
      </c>
      <c r="AG289" s="263">
        <f t="shared" si="12"/>
        <v>119097.53326256634</v>
      </c>
      <c r="AH289" s="263">
        <f t="shared" si="11"/>
        <v>413664.82197137375</v>
      </c>
      <c r="AI289" s="263">
        <f t="shared" ref="AI289:AK289" si="13">MAX(AI287-(AI295-AI296)-(AI297-AI298)-(AI299-AI300),0)</f>
        <v>528504.95254129253</v>
      </c>
      <c r="AJ289" s="263">
        <f t="shared" si="13"/>
        <v>63909.430513412852</v>
      </c>
      <c r="AK289" s="263">
        <f t="shared" si="13"/>
        <v>15353.280587385554</v>
      </c>
      <c r="AL289" s="263">
        <f t="shared" si="11"/>
        <v>68410.068721800286</v>
      </c>
      <c r="AM289" s="263">
        <f t="shared" ref="AM289:AP289" si="14">MAX(AM287-(AM295-AM296)-(AM297-AM298)-(AM299-AM300),0)</f>
        <v>0</v>
      </c>
      <c r="AN289" s="263">
        <f t="shared" si="14"/>
        <v>111140.88332307222</v>
      </c>
      <c r="AO289" s="263">
        <f t="shared" si="14"/>
        <v>0</v>
      </c>
      <c r="AP289" s="263">
        <f t="shared" si="14"/>
        <v>0</v>
      </c>
      <c r="AQ289" s="263">
        <f t="shared" si="11"/>
        <v>0</v>
      </c>
      <c r="AR289" s="263">
        <f t="shared" ref="AR289:AU289" si="15">MAX(AR287-(AR295-AR296)-(AR297-AR298)-(AR299-AR300),0)</f>
        <v>0</v>
      </c>
      <c r="AS289" s="263">
        <f t="shared" si="15"/>
        <v>0</v>
      </c>
      <c r="AT289" s="263">
        <f t="shared" si="15"/>
        <v>0</v>
      </c>
      <c r="AU289" s="263">
        <f t="shared" si="15"/>
        <v>0</v>
      </c>
      <c r="AV289" s="263">
        <f t="shared" si="11"/>
        <v>0</v>
      </c>
      <c r="AW289" s="263">
        <f t="shared" ref="AW289:AZ289" si="16">MAX(AW287-(AW295-AW296)-(AW297-AW298)-(AW299-AW300),0)</f>
        <v>0</v>
      </c>
      <c r="AX289" s="263">
        <f t="shared" si="16"/>
        <v>0</v>
      </c>
      <c r="AY289" s="263">
        <f t="shared" si="16"/>
        <v>0</v>
      </c>
      <c r="AZ289" s="263">
        <f t="shared" si="16"/>
        <v>0</v>
      </c>
      <c r="BA289" s="266">
        <f t="shared" si="11"/>
        <v>0</v>
      </c>
      <c r="BB289" s="240">
        <f t="shared" ref="BB289:BF289" si="17">MAX(BB287-(BB295-BB296)-(BB297-BB298)-(BB299-BB300),0)</f>
        <v>0</v>
      </c>
      <c r="BC289" s="199">
        <f t="shared" si="17"/>
        <v>0</v>
      </c>
      <c r="BD289" s="199">
        <f t="shared" si="17"/>
        <v>0</v>
      </c>
      <c r="BE289" s="199">
        <f t="shared" si="17"/>
        <v>0</v>
      </c>
      <c r="BF289" s="200">
        <f t="shared" si="17"/>
        <v>0</v>
      </c>
      <c r="BG289" s="199">
        <f>MAX(BG287-(BG295-BG296)-(BG297-BG298)-(BG299-BG300),0)</f>
        <v>0</v>
      </c>
      <c r="BH289" s="244"/>
      <c r="BI289" s="45"/>
      <c r="BJ289" s="45"/>
      <c r="BK289" s="69"/>
    </row>
    <row r="290" spans="1:63" x14ac:dyDescent="0.25">
      <c r="A290" s="41" t="s">
        <v>169</v>
      </c>
      <c r="B290" s="16"/>
      <c r="C290" s="16"/>
      <c r="D290" s="16"/>
      <c r="E290" s="16"/>
      <c r="F290" s="16"/>
      <c r="G290" s="16"/>
      <c r="H290" s="16"/>
      <c r="I290" s="16"/>
      <c r="J290" s="16"/>
      <c r="K290" s="16"/>
      <c r="L290" s="16"/>
      <c r="M290" s="16"/>
      <c r="N290" s="16"/>
      <c r="O290" s="16"/>
      <c r="P290" s="86">
        <f>MAX(P287-P289-P302,0)</f>
        <v>5.6915690745300225</v>
      </c>
      <c r="Q290" s="87">
        <f>MAX(Q287-Q289-Q302,0)</f>
        <v>14.246270416558175</v>
      </c>
      <c r="R290" s="87">
        <f t="shared" ref="R290:S290" si="18">MAX(R287-R289-R302,0)</f>
        <v>20.096809854039634</v>
      </c>
      <c r="S290" s="87">
        <f t="shared" si="18"/>
        <v>25.278099363058971</v>
      </c>
      <c r="T290" s="121">
        <f>MAX(T287-T289-T302,0)</f>
        <v>31.838480573513266</v>
      </c>
      <c r="U290" s="121">
        <f t="shared" ref="U290:BA290" si="19">MAX(U287-U289-U302,0)</f>
        <v>44.913642056361823</v>
      </c>
      <c r="V290" s="121">
        <f t="shared" si="19"/>
        <v>49.178571428571331</v>
      </c>
      <c r="W290" s="121">
        <f t="shared" si="19"/>
        <v>58.061215840144087</v>
      </c>
      <c r="X290" s="121">
        <f t="shared" si="19"/>
        <v>100.60739902345813</v>
      </c>
      <c r="Y290" s="121">
        <f t="shared" si="19"/>
        <v>184.17160469814917</v>
      </c>
      <c r="Z290" s="121">
        <f t="shared" si="19"/>
        <v>391.25892857142753</v>
      </c>
      <c r="AA290" s="121">
        <f t="shared" si="19"/>
        <v>940.9017857142826</v>
      </c>
      <c r="AB290" s="121">
        <f t="shared" si="19"/>
        <v>2003.8164999280177</v>
      </c>
      <c r="AC290" s="121">
        <f t="shared" si="19"/>
        <v>8352.2007309200126</v>
      </c>
      <c r="AD290" s="121">
        <f t="shared" si="19"/>
        <v>95813.185150823032</v>
      </c>
      <c r="AE290" s="121">
        <f t="shared" ref="AE290:AG290" si="20">MAX(AE287-AE289-AE302,0)</f>
        <v>237708.3806059385</v>
      </c>
      <c r="AF290" s="121">
        <f t="shared" si="20"/>
        <v>368476.3721062179</v>
      </c>
      <c r="AG290" s="121">
        <f t="shared" si="20"/>
        <v>776325.00484129298</v>
      </c>
      <c r="AH290" s="121">
        <f t="shared" si="19"/>
        <v>608207.46802381508</v>
      </c>
      <c r="AI290" s="121">
        <f t="shared" ref="AI290:AK290" si="21">MAX(AI287-AI289-AI302,0)</f>
        <v>767469.58759510552</v>
      </c>
      <c r="AJ290" s="121">
        <f t="shared" si="21"/>
        <v>1428365.4435969968</v>
      </c>
      <c r="AK290" s="121">
        <f t="shared" si="21"/>
        <v>1714071.9784562259</v>
      </c>
      <c r="AL290" s="121">
        <f t="shared" si="19"/>
        <v>1804161.5936246966</v>
      </c>
      <c r="AM290" s="121">
        <f t="shared" ref="AM290:AP290" si="22">MAX(AM287-AM289-AM302,0)</f>
        <v>2335740.8538090196</v>
      </c>
      <c r="AN290" s="121">
        <f t="shared" si="22"/>
        <v>2508240.9115649131</v>
      </c>
      <c r="AO290" s="121">
        <f t="shared" si="22"/>
        <v>2732643.1981325313</v>
      </c>
      <c r="AP290" s="121">
        <f t="shared" si="22"/>
        <v>3153103.2083276873</v>
      </c>
      <c r="AQ290" s="121">
        <f t="shared" si="19"/>
        <v>3564867.8868328761</v>
      </c>
      <c r="AR290" s="121">
        <f t="shared" ref="AR290:AU290" si="23">MAX(AR287-AR289-AR302,0)</f>
        <v>4372583.4978156518</v>
      </c>
      <c r="AS290" s="121">
        <f t="shared" si="23"/>
        <v>4186175.6905017169</v>
      </c>
      <c r="AT290" s="121">
        <f t="shared" si="23"/>
        <v>5144491.3861319115</v>
      </c>
      <c r="AU290" s="121">
        <f t="shared" si="23"/>
        <v>6037533.6736516561</v>
      </c>
      <c r="AV290" s="121">
        <f t="shared" si="19"/>
        <v>6894639.4975382723</v>
      </c>
      <c r="AW290" s="121">
        <f t="shared" ref="AW290:AZ290" si="24">MAX(AW287-AW289-AW302,0)</f>
        <v>8551418.5263129771</v>
      </c>
      <c r="AX290" s="121">
        <f t="shared" si="24"/>
        <v>10168274.127328666</v>
      </c>
      <c r="AY290" s="121">
        <f t="shared" si="24"/>
        <v>11764640.628327142</v>
      </c>
      <c r="AZ290" s="121">
        <f t="shared" si="24"/>
        <v>13349181.576545574</v>
      </c>
      <c r="BA290" s="122">
        <f t="shared" si="19"/>
        <v>14926314.823039871</v>
      </c>
      <c r="BB290" s="259">
        <f>MAX(BB287-BB289-BB302,0)</f>
        <v>0</v>
      </c>
      <c r="BC290" s="213">
        <f>MAX(BC287-BC289-BC302,0)</f>
        <v>0</v>
      </c>
      <c r="BD290" s="213">
        <f t="shared" ref="BD290:BG290" si="25">MAX(BD287-BD289-BD302,0)</f>
        <v>51483482.359255537</v>
      </c>
      <c r="BE290" s="213">
        <f t="shared" si="25"/>
        <v>166242957.56437671</v>
      </c>
      <c r="BF290" s="214">
        <f t="shared" si="25"/>
        <v>194000246.92252749</v>
      </c>
      <c r="BG290" s="213">
        <f t="shared" si="25"/>
        <v>116471277.23593679</v>
      </c>
      <c r="BH290" s="245"/>
      <c r="BI290" s="25"/>
      <c r="BJ290" s="25"/>
      <c r="BK290" s="69"/>
    </row>
    <row r="291" spans="1:63" x14ac:dyDescent="0.25">
      <c r="A291" s="4" t="s">
        <v>162</v>
      </c>
      <c r="B291" s="9"/>
      <c r="C291" s="9"/>
      <c r="D291" s="9"/>
      <c r="E291" s="9"/>
      <c r="F291" s="9"/>
      <c r="G291" s="9"/>
      <c r="H291" s="9"/>
      <c r="I291" s="9"/>
      <c r="J291" s="9"/>
      <c r="K291" s="9"/>
      <c r="L291" s="9"/>
      <c r="M291" s="9"/>
      <c r="N291" s="9"/>
      <c r="O291" s="5"/>
      <c r="P291" s="197">
        <f>P287/$B$274</f>
        <v>125</v>
      </c>
      <c r="Q291" s="198">
        <f t="shared" ref="Q291:BC291" si="26">Q287/$B$274</f>
        <v>250</v>
      </c>
      <c r="R291" s="198">
        <f t="shared" si="26"/>
        <v>500</v>
      </c>
      <c r="S291" s="198">
        <f t="shared" si="26"/>
        <v>1000</v>
      </c>
      <c r="T291" s="198">
        <f t="shared" si="26"/>
        <v>2000</v>
      </c>
      <c r="U291" s="198">
        <f t="shared" si="26"/>
        <v>4000</v>
      </c>
      <c r="V291" s="198">
        <f t="shared" si="26"/>
        <v>8000</v>
      </c>
      <c r="W291" s="198">
        <f t="shared" si="26"/>
        <v>16000</v>
      </c>
      <c r="X291" s="198">
        <f t="shared" si="26"/>
        <v>32000</v>
      </c>
      <c r="Y291" s="198">
        <f t="shared" si="26"/>
        <v>64000</v>
      </c>
      <c r="Z291" s="198">
        <f t="shared" si="26"/>
        <v>128000</v>
      </c>
      <c r="AA291" s="198">
        <f t="shared" si="26"/>
        <v>256000</v>
      </c>
      <c r="AB291" s="198">
        <f t="shared" si="26"/>
        <v>512000</v>
      </c>
      <c r="AC291" s="198">
        <f t="shared" si="26"/>
        <v>1024000</v>
      </c>
      <c r="AD291" s="198">
        <f t="shared" si="26"/>
        <v>2048000</v>
      </c>
      <c r="AE291" s="198">
        <f t="shared" ref="AE291:AG291" si="27">AE287/$B$274</f>
        <v>2560000</v>
      </c>
      <c r="AF291" s="198">
        <f t="shared" si="27"/>
        <v>3072000</v>
      </c>
      <c r="AG291" s="198">
        <f t="shared" si="27"/>
        <v>3584000</v>
      </c>
      <c r="AH291" s="198">
        <f t="shared" si="26"/>
        <v>4096000</v>
      </c>
      <c r="AI291" s="198">
        <f t="shared" ref="AI291:AK291" si="28">AI287/$B$274</f>
        <v>5242880</v>
      </c>
      <c r="AJ291" s="198">
        <f t="shared" si="28"/>
        <v>6144000</v>
      </c>
      <c r="AK291" s="198">
        <f t="shared" si="28"/>
        <v>7168000</v>
      </c>
      <c r="AL291" s="198">
        <f t="shared" si="26"/>
        <v>8192000</v>
      </c>
      <c r="AM291" s="198">
        <f t="shared" ref="AM291:AP291" si="29">AM287/$B$274</f>
        <v>9830400</v>
      </c>
      <c r="AN291" s="198">
        <f t="shared" si="29"/>
        <v>11468800</v>
      </c>
      <c r="AO291" s="198">
        <f t="shared" si="29"/>
        <v>13107200</v>
      </c>
      <c r="AP291" s="198">
        <f t="shared" si="29"/>
        <v>14745600</v>
      </c>
      <c r="AQ291" s="198">
        <f t="shared" si="26"/>
        <v>16384000</v>
      </c>
      <c r="AR291" s="198">
        <f t="shared" ref="AR291:AU291" si="30">AR287/$B$274</f>
        <v>19660800</v>
      </c>
      <c r="AS291" s="198">
        <f t="shared" si="30"/>
        <v>22937600</v>
      </c>
      <c r="AT291" s="198">
        <f t="shared" si="30"/>
        <v>26214400</v>
      </c>
      <c r="AU291" s="198">
        <f t="shared" si="30"/>
        <v>29491200</v>
      </c>
      <c r="AV291" s="198">
        <f t="shared" si="26"/>
        <v>32768000</v>
      </c>
      <c r="AW291" s="198">
        <f t="shared" ref="AW291:AZ291" si="31">AW287/$B$274</f>
        <v>39321600</v>
      </c>
      <c r="AX291" s="198">
        <f t="shared" si="31"/>
        <v>45875200</v>
      </c>
      <c r="AY291" s="198">
        <f t="shared" si="31"/>
        <v>52428800</v>
      </c>
      <c r="AZ291" s="198">
        <f t="shared" si="31"/>
        <v>58982400</v>
      </c>
      <c r="BA291" s="198">
        <f t="shared" si="26"/>
        <v>65536000</v>
      </c>
      <c r="BB291" s="238">
        <f t="shared" si="26"/>
        <v>131072000</v>
      </c>
      <c r="BC291" s="208">
        <f t="shared" si="26"/>
        <v>262144000</v>
      </c>
      <c r="BD291" s="208">
        <f>$B$270</f>
        <v>330565500</v>
      </c>
      <c r="BE291" s="208">
        <f t="shared" ref="BE291:BF291" si="32">$B$270</f>
        <v>330565500</v>
      </c>
      <c r="BF291" s="209">
        <f t="shared" si="32"/>
        <v>330565500</v>
      </c>
      <c r="BG291" s="199">
        <f>BG287</f>
        <v>330565500</v>
      </c>
      <c r="BH291" s="244">
        <f>($B$270*$B$275)/$B$274</f>
        <v>92558340.000000015</v>
      </c>
      <c r="BI291" s="25"/>
      <c r="BJ291" s="25"/>
      <c r="BK291" s="69"/>
    </row>
    <row r="292" spans="1:63" x14ac:dyDescent="0.25">
      <c r="A292" s="41" t="s">
        <v>111</v>
      </c>
      <c r="B292" s="16"/>
      <c r="C292" s="16"/>
      <c r="D292" s="16"/>
      <c r="E292" s="16"/>
      <c r="F292" s="16"/>
      <c r="G292" s="16"/>
      <c r="H292" s="16"/>
      <c r="I292" s="16"/>
      <c r="J292" s="16"/>
      <c r="K292" s="16"/>
      <c r="L292" s="16"/>
      <c r="M292" s="16"/>
      <c r="N292" s="16"/>
      <c r="O292" s="17"/>
      <c r="P292" s="195">
        <f>P291/$B$270</f>
        <v>3.7813988453120488E-7</v>
      </c>
      <c r="Q292" s="196">
        <f t="shared" ref="Q292:AV292" si="33">Q291/$B$270</f>
        <v>7.5627976906240976E-7</v>
      </c>
      <c r="R292" s="196">
        <f t="shared" si="33"/>
        <v>1.5125595381248195E-6</v>
      </c>
      <c r="S292" s="66">
        <f t="shared" si="33"/>
        <v>3.025119076249639E-6</v>
      </c>
      <c r="T292" s="66">
        <f t="shared" si="33"/>
        <v>6.0502381524992781E-6</v>
      </c>
      <c r="U292" s="66">
        <f t="shared" si="33"/>
        <v>1.2100476304998556E-5</v>
      </c>
      <c r="V292" s="66">
        <f t="shared" si="33"/>
        <v>2.4200952609997112E-5</v>
      </c>
      <c r="W292" s="66">
        <f t="shared" si="33"/>
        <v>4.8401905219994225E-5</v>
      </c>
      <c r="X292" s="36">
        <f t="shared" si="33"/>
        <v>9.6803810439988449E-5</v>
      </c>
      <c r="Y292" s="36">
        <f t="shared" si="33"/>
        <v>1.936076208799769E-4</v>
      </c>
      <c r="Z292" s="36">
        <f t="shared" si="33"/>
        <v>3.872152417599538E-4</v>
      </c>
      <c r="AA292" s="36">
        <f t="shared" si="33"/>
        <v>7.7443048351990759E-4</v>
      </c>
      <c r="AB292" s="14">
        <f t="shared" si="33"/>
        <v>1.5488609670398152E-3</v>
      </c>
      <c r="AC292" s="15">
        <f t="shared" si="33"/>
        <v>3.0977219340796304E-3</v>
      </c>
      <c r="AD292" s="15">
        <f t="shared" si="33"/>
        <v>6.1954438681592608E-3</v>
      </c>
      <c r="AE292" s="15">
        <f t="shared" ref="AE292:AG292" si="34">AE291/$B$270</f>
        <v>7.7443048351990753E-3</v>
      </c>
      <c r="AF292" s="15">
        <f t="shared" si="34"/>
        <v>9.2931658022388907E-3</v>
      </c>
      <c r="AG292" s="15">
        <f t="shared" si="34"/>
        <v>1.0842026769278706E-2</v>
      </c>
      <c r="AH292" s="15">
        <f t="shared" si="33"/>
        <v>1.2390887736318522E-2</v>
      </c>
      <c r="AI292" s="15">
        <f t="shared" ref="AI292:AK292" si="35">AI291/$B$270</f>
        <v>1.5860336302487708E-2</v>
      </c>
      <c r="AJ292" s="15">
        <f t="shared" si="35"/>
        <v>1.8586331604477781E-2</v>
      </c>
      <c r="AK292" s="15">
        <f t="shared" si="35"/>
        <v>2.1684053538557412E-2</v>
      </c>
      <c r="AL292" s="15">
        <f t="shared" si="33"/>
        <v>2.4781775472637043E-2</v>
      </c>
      <c r="AM292" s="15">
        <f t="shared" ref="AM292:AP292" si="36">AM291/$B$270</f>
        <v>2.9738130567164449E-2</v>
      </c>
      <c r="AN292" s="15">
        <f t="shared" si="36"/>
        <v>3.4694485661691858E-2</v>
      </c>
      <c r="AO292" s="15">
        <f t="shared" si="36"/>
        <v>3.9650840756219267E-2</v>
      </c>
      <c r="AP292" s="15">
        <f t="shared" si="36"/>
        <v>4.4607195850746677E-2</v>
      </c>
      <c r="AQ292" s="15">
        <f t="shared" si="33"/>
        <v>4.9563550945274086E-2</v>
      </c>
      <c r="AR292" s="75">
        <f t="shared" ref="AR292:AU292" si="37">AR291/$B$270</f>
        <v>5.9476261134328898E-2</v>
      </c>
      <c r="AS292" s="75">
        <f t="shared" si="37"/>
        <v>6.9388971323383716E-2</v>
      </c>
      <c r="AT292" s="75">
        <f t="shared" si="37"/>
        <v>7.9301681512438535E-2</v>
      </c>
      <c r="AU292" s="75">
        <f t="shared" si="37"/>
        <v>8.9214391701493354E-2</v>
      </c>
      <c r="AV292" s="75">
        <f t="shared" si="33"/>
        <v>9.9127101890548172E-2</v>
      </c>
      <c r="AW292" s="75">
        <f t="shared" ref="AW292:AZ292" si="38">AW291/$B$270</f>
        <v>0.1189525222686578</v>
      </c>
      <c r="AX292" s="75">
        <f t="shared" si="38"/>
        <v>0.13877794264676743</v>
      </c>
      <c r="AY292" s="75">
        <f t="shared" si="38"/>
        <v>0.15860336302487707</v>
      </c>
      <c r="AZ292" s="75">
        <f t="shared" si="38"/>
        <v>0.17842878340298671</v>
      </c>
      <c r="BA292" s="75">
        <f>BA291/$B$270</f>
        <v>0.19825420378109634</v>
      </c>
      <c r="BB292" s="239">
        <f t="shared" ref="BB292:BF292" si="39">BB291/$B$270</f>
        <v>0.39650840756219269</v>
      </c>
      <c r="BC292" s="177">
        <f t="shared" si="39"/>
        <v>0.79301681512438538</v>
      </c>
      <c r="BD292" s="177">
        <f t="shared" si="39"/>
        <v>1</v>
      </c>
      <c r="BE292" s="177">
        <f t="shared" si="39"/>
        <v>1</v>
      </c>
      <c r="BF292" s="178">
        <f t="shared" si="39"/>
        <v>1</v>
      </c>
      <c r="BG292" s="177">
        <v>1</v>
      </c>
      <c r="BH292" s="243">
        <f>BH291/B270</f>
        <v>0.28000000000000003</v>
      </c>
      <c r="BI292" s="25"/>
      <c r="BJ292" s="25"/>
      <c r="BK292" s="69"/>
    </row>
    <row r="293" spans="1:63" x14ac:dyDescent="0.25">
      <c r="A293" s="41" t="s">
        <v>160</v>
      </c>
      <c r="B293" s="16"/>
      <c r="C293" s="16"/>
      <c r="D293" s="16"/>
      <c r="E293" s="16"/>
      <c r="F293" s="16"/>
      <c r="G293" s="16"/>
      <c r="H293" s="16"/>
      <c r="I293" s="16"/>
      <c r="J293" s="16"/>
      <c r="K293" s="16"/>
      <c r="L293" s="16"/>
      <c r="M293" s="16"/>
      <c r="N293" s="16"/>
      <c r="O293" s="17"/>
      <c r="P293" s="197">
        <f>P291-P287</f>
        <v>93.75</v>
      </c>
      <c r="Q293" s="198">
        <f t="shared" ref="Q293:AU293" si="40">Q291-Q287</f>
        <v>187.5</v>
      </c>
      <c r="R293" s="198">
        <f t="shared" si="40"/>
        <v>375</v>
      </c>
      <c r="S293" s="198">
        <f t="shared" si="40"/>
        <v>750</v>
      </c>
      <c r="T293" s="198">
        <f>T291-T287</f>
        <v>1500</v>
      </c>
      <c r="U293" s="198">
        <f t="shared" si="40"/>
        <v>3000</v>
      </c>
      <c r="V293" s="198">
        <f t="shared" si="40"/>
        <v>6000</v>
      </c>
      <c r="W293" s="198">
        <f t="shared" si="40"/>
        <v>12000</v>
      </c>
      <c r="X293" s="198">
        <f t="shared" si="40"/>
        <v>24000</v>
      </c>
      <c r="Y293" s="198">
        <f t="shared" si="40"/>
        <v>48000</v>
      </c>
      <c r="Z293" s="198">
        <f t="shared" si="40"/>
        <v>96000</v>
      </c>
      <c r="AA293" s="198">
        <f t="shared" si="40"/>
        <v>192000</v>
      </c>
      <c r="AB293" s="198">
        <f t="shared" si="40"/>
        <v>384000</v>
      </c>
      <c r="AC293" s="198">
        <f t="shared" si="40"/>
        <v>768000</v>
      </c>
      <c r="AD293" s="198">
        <f t="shared" si="40"/>
        <v>1536000</v>
      </c>
      <c r="AE293" s="198">
        <f t="shared" ref="AE293:AG293" si="41">AE291-AE287</f>
        <v>1920000</v>
      </c>
      <c r="AF293" s="198">
        <f t="shared" si="41"/>
        <v>2304000</v>
      </c>
      <c r="AG293" s="198">
        <f t="shared" si="41"/>
        <v>2688000</v>
      </c>
      <c r="AH293" s="198">
        <f t="shared" si="40"/>
        <v>3072000</v>
      </c>
      <c r="AI293" s="198">
        <f t="shared" ref="AI293:AK293" si="42">AI291-AI287</f>
        <v>3932160</v>
      </c>
      <c r="AJ293" s="198">
        <f t="shared" si="42"/>
        <v>4608000</v>
      </c>
      <c r="AK293" s="198">
        <f t="shared" si="42"/>
        <v>5376000</v>
      </c>
      <c r="AL293" s="198">
        <f t="shared" si="40"/>
        <v>6144000</v>
      </c>
      <c r="AM293" s="198">
        <f t="shared" ref="AM293:AP293" si="43">AM291-AM287</f>
        <v>7372800</v>
      </c>
      <c r="AN293" s="198">
        <f t="shared" si="43"/>
        <v>8601600</v>
      </c>
      <c r="AO293" s="198">
        <f t="shared" si="43"/>
        <v>9830400</v>
      </c>
      <c r="AP293" s="198">
        <f t="shared" si="43"/>
        <v>11059200</v>
      </c>
      <c r="AQ293" s="198">
        <f t="shared" si="40"/>
        <v>12288000</v>
      </c>
      <c r="AR293" s="198">
        <f t="shared" si="40"/>
        <v>14745600</v>
      </c>
      <c r="AS293" s="198">
        <f t="shared" si="40"/>
        <v>17203200</v>
      </c>
      <c r="AT293" s="198">
        <f t="shared" si="40"/>
        <v>19660800</v>
      </c>
      <c r="AU293" s="198">
        <f t="shared" si="40"/>
        <v>22118400</v>
      </c>
      <c r="AV293" s="198">
        <f>AV291-AV287</f>
        <v>24576000</v>
      </c>
      <c r="AW293" s="198">
        <f t="shared" ref="AW293:AZ293" si="44">AW291-AW287</f>
        <v>29491200</v>
      </c>
      <c r="AX293" s="198">
        <f t="shared" si="44"/>
        <v>34406400</v>
      </c>
      <c r="AY293" s="198">
        <f t="shared" si="44"/>
        <v>39321600</v>
      </c>
      <c r="AZ293" s="198">
        <f t="shared" si="44"/>
        <v>44236800</v>
      </c>
      <c r="BA293" s="198">
        <f>BA291-BA287</f>
        <v>49152000</v>
      </c>
      <c r="BB293" s="240">
        <f>BB291-BB287</f>
        <v>98304000</v>
      </c>
      <c r="BC293" s="199">
        <f t="shared" ref="BC293:BF293" si="45">BC291</f>
        <v>262144000</v>
      </c>
      <c r="BD293" s="199">
        <f t="shared" si="45"/>
        <v>330565500</v>
      </c>
      <c r="BE293" s="199">
        <f t="shared" si="45"/>
        <v>330565500</v>
      </c>
      <c r="BF293" s="200">
        <f t="shared" si="45"/>
        <v>330565500</v>
      </c>
      <c r="BG293" s="199">
        <f>BG291</f>
        <v>330565500</v>
      </c>
      <c r="BH293" s="246">
        <f>BH291-BH287</f>
        <v>69418755.000000015</v>
      </c>
      <c r="BI293" s="25"/>
      <c r="BJ293" s="25"/>
      <c r="BK293" s="69"/>
    </row>
    <row r="294" spans="1:63" x14ac:dyDescent="0.25">
      <c r="A294" s="37" t="s">
        <v>161</v>
      </c>
      <c r="B294" s="39"/>
      <c r="C294" s="39"/>
      <c r="D294" s="39"/>
      <c r="E294" s="39"/>
      <c r="F294" s="39"/>
      <c r="G294" s="39"/>
      <c r="H294" s="39"/>
      <c r="I294" s="39"/>
      <c r="J294" s="39"/>
      <c r="K294" s="39"/>
      <c r="L294" s="39"/>
      <c r="M294" s="39"/>
      <c r="N294" s="39"/>
      <c r="O294" s="63"/>
      <c r="P294" s="206">
        <f>MIN((1/$B$274)*(2^(((P286 - 14) - $B$283)/$P$312)),P293)</f>
        <v>28.106513948296403</v>
      </c>
      <c r="Q294" s="207">
        <f>MIN((1/$B$274)*(2^(((Q286 - 14) - $B$283)/$P$312)),Q293)</f>
        <v>70.351952674361343</v>
      </c>
      <c r="R294" s="207">
        <f>MIN((1/$B$274)*(2^(((R286 - 14) - $B$283)/$P$312)),R293)</f>
        <v>99.243505452047543</v>
      </c>
      <c r="S294" s="207">
        <f>MIN((1/$B$274)*(2^(((S286 - 14) - $B$283)/$P$312)),S293)</f>
        <v>124.83012031140233</v>
      </c>
      <c r="T294" s="198">
        <f t="shared" ref="T294:AV294" si="46">MIN(($P$287/$B$274)*(2^(((T286 - 14) - $P$286)/HLOOKUP((T286-14)-$B$283,$P$310:$BH$312,3,TRUE))),T293)</f>
        <v>157.2270645605592</v>
      </c>
      <c r="U294" s="198">
        <f t="shared" si="46"/>
        <v>221.79576324129278</v>
      </c>
      <c r="V294" s="198">
        <f t="shared" si="46"/>
        <v>242.85714285714283</v>
      </c>
      <c r="W294" s="198">
        <f t="shared" si="46"/>
        <v>286.72205353157619</v>
      </c>
      <c r="X294" s="198">
        <f t="shared" si="46"/>
        <v>496.82666184423732</v>
      </c>
      <c r="Y294" s="198">
        <f t="shared" si="46"/>
        <v>909.48940591678559</v>
      </c>
      <c r="Z294" s="198">
        <f t="shared" si="46"/>
        <v>1932.1428571428567</v>
      </c>
      <c r="AA294" s="198">
        <f t="shared" si="46"/>
        <v>4646.4285714285706</v>
      </c>
      <c r="AB294" s="198">
        <f t="shared" si="46"/>
        <v>9896.4285714285688</v>
      </c>
      <c r="AC294" s="198">
        <f t="shared" si="46"/>
        <v>41247.278295761651</v>
      </c>
      <c r="AD294" s="198">
        <f t="shared" si="46"/>
        <v>445671.42857142864</v>
      </c>
      <c r="AE294" s="198">
        <f t="shared" si="46"/>
        <v>1105842.0542919717</v>
      </c>
      <c r="AF294" s="198">
        <f t="shared" si="46"/>
        <v>1714315.1361102455</v>
      </c>
      <c r="AG294" s="198">
        <f t="shared" si="46"/>
        <v>2688000</v>
      </c>
      <c r="AH294" s="198">
        <f t="shared" si="46"/>
        <v>2836091.5257145409</v>
      </c>
      <c r="AI294" s="198">
        <f t="shared" si="46"/>
        <v>3578311.3196198083</v>
      </c>
      <c r="AJ294" s="198">
        <f t="shared" si="46"/>
        <v>4608000</v>
      </c>
      <c r="AK294" s="198">
        <f t="shared" si="46"/>
        <v>5376000</v>
      </c>
      <c r="AL294" s="198">
        <f t="shared" si="46"/>
        <v>6144000</v>
      </c>
      <c r="AM294" s="198">
        <f t="shared" si="46"/>
        <v>7372800</v>
      </c>
      <c r="AN294" s="198">
        <f t="shared" si="46"/>
        <v>8601600</v>
      </c>
      <c r="AO294" s="198">
        <f t="shared" si="46"/>
        <v>9830400</v>
      </c>
      <c r="AP294" s="198">
        <f t="shared" si="46"/>
        <v>11059200</v>
      </c>
      <c r="AQ294" s="198">
        <f t="shared" si="46"/>
        <v>12288000</v>
      </c>
      <c r="AR294" s="198">
        <f t="shared" si="46"/>
        <v>14745600</v>
      </c>
      <c r="AS294" s="198">
        <f t="shared" si="46"/>
        <v>17203200</v>
      </c>
      <c r="AT294" s="198">
        <f t="shared" si="46"/>
        <v>19660800</v>
      </c>
      <c r="AU294" s="198">
        <f t="shared" si="46"/>
        <v>22118400</v>
      </c>
      <c r="AV294" s="198">
        <f t="shared" si="46"/>
        <v>24576000</v>
      </c>
      <c r="AW294" s="198">
        <f t="shared" ref="AW294:AZ294" si="47">MIN(($P$287/$B$274)*(2^(((AW286 - 14) - $P$286)/HLOOKUP((AW286-14)-$B$283,$P$310:$BH$312,3,TRUE))),AW293)</f>
        <v>29491200</v>
      </c>
      <c r="AX294" s="198">
        <f t="shared" si="47"/>
        <v>34406400</v>
      </c>
      <c r="AY294" s="198">
        <f t="shared" si="47"/>
        <v>39321600</v>
      </c>
      <c r="AZ294" s="198">
        <f t="shared" si="47"/>
        <v>44236800</v>
      </c>
      <c r="BA294" s="198">
        <f t="shared" ref="BA294:BG294" si="48">MIN(($P$287/$B$274)*(2^(((BA286 - 14) - $P$286)/HLOOKUP((BA286-14)-$B$283,$P$310:$BH$312,3,TRUE))),BA293)</f>
        <v>49152000</v>
      </c>
      <c r="BB294" s="241">
        <f t="shared" si="48"/>
        <v>98304000</v>
      </c>
      <c r="BC294" s="203">
        <f t="shared" si="48"/>
        <v>262144000</v>
      </c>
      <c r="BD294" s="203">
        <f t="shared" si="48"/>
        <v>330565500</v>
      </c>
      <c r="BE294" s="203">
        <f t="shared" si="48"/>
        <v>330565500</v>
      </c>
      <c r="BF294" s="204">
        <f t="shared" si="48"/>
        <v>330565500</v>
      </c>
      <c r="BG294" s="203">
        <f t="shared" si="48"/>
        <v>330565500</v>
      </c>
      <c r="BH294" s="246"/>
      <c r="BI294" s="25"/>
      <c r="BJ294" s="25"/>
      <c r="BK294" s="69"/>
    </row>
    <row r="295" spans="1:63" x14ac:dyDescent="0.25">
      <c r="A295" s="41" t="s">
        <v>158</v>
      </c>
      <c r="B295" s="16"/>
      <c r="C295" s="16"/>
      <c r="D295" s="16"/>
      <c r="E295" s="16"/>
      <c r="F295" s="16"/>
      <c r="G295" s="16"/>
      <c r="H295" s="16"/>
      <c r="I295" s="16"/>
      <c r="J295" s="16"/>
      <c r="K295" s="16"/>
      <c r="L295" s="16"/>
      <c r="M295" s="16"/>
      <c r="N295" s="16"/>
      <c r="O295" s="16"/>
      <c r="P295" s="215">
        <f t="shared" ref="P295:BG295" si="49">P287*$B$279</f>
        <v>25.3125</v>
      </c>
      <c r="Q295" s="216">
        <f t="shared" si="49"/>
        <v>50.625</v>
      </c>
      <c r="R295" s="216">
        <f t="shared" si="49"/>
        <v>101.25</v>
      </c>
      <c r="S295" s="216">
        <f t="shared" si="49"/>
        <v>202.5</v>
      </c>
      <c r="T295" s="216">
        <f t="shared" si="49"/>
        <v>405</v>
      </c>
      <c r="U295" s="216">
        <f t="shared" si="49"/>
        <v>810</v>
      </c>
      <c r="V295" s="216">
        <f t="shared" si="49"/>
        <v>1620</v>
      </c>
      <c r="W295" s="216">
        <f t="shared" si="49"/>
        <v>3240</v>
      </c>
      <c r="X295" s="216">
        <f t="shared" si="49"/>
        <v>6480</v>
      </c>
      <c r="Y295" s="216">
        <f t="shared" si="49"/>
        <v>12960</v>
      </c>
      <c r="Z295" s="216">
        <f t="shared" si="49"/>
        <v>25920</v>
      </c>
      <c r="AA295" s="216">
        <f t="shared" si="49"/>
        <v>51840</v>
      </c>
      <c r="AB295" s="216">
        <f t="shared" si="49"/>
        <v>103680</v>
      </c>
      <c r="AC295" s="216">
        <f t="shared" si="49"/>
        <v>207360</v>
      </c>
      <c r="AD295" s="216">
        <f t="shared" si="49"/>
        <v>414720</v>
      </c>
      <c r="AE295" s="216">
        <f t="shared" ref="AE295:AG295" si="50">AE287*$B$279</f>
        <v>518400.00000000006</v>
      </c>
      <c r="AF295" s="216">
        <f t="shared" si="50"/>
        <v>622080</v>
      </c>
      <c r="AG295" s="216">
        <f t="shared" si="50"/>
        <v>725760</v>
      </c>
      <c r="AH295" s="216">
        <f t="shared" si="49"/>
        <v>829440</v>
      </c>
      <c r="AI295" s="216">
        <f t="shared" ref="AI295:AK295" si="51">AI287*$B$279</f>
        <v>1061683.2000000002</v>
      </c>
      <c r="AJ295" s="216">
        <f t="shared" si="51"/>
        <v>1244160</v>
      </c>
      <c r="AK295" s="216">
        <f t="shared" si="51"/>
        <v>1451520</v>
      </c>
      <c r="AL295" s="216">
        <f t="shared" si="49"/>
        <v>1658880</v>
      </c>
      <c r="AM295" s="216">
        <f t="shared" ref="AM295:AP295" si="52">AM287*$B$279</f>
        <v>1990656.0000000002</v>
      </c>
      <c r="AN295" s="216">
        <f t="shared" si="52"/>
        <v>2322432</v>
      </c>
      <c r="AO295" s="216">
        <f t="shared" si="52"/>
        <v>2654208</v>
      </c>
      <c r="AP295" s="216">
        <f t="shared" si="52"/>
        <v>2985984</v>
      </c>
      <c r="AQ295" s="216">
        <f t="shared" si="49"/>
        <v>3317760</v>
      </c>
      <c r="AR295" s="216">
        <f t="shared" ref="AR295:AU295" si="53">AR287*$B$279</f>
        <v>3981312.0000000005</v>
      </c>
      <c r="AS295" s="216">
        <f t="shared" si="53"/>
        <v>4644864</v>
      </c>
      <c r="AT295" s="216">
        <f t="shared" si="53"/>
        <v>5308416</v>
      </c>
      <c r="AU295" s="216">
        <f t="shared" si="53"/>
        <v>5971968</v>
      </c>
      <c r="AV295" s="216">
        <f t="shared" si="49"/>
        <v>6635520</v>
      </c>
      <c r="AW295" s="216">
        <f t="shared" ref="AW295:AZ295" si="54">AW287*$B$279</f>
        <v>7962624.0000000009</v>
      </c>
      <c r="AX295" s="216">
        <f t="shared" si="54"/>
        <v>9289728</v>
      </c>
      <c r="AY295" s="216">
        <f t="shared" si="54"/>
        <v>10616832</v>
      </c>
      <c r="AZ295" s="216">
        <f t="shared" si="54"/>
        <v>11943936</v>
      </c>
      <c r="BA295" s="216">
        <f t="shared" si="49"/>
        <v>13271040</v>
      </c>
      <c r="BB295" s="238">
        <f t="shared" ref="BB295:BF295" si="55">BB287*$B$279</f>
        <v>26542080</v>
      </c>
      <c r="BC295" s="208">
        <f t="shared" si="55"/>
        <v>53084160</v>
      </c>
      <c r="BD295" s="208">
        <f t="shared" si="55"/>
        <v>106168320</v>
      </c>
      <c r="BE295" s="208">
        <f t="shared" si="55"/>
        <v>212336640</v>
      </c>
      <c r="BF295" s="209">
        <f t="shared" si="55"/>
        <v>267758055.00000003</v>
      </c>
      <c r="BG295" s="199">
        <f t="shared" si="49"/>
        <v>267758055.00000003</v>
      </c>
      <c r="BH295" s="246">
        <f>BH287*B279</f>
        <v>18743063.850000005</v>
      </c>
      <c r="BI295" s="25"/>
      <c r="BJ295" s="25"/>
      <c r="BK295" s="69"/>
    </row>
    <row r="296" spans="1:63" x14ac:dyDescent="0.25">
      <c r="A296" s="41" t="s">
        <v>170</v>
      </c>
      <c r="B296" s="16"/>
      <c r="C296" s="16"/>
      <c r="D296" s="16"/>
      <c r="E296" s="16"/>
      <c r="F296" s="16"/>
      <c r="G296" s="16"/>
      <c r="H296" s="16"/>
      <c r="I296" s="16"/>
      <c r="J296" s="16"/>
      <c r="K296" s="16"/>
      <c r="L296" s="16"/>
      <c r="M296" s="16"/>
      <c r="N296" s="16"/>
      <c r="O296" s="16"/>
      <c r="P296" s="206">
        <f>P295-(1*$B$279)*(2^(((P286 - 14) - $B$283)/$P$312))</f>
        <v>19.620930925469978</v>
      </c>
      <c r="Q296" s="207">
        <f>Q295-(1*$B$279)*(2^(((Q286 - 14) - $B$283)/$P$312))</f>
        <v>36.378729583441825</v>
      </c>
      <c r="R296" s="207">
        <f>R295-(1*$B$279)*(2^(((R286 - 14) - $B$283)/$P$312))</f>
        <v>81.153190145960366</v>
      </c>
      <c r="S296" s="207">
        <f>S295-(1*$B$279)*(2^(((S286 - 14) - $B$283)/$P$312))</f>
        <v>177.22190063694103</v>
      </c>
      <c r="T296" s="205">
        <f t="shared" ref="T296:AV296" si="56">MAX(T295-(($P$287*$B$279)*(2^(((T286 -14) - $P$286)/HLOOKUP((T286-14)-$B$283,$P$310:$BH$312,3,TRUE)))),0)</f>
        <v>373.16151942648673</v>
      </c>
      <c r="U296" s="205">
        <f t="shared" si="56"/>
        <v>765.08635794363818</v>
      </c>
      <c r="V296" s="205">
        <f t="shared" si="56"/>
        <v>1570.8214285714287</v>
      </c>
      <c r="W296" s="205">
        <f t="shared" si="56"/>
        <v>3181.9387841598559</v>
      </c>
      <c r="X296" s="205">
        <f t="shared" si="56"/>
        <v>6379.3926009765419</v>
      </c>
      <c r="Y296" s="205">
        <f t="shared" si="56"/>
        <v>12775.828395301851</v>
      </c>
      <c r="Z296" s="205">
        <f t="shared" si="56"/>
        <v>25528.741071428572</v>
      </c>
      <c r="AA296" s="205">
        <f t="shared" si="56"/>
        <v>50899.098214285717</v>
      </c>
      <c r="AB296" s="205">
        <f t="shared" si="56"/>
        <v>101675.97321428571</v>
      </c>
      <c r="AC296" s="205">
        <f t="shared" si="56"/>
        <v>199007.42614510827</v>
      </c>
      <c r="AD296" s="205">
        <f t="shared" si="56"/>
        <v>324471.53571428568</v>
      </c>
      <c r="AE296" s="205">
        <f t="shared" si="56"/>
        <v>294466.98400587577</v>
      </c>
      <c r="AF296" s="205">
        <f t="shared" si="56"/>
        <v>274931.18493767531</v>
      </c>
      <c r="AG296" s="205">
        <f t="shared" si="56"/>
        <v>0</v>
      </c>
      <c r="AH296" s="205">
        <f t="shared" si="56"/>
        <v>255131.46604280546</v>
      </c>
      <c r="AI296" s="205">
        <f t="shared" si="56"/>
        <v>337075.15777698904</v>
      </c>
      <c r="AJ296" s="205">
        <f t="shared" si="56"/>
        <v>0</v>
      </c>
      <c r="AK296" s="205">
        <f t="shared" si="56"/>
        <v>0</v>
      </c>
      <c r="AL296" s="205">
        <f t="shared" si="56"/>
        <v>0</v>
      </c>
      <c r="AM296" s="205">
        <f t="shared" si="56"/>
        <v>0</v>
      </c>
      <c r="AN296" s="205">
        <f t="shared" si="56"/>
        <v>0</v>
      </c>
      <c r="AO296" s="205">
        <f t="shared" si="56"/>
        <v>0</v>
      </c>
      <c r="AP296" s="205">
        <f t="shared" si="56"/>
        <v>9023.2525677387603</v>
      </c>
      <c r="AQ296" s="205">
        <f t="shared" si="56"/>
        <v>34813.739005898591</v>
      </c>
      <c r="AR296" s="205">
        <f t="shared" si="56"/>
        <v>0</v>
      </c>
      <c r="AS296" s="205">
        <f t="shared" si="56"/>
        <v>0</v>
      </c>
      <c r="AT296" s="205">
        <f t="shared" si="56"/>
        <v>0</v>
      </c>
      <c r="AU296" s="205">
        <f t="shared" si="56"/>
        <v>0</v>
      </c>
      <c r="AV296" s="205">
        <f t="shared" si="56"/>
        <v>0</v>
      </c>
      <c r="AW296" s="205">
        <f t="shared" ref="AW296:AZ296" si="57">MAX(AW295-(($P$287*$B$279)*(2^(((AW286 -14) - $P$286)/HLOOKUP((AW286-14)-$B$283,$P$310:$BH$312,3,TRUE)))),0)</f>
        <v>0</v>
      </c>
      <c r="AX296" s="205">
        <f t="shared" si="57"/>
        <v>0</v>
      </c>
      <c r="AY296" s="205">
        <f t="shared" si="57"/>
        <v>0</v>
      </c>
      <c r="AZ296" s="205">
        <f t="shared" si="57"/>
        <v>0</v>
      </c>
      <c r="BA296" s="205">
        <f t="shared" ref="BA296:BG296" si="58">MAX(BA295-(($P$287*$B$279)*(2^(((BA286 -14) - $P$286)/HLOOKUP((BA286-14)-$B$283,$P$310:$BH$312,3,TRUE)))),0)</f>
        <v>0</v>
      </c>
      <c r="BB296" s="241">
        <f t="shared" si="58"/>
        <v>0</v>
      </c>
      <c r="BC296" s="203">
        <f t="shared" si="58"/>
        <v>0</v>
      </c>
      <c r="BD296" s="203">
        <f t="shared" si="58"/>
        <v>0</v>
      </c>
      <c r="BE296" s="203">
        <f t="shared" si="58"/>
        <v>0</v>
      </c>
      <c r="BF296" s="204">
        <f t="shared" si="58"/>
        <v>0</v>
      </c>
      <c r="BG296" s="199">
        <f t="shared" si="58"/>
        <v>0</v>
      </c>
      <c r="BH296" s="244"/>
      <c r="BI296" s="25"/>
      <c r="BJ296" s="25"/>
      <c r="BK296" s="69"/>
    </row>
    <row r="297" spans="1:63" x14ac:dyDescent="0.25">
      <c r="A297" s="62" t="s">
        <v>109</v>
      </c>
      <c r="B297" s="9"/>
      <c r="C297" s="9"/>
      <c r="D297" s="9"/>
      <c r="E297" s="9"/>
      <c r="F297" s="9"/>
      <c r="G297" s="9"/>
      <c r="H297" s="9"/>
      <c r="I297" s="9"/>
      <c r="J297" s="9"/>
      <c r="K297" s="9"/>
      <c r="L297" s="9"/>
      <c r="M297" s="9"/>
      <c r="N297" s="9"/>
      <c r="O297" s="5"/>
      <c r="P297" s="225">
        <f>(1*($B$280+$B$281))*(2^(((P286 - 7) - $B$283)/$P$312))</f>
        <v>2.9796216359494587</v>
      </c>
      <c r="Q297" s="211">
        <f t="shared" ref="Q297:AV297" si="59">($P$287*($B$280+$B$281))*(2^(((Q286-7)-$P$286)/HLOOKUP((Q286-7)-$B$283,$P$310:$BH$312,3,TRUE)))</f>
        <v>6.6590498985850246</v>
      </c>
      <c r="R297" s="211">
        <f t="shared" si="59"/>
        <v>9.3937329355254953</v>
      </c>
      <c r="S297" s="211">
        <f t="shared" si="59"/>
        <v>11.815592437748149</v>
      </c>
      <c r="T297" s="211">
        <f t="shared" si="59"/>
        <v>12.534285987853202</v>
      </c>
      <c r="U297" s="211">
        <f t="shared" si="59"/>
        <v>23.599266437601273</v>
      </c>
      <c r="V297" s="211">
        <f t="shared" si="59"/>
        <v>49.779972972921911</v>
      </c>
      <c r="W297" s="211">
        <f t="shared" si="59"/>
        <v>108.90640436467176</v>
      </c>
      <c r="X297" s="211">
        <f t="shared" si="59"/>
        <v>220.70535714285711</v>
      </c>
      <c r="Y297" s="211">
        <f t="shared" si="59"/>
        <v>322.92231652302479</v>
      </c>
      <c r="Z297" s="211">
        <f t="shared" si="59"/>
        <v>573.4171414665534</v>
      </c>
      <c r="AA297" s="211">
        <f t="shared" si="59"/>
        <v>1580.5624999999989</v>
      </c>
      <c r="AB297" s="211">
        <f t="shared" si="59"/>
        <v>4157.3376801210561</v>
      </c>
      <c r="AC297" s="211">
        <f t="shared" si="59"/>
        <v>14709.910600081001</v>
      </c>
      <c r="AD297" s="211">
        <f t="shared" si="59"/>
        <v>65577.889617991445</v>
      </c>
      <c r="AE297" s="211">
        <f t="shared" si="59"/>
        <v>155906.69596672634</v>
      </c>
      <c r="AF297" s="282">
        <f t="shared" si="59"/>
        <v>111083.1714562041</v>
      </c>
      <c r="AG297" s="282">
        <f t="shared" si="59"/>
        <v>132795.09456567839</v>
      </c>
      <c r="AH297" s="282">
        <f t="shared" si="59"/>
        <v>155204.27961369391</v>
      </c>
      <c r="AI297" s="211">
        <f t="shared" si="59"/>
        <v>307214.83534303075</v>
      </c>
      <c r="AJ297" s="211">
        <f t="shared" si="59"/>
        <v>366581.47241659305</v>
      </c>
      <c r="AK297" s="211">
        <f t="shared" si="59"/>
        <v>462110.35835268447</v>
      </c>
      <c r="AL297" s="282">
        <f t="shared" si="59"/>
        <v>417421.75695197133</v>
      </c>
      <c r="AM297" s="211">
        <f t="shared" si="59"/>
        <v>969186.92425230099</v>
      </c>
      <c r="AN297" s="282">
        <f t="shared" si="59"/>
        <v>1027439.1925152936</v>
      </c>
      <c r="AO297" s="211">
        <f t="shared" si="59"/>
        <v>1087630.9408906878</v>
      </c>
      <c r="AP297" s="211">
        <f t="shared" si="59"/>
        <v>1150077.4228389997</v>
      </c>
      <c r="AQ297" s="211">
        <f t="shared" si="59"/>
        <v>1214143.2539208457</v>
      </c>
      <c r="AR297" s="211">
        <f t="shared" si="59"/>
        <v>3581422.1627652547</v>
      </c>
      <c r="AS297" s="282">
        <f t="shared" si="59"/>
        <v>3434799.3886068612</v>
      </c>
      <c r="AT297" s="282">
        <f t="shared" si="59"/>
        <v>3385536.1270590774</v>
      </c>
      <c r="AU297" s="282">
        <f t="shared" si="59"/>
        <v>3392104.189162943</v>
      </c>
      <c r="AV297" s="282">
        <f t="shared" si="59"/>
        <v>3433443.1572372373</v>
      </c>
      <c r="AW297" s="284">
        <f t="shared" ref="AW297:AZ297" si="60">($P$287*($B$280+$B$281))*(2^(((AW286-7)-$P$286)/HLOOKUP((AW286-7)-$B$283,$P$310:$BH$312,3,TRUE)))</f>
        <v>11144956.171001075</v>
      </c>
      <c r="AX297" s="282">
        <f t="shared" si="60"/>
        <v>9879819.7701498326</v>
      </c>
      <c r="AY297" s="282">
        <f t="shared" si="60"/>
        <v>9216130.4853999112</v>
      </c>
      <c r="AZ297" s="282">
        <f t="shared" si="60"/>
        <v>8866267.8086908534</v>
      </c>
      <c r="BA297" s="282">
        <f t="shared" ref="BA297:BF297" si="61">($P$287*($B$280+$B$281))*(2^(((BA286-7)-$P$286)/HLOOKUP((BA286-7)-$B$283,$P$310:$BH$312,3,TRUE)))</f>
        <v>8698859.735984629</v>
      </c>
      <c r="BB297" s="238">
        <f t="shared" si="61"/>
        <v>1353912703.8871224</v>
      </c>
      <c r="BC297" s="208">
        <f t="shared" si="61"/>
        <v>449191646.97714806</v>
      </c>
      <c r="BD297" s="208">
        <f t="shared" si="61"/>
        <v>360540367.8716529</v>
      </c>
      <c r="BE297" s="208">
        <f t="shared" si="61"/>
        <v>414941012.02278256</v>
      </c>
      <c r="BF297" s="209">
        <f t="shared" si="61"/>
        <v>572975911.33230388</v>
      </c>
      <c r="BG297" s="208">
        <f>($P$287*($B$280+$B$281))*(2^(((BG286 - 7) - $P$286)/BG312))</f>
        <v>53851528.106631316</v>
      </c>
      <c r="BH297" s="244">
        <f>BH287*(B280+B281)</f>
        <v>4396521.1500000004</v>
      </c>
      <c r="BI297" s="45"/>
      <c r="BJ297" s="45"/>
      <c r="BK297" s="69"/>
    </row>
    <row r="298" spans="1:63" x14ac:dyDescent="0.25">
      <c r="A298" s="37" t="s">
        <v>156</v>
      </c>
      <c r="B298" s="38"/>
      <c r="C298" s="39"/>
      <c r="D298" s="39"/>
      <c r="E298" s="39"/>
      <c r="F298" s="39"/>
      <c r="G298" s="39"/>
      <c r="H298" s="39"/>
      <c r="I298" s="39"/>
      <c r="J298" s="39"/>
      <c r="K298" s="39"/>
      <c r="L298" s="39"/>
      <c r="M298" s="39"/>
      <c r="N298" s="39"/>
      <c r="O298" s="63"/>
      <c r="P298" s="206">
        <f t="shared" ref="P298:AC298" si="62">P297</f>
        <v>2.9796216359494587</v>
      </c>
      <c r="Q298" s="207">
        <f t="shared" si="62"/>
        <v>6.6590498985850246</v>
      </c>
      <c r="R298" s="207">
        <f t="shared" si="62"/>
        <v>9.3937329355254953</v>
      </c>
      <c r="S298" s="207">
        <f t="shared" si="62"/>
        <v>11.815592437748149</v>
      </c>
      <c r="T298" s="207">
        <f t="shared" si="62"/>
        <v>12.534285987853202</v>
      </c>
      <c r="U298" s="207">
        <f t="shared" si="62"/>
        <v>23.599266437601273</v>
      </c>
      <c r="V298" s="207">
        <f t="shared" si="62"/>
        <v>49.779972972921911</v>
      </c>
      <c r="W298" s="207">
        <f t="shared" si="62"/>
        <v>108.90640436467176</v>
      </c>
      <c r="X298" s="207">
        <f t="shared" si="62"/>
        <v>220.70535714285711</v>
      </c>
      <c r="Y298" s="207">
        <f t="shared" si="62"/>
        <v>322.92231652302479</v>
      </c>
      <c r="Z298" s="207">
        <f t="shared" si="62"/>
        <v>573.4171414665534</v>
      </c>
      <c r="AA298" s="207">
        <f t="shared" si="62"/>
        <v>1580.5624999999989</v>
      </c>
      <c r="AB298" s="207">
        <f t="shared" si="62"/>
        <v>4157.3376801210561</v>
      </c>
      <c r="AC298" s="207">
        <f t="shared" si="62"/>
        <v>14709.910600081001</v>
      </c>
      <c r="AD298" s="198">
        <f t="shared" ref="AD298:AV298" si="63">MAX(AD297-($P$287*$B$280)*(2^(((AD286 - 42) - $P$286)/HLOOKUP((AD286-42)-$B$283,$P$310:$BH$312,3,TRUE)))-AD300,0)</f>
        <v>60011.596753736201</v>
      </c>
      <c r="AE298" s="198">
        <f t="shared" si="63"/>
        <v>142124.36171205499</v>
      </c>
      <c r="AF298" s="198">
        <f t="shared" si="63"/>
        <v>89737.506502580392</v>
      </c>
      <c r="AG298" s="198">
        <f t="shared" si="63"/>
        <v>82168.218806941761</v>
      </c>
      <c r="AH298" s="198">
        <f t="shared" si="63"/>
        <v>121077.37661798642</v>
      </c>
      <c r="AI298" s="198">
        <f t="shared" si="63"/>
        <v>262773.41927126469</v>
      </c>
      <c r="AJ298" s="198">
        <f t="shared" si="63"/>
        <v>177691.1939028544</v>
      </c>
      <c r="AK298" s="198">
        <f t="shared" si="63"/>
        <v>192853.94336541693</v>
      </c>
      <c r="AL298" s="198">
        <f t="shared" si="63"/>
        <v>253344.27000725653</v>
      </c>
      <c r="AM298" s="198">
        <f t="shared" si="63"/>
        <v>503482.25761011685</v>
      </c>
      <c r="AN298" s="198">
        <f t="shared" si="63"/>
        <v>739409.06304868322</v>
      </c>
      <c r="AO298" s="198">
        <f t="shared" si="63"/>
        <v>415362.01871533867</v>
      </c>
      <c r="AP298" s="198">
        <f t="shared" si="63"/>
        <v>432136.28933003719</v>
      </c>
      <c r="AQ298" s="198">
        <f t="shared" si="63"/>
        <v>449783.39483094413</v>
      </c>
      <c r="AR298" s="198">
        <f t="shared" si="63"/>
        <v>2585594.4726010328</v>
      </c>
      <c r="AS298" s="198">
        <f t="shared" si="63"/>
        <v>888935.34592370875</v>
      </c>
      <c r="AT298" s="198">
        <f t="shared" si="63"/>
        <v>931886.77053574193</v>
      </c>
      <c r="AU298" s="198">
        <f t="shared" si="63"/>
        <v>964700.83320346521</v>
      </c>
      <c r="AV298" s="198">
        <f t="shared" si="63"/>
        <v>994312.0591769116</v>
      </c>
      <c r="AW298" s="198">
        <f t="shared" ref="AW298:AZ298" si="64">MAX(AW297-($P$287*$B$280)*(2^(((AW286 - 42) - $P$286)/HLOOKUP((AW286-42)-$B$283,$P$310:$BH$312,3,TRUE)))-AW300,0)</f>
        <v>7444375.1729611419</v>
      </c>
      <c r="AX298" s="198">
        <f t="shared" si="64"/>
        <v>6257635.2777077034</v>
      </c>
      <c r="AY298" s="198">
        <f t="shared" si="64"/>
        <v>5567064.662553058</v>
      </c>
      <c r="AZ298" s="198">
        <f t="shared" si="64"/>
        <v>5133384.591877548</v>
      </c>
      <c r="BA298" s="198">
        <f t="shared" ref="BA298:BG298" si="65">MAX(BA297-($P$287*$B$280)*(2^(((BA286 - 42) - $P$286)/HLOOKUP((BA286-42)-$B$283,$P$310:$BH$312,3,TRUE)))-BA300,0)</f>
        <v>4848144.4767702762</v>
      </c>
      <c r="BB298" s="241">
        <f t="shared" si="65"/>
        <v>729051320.33859634</v>
      </c>
      <c r="BC298" s="203">
        <f t="shared" si="65"/>
        <v>213605946.83900654</v>
      </c>
      <c r="BD298" s="203">
        <f t="shared" si="65"/>
        <v>158237294.17056435</v>
      </c>
      <c r="BE298" s="203">
        <f t="shared" si="65"/>
        <v>172198916.75946513</v>
      </c>
      <c r="BF298" s="204">
        <f t="shared" si="65"/>
        <v>228163101.05382133</v>
      </c>
      <c r="BG298" s="199">
        <f t="shared" si="65"/>
        <v>0</v>
      </c>
      <c r="BH298" s="246"/>
      <c r="BI298" s="45"/>
      <c r="BJ298" s="45"/>
      <c r="BK298" s="69"/>
    </row>
    <row r="299" spans="1:63" x14ac:dyDescent="0.25">
      <c r="A299" s="62" t="s">
        <v>110</v>
      </c>
      <c r="B299" s="9"/>
      <c r="C299" s="9"/>
      <c r="D299" s="9"/>
      <c r="E299" s="9"/>
      <c r="F299" s="9"/>
      <c r="G299" s="9"/>
      <c r="H299" s="9"/>
      <c r="I299" s="9"/>
      <c r="J299" s="9"/>
      <c r="K299" s="9"/>
      <c r="L299" s="9"/>
      <c r="M299" s="9"/>
      <c r="N299" s="9"/>
      <c r="O299" s="5"/>
      <c r="P299" s="225">
        <f>(1*$B$281)*(2^(((P286 - 14) -$B$283)/$P$312))</f>
        <v>0.35133142435370507</v>
      </c>
      <c r="Q299" s="222">
        <f>(1*$B$281)*(2^(((Q286 - 14) -$B$283)/$P$312))</f>
        <v>0.8793994084295168</v>
      </c>
      <c r="R299" s="222">
        <f>(1*$B$281)*(2^(((R286 - 14) -$B$283)/$P$312))</f>
        <v>1.2405438181505943</v>
      </c>
      <c r="S299" s="222">
        <f>(1*$B$281)*(2^(((S286 - 14) -$B$283)/$P$312))</f>
        <v>1.5603765038925292</v>
      </c>
      <c r="T299" s="211">
        <f t="shared" ref="T299:AV299" si="66">($P$287*$B$281)*(2^(((T286 - 14) - $P$286)/HLOOKUP((T286-14)-$B$283,$P$310:$BH$312,3,TRUE)))</f>
        <v>1.9653383070069901</v>
      </c>
      <c r="U299" s="211">
        <f t="shared" si="66"/>
        <v>2.7724470405161594</v>
      </c>
      <c r="V299" s="211">
        <f t="shared" si="66"/>
        <v>3.0357142857142851</v>
      </c>
      <c r="W299" s="211">
        <f t="shared" si="66"/>
        <v>3.5840256691447028</v>
      </c>
      <c r="X299" s="211">
        <f t="shared" si="66"/>
        <v>6.2103332730529663</v>
      </c>
      <c r="Y299" s="211">
        <f t="shared" si="66"/>
        <v>11.368617573959821</v>
      </c>
      <c r="Z299" s="211">
        <f t="shared" si="66"/>
        <v>24.151785714285708</v>
      </c>
      <c r="AA299" s="211">
        <f t="shared" si="66"/>
        <v>58.080357142857132</v>
      </c>
      <c r="AB299" s="211">
        <f t="shared" si="66"/>
        <v>123.70535714285711</v>
      </c>
      <c r="AC299" s="211">
        <f t="shared" si="66"/>
        <v>515.59097869702066</v>
      </c>
      <c r="AD299" s="211">
        <f t="shared" si="66"/>
        <v>5570.8928571428578</v>
      </c>
      <c r="AE299" s="211">
        <f t="shared" si="66"/>
        <v>13823.025678649645</v>
      </c>
      <c r="AF299" s="211">
        <f t="shared" si="66"/>
        <v>21428.939201378067</v>
      </c>
      <c r="AG299" s="211">
        <f t="shared" si="66"/>
        <v>50945.755168707459</v>
      </c>
      <c r="AH299" s="282">
        <f t="shared" si="66"/>
        <v>35451.144071431758</v>
      </c>
      <c r="AI299" s="282">
        <f t="shared" si="66"/>
        <v>44728.891495247604</v>
      </c>
      <c r="AJ299" s="211">
        <f t="shared" si="66"/>
        <v>144907.46798650004</v>
      </c>
      <c r="AK299" s="211">
        <f t="shared" si="66"/>
        <v>181438.18611984747</v>
      </c>
      <c r="AL299" s="282">
        <f t="shared" si="66"/>
        <v>173150.71064765757</v>
      </c>
      <c r="AM299" s="282">
        <f t="shared" si="66"/>
        <v>126038.4094239196</v>
      </c>
      <c r="AN299" s="282">
        <f t="shared" si="66"/>
        <v>145596.9872103174</v>
      </c>
      <c r="AO299" s="282">
        <f t="shared" si="66"/>
        <v>164760.56018366609</v>
      </c>
      <c r="AP299" s="282">
        <f t="shared" si="66"/>
        <v>183763.00910075687</v>
      </c>
      <c r="AQ299" s="211">
        <f t="shared" si="66"/>
        <v>202651.00376506799</v>
      </c>
      <c r="AR299" s="284">
        <f t="shared" si="66"/>
        <v>619916.55791634589</v>
      </c>
      <c r="AS299" s="282">
        <f t="shared" si="66"/>
        <v>629572.57455251005</v>
      </c>
      <c r="AT299" s="282">
        <f t="shared" si="66"/>
        <v>647855.12462795782</v>
      </c>
      <c r="AU299" s="284">
        <f t="shared" si="66"/>
        <v>671305.25887783652</v>
      </c>
      <c r="AV299" s="284">
        <f t="shared" si="66"/>
        <v>698079.5595419996</v>
      </c>
      <c r="AW299" s="284">
        <f t="shared" ref="AW299:AZ299" si="67">($P$287*$B$281)*(2^(((AW286 - 14) - $P$286)/HLOOKUP((AW286-14)-$B$283,$P$310:$BH$312,3,TRUE)))</f>
        <v>2316768.4696069937</v>
      </c>
      <c r="AX299" s="282">
        <f t="shared" si="67"/>
        <v>2125442.2660710709</v>
      </c>
      <c r="AY299" s="282">
        <f t="shared" si="67"/>
        <v>2033539.5964149488</v>
      </c>
      <c r="AZ299" s="282">
        <f t="shared" si="67"/>
        <v>1994882.5125248125</v>
      </c>
      <c r="BA299" s="282">
        <f t="shared" ref="BA299:BG299" si="68">($P$287*$B$281)*(2^(((BA286 - 14) - $P$286)/HLOOKUP((BA286-14)-$B$283,$P$310:$BH$312,3,TRUE)))</f>
        <v>1987789.8897136264</v>
      </c>
      <c r="BB299" s="238">
        <f t="shared" si="68"/>
        <v>313314733.11301738</v>
      </c>
      <c r="BC299" s="208">
        <f t="shared" si="68"/>
        <v>107901512.32291977</v>
      </c>
      <c r="BD299" s="208">
        <f t="shared" si="68"/>
        <v>88264450.943923593</v>
      </c>
      <c r="BE299" s="208">
        <f t="shared" si="68"/>
        <v>102755103.31129998</v>
      </c>
      <c r="BF299" s="209">
        <f t="shared" si="68"/>
        <v>142986528.86167729</v>
      </c>
      <c r="BG299" s="208">
        <f t="shared" si="68"/>
        <v>220481384.4815093</v>
      </c>
      <c r="BH299" s="244">
        <f>BH287*B281</f>
        <v>1156979.2500000002</v>
      </c>
      <c r="BI299" s="45"/>
      <c r="BJ299" s="45"/>
      <c r="BK299" s="69"/>
    </row>
    <row r="300" spans="1:63" x14ac:dyDescent="0.25">
      <c r="A300" s="37" t="s">
        <v>157</v>
      </c>
      <c r="B300" s="38"/>
      <c r="C300" s="39"/>
      <c r="D300" s="39"/>
      <c r="E300" s="39"/>
      <c r="F300" s="39"/>
      <c r="G300" s="39"/>
      <c r="H300" s="39"/>
      <c r="I300" s="39"/>
      <c r="J300" s="39"/>
      <c r="K300" s="39"/>
      <c r="L300" s="39"/>
      <c r="M300" s="39"/>
      <c r="N300" s="39"/>
      <c r="O300" s="63"/>
      <c r="P300" s="206">
        <f t="shared" ref="P300:AA300" si="69">P299</f>
        <v>0.35133142435370507</v>
      </c>
      <c r="Q300" s="207">
        <f t="shared" si="69"/>
        <v>0.8793994084295168</v>
      </c>
      <c r="R300" s="207">
        <f t="shared" si="69"/>
        <v>1.2405438181505943</v>
      </c>
      <c r="S300" s="207">
        <f t="shared" si="69"/>
        <v>1.5603765038925292</v>
      </c>
      <c r="T300" s="207">
        <f t="shared" si="69"/>
        <v>1.9653383070069901</v>
      </c>
      <c r="U300" s="207">
        <f t="shared" si="69"/>
        <v>2.7724470405161594</v>
      </c>
      <c r="V300" s="207">
        <f t="shared" si="69"/>
        <v>3.0357142857142851</v>
      </c>
      <c r="W300" s="207">
        <f t="shared" si="69"/>
        <v>3.5840256691447028</v>
      </c>
      <c r="X300" s="207">
        <f t="shared" si="69"/>
        <v>6.2103332730529663</v>
      </c>
      <c r="Y300" s="207">
        <f t="shared" si="69"/>
        <v>11.368617573959821</v>
      </c>
      <c r="Z300" s="207">
        <f t="shared" si="69"/>
        <v>24.151785714285708</v>
      </c>
      <c r="AA300" s="207">
        <f t="shared" si="69"/>
        <v>58.080357142857132</v>
      </c>
      <c r="AB300" s="205">
        <f t="shared" ref="AB300:AV300" si="70">MAX(AB299-($P$287*$B$281)*(2^(((AB286 - 35) - $P$286)/HLOOKUP((AB286-35)-$B$283,$P$310:$BH$312,3,TRUE))),0)</f>
        <v>121.95297559059789</v>
      </c>
      <c r="AC300" s="205">
        <f t="shared" si="70"/>
        <v>512.48161226603429</v>
      </c>
      <c r="AD300" s="205">
        <f t="shared" si="70"/>
        <v>5557.792864255247</v>
      </c>
      <c r="AE300" s="205">
        <f t="shared" si="70"/>
        <v>13764.945321506788</v>
      </c>
      <c r="AF300" s="205">
        <f t="shared" si="70"/>
        <v>21278.039953623709</v>
      </c>
      <c r="AG300" s="205">
        <f t="shared" si="70"/>
        <v>50430.164190010437</v>
      </c>
      <c r="AH300" s="205">
        <f t="shared" si="70"/>
        <v>33551.402995707496</v>
      </c>
      <c r="AI300" s="205">
        <f t="shared" si="70"/>
        <v>31563.302331317282</v>
      </c>
      <c r="AJ300" s="205">
        <f t="shared" si="70"/>
        <v>105867.17701365154</v>
      </c>
      <c r="AK300" s="205">
        <f t="shared" si="70"/>
        <v>125567.8816945006</v>
      </c>
      <c r="AL300" s="205">
        <f t="shared" si="70"/>
        <v>16518.266314172652</v>
      </c>
      <c r="AM300" s="205">
        <f t="shared" si="70"/>
        <v>17235.600324829968</v>
      </c>
      <c r="AN300" s="205">
        <f t="shared" si="70"/>
        <v>0</v>
      </c>
      <c r="AO300" s="205">
        <f t="shared" si="70"/>
        <v>0</v>
      </c>
      <c r="AP300" s="205">
        <f t="shared" si="70"/>
        <v>0</v>
      </c>
      <c r="AQ300" s="205">
        <f t="shared" si="70"/>
        <v>0</v>
      </c>
      <c r="AR300" s="205">
        <f t="shared" si="70"/>
        <v>135437.53810889204</v>
      </c>
      <c r="AS300" s="205">
        <f t="shared" si="70"/>
        <v>0</v>
      </c>
      <c r="AT300" s="205">
        <f t="shared" si="70"/>
        <v>0</v>
      </c>
      <c r="AU300" s="205">
        <f t="shared" si="70"/>
        <v>0</v>
      </c>
      <c r="AV300" s="205">
        <f t="shared" si="70"/>
        <v>0</v>
      </c>
      <c r="AW300" s="205">
        <f t="shared" ref="AW300:AZ300" si="71">MAX(AW299-($P$287*$B$281)*(2^(((AW286 - 35) - $P$286)/HLOOKUP((AW286-35)-$B$283,$P$310:$BH$312,3,TRUE))),0)</f>
        <v>1174820.7252435801</v>
      </c>
      <c r="AX300" s="205">
        <f t="shared" si="71"/>
        <v>964258.45118595078</v>
      </c>
      <c r="AY300" s="205">
        <f t="shared" si="71"/>
        <v>834825.87170703989</v>
      </c>
      <c r="AZ300" s="205">
        <f t="shared" si="71"/>
        <v>748080.3487262174</v>
      </c>
      <c r="BA300" s="205">
        <f t="shared" ref="BA300:BG300" si="72">MAX(BA299-($P$287*$B$281)*(2^(((BA286 - 35) - $P$286)/HLOOKUP((BA286-35)-$B$283,$P$310:$BH$312,3,TRUE))),0)</f>
        <v>686285.26742779673</v>
      </c>
      <c r="BB300" s="241">
        <f t="shared" si="72"/>
        <v>100254661.1374853</v>
      </c>
      <c r="BC300" s="203">
        <f t="shared" si="72"/>
        <v>25835014.256370857</v>
      </c>
      <c r="BD300" s="203">
        <f t="shared" si="72"/>
        <v>17203274.47897318</v>
      </c>
      <c r="BE300" s="203">
        <f t="shared" si="72"/>
        <v>17129172.56520775</v>
      </c>
      <c r="BF300" s="204">
        <f t="shared" si="72"/>
        <v>21053267.185362533</v>
      </c>
      <c r="BG300" s="199">
        <f t="shared" si="72"/>
        <v>29325828.442167163</v>
      </c>
      <c r="BH300" s="244"/>
      <c r="BI300" s="45"/>
      <c r="BJ300" s="45"/>
      <c r="BK300" s="69"/>
    </row>
    <row r="301" spans="1:63" x14ac:dyDescent="0.25">
      <c r="A301" s="41" t="s">
        <v>56</v>
      </c>
      <c r="B301" s="15"/>
      <c r="C301" s="16"/>
      <c r="D301" s="16"/>
      <c r="E301" s="16"/>
      <c r="F301" s="16"/>
      <c r="G301" s="16"/>
      <c r="H301" s="16"/>
      <c r="I301" s="16"/>
      <c r="J301" s="16"/>
      <c r="K301" s="16"/>
      <c r="L301" s="16"/>
      <c r="M301" s="16"/>
      <c r="N301" s="16"/>
      <c r="O301" s="16"/>
      <c r="P301" s="226">
        <f t="shared" ref="P301:BG301" si="73">P287*$B$282</f>
        <v>1.75</v>
      </c>
      <c r="Q301" s="227">
        <f>Q287*$B$282</f>
        <v>3.5</v>
      </c>
      <c r="R301" s="227">
        <f>R287*$B$282</f>
        <v>7</v>
      </c>
      <c r="S301" s="227">
        <f>S287*$B$282</f>
        <v>14</v>
      </c>
      <c r="T301" s="227">
        <f>T287*$B$282</f>
        <v>28</v>
      </c>
      <c r="U301" s="227">
        <f>U287*$B$282</f>
        <v>56</v>
      </c>
      <c r="V301" s="227">
        <f>V287*$B$282</f>
        <v>112</v>
      </c>
      <c r="W301" s="227">
        <f>W287*$B$282</f>
        <v>224</v>
      </c>
      <c r="X301" s="227">
        <f>X287*$B$282</f>
        <v>448</v>
      </c>
      <c r="Y301" s="227">
        <f>Y287*$B$282</f>
        <v>896</v>
      </c>
      <c r="Z301" s="227">
        <f>Z287*$B$282</f>
        <v>1792</v>
      </c>
      <c r="AA301" s="227">
        <f>AA287*$B$282</f>
        <v>3584</v>
      </c>
      <c r="AB301" s="227">
        <f>AB287*$B$282</f>
        <v>7168</v>
      </c>
      <c r="AC301" s="227">
        <f>AC287*$B$282</f>
        <v>14336</v>
      </c>
      <c r="AD301" s="227">
        <f>AD287*$B$282</f>
        <v>28672</v>
      </c>
      <c r="AE301" s="227">
        <f>AE287*$B$282</f>
        <v>35840</v>
      </c>
      <c r="AF301" s="227">
        <f>AF287*$B$282</f>
        <v>43008</v>
      </c>
      <c r="AG301" s="227">
        <f>AG287*$B$282</f>
        <v>50176</v>
      </c>
      <c r="AH301" s="227">
        <f>AH287*$B$282</f>
        <v>57344</v>
      </c>
      <c r="AI301" s="227">
        <f>AI287*$B$282</f>
        <v>73400.320000000007</v>
      </c>
      <c r="AJ301" s="227">
        <f>AJ287*$B$282</f>
        <v>86016</v>
      </c>
      <c r="AK301" s="227">
        <f>AK287*$B$282</f>
        <v>100352</v>
      </c>
      <c r="AL301" s="227">
        <f>AL287*$B$282</f>
        <v>114688</v>
      </c>
      <c r="AM301" s="227">
        <f>AM287*$B$282</f>
        <v>137625.60000000001</v>
      </c>
      <c r="AN301" s="227">
        <f>AN287*$B$282</f>
        <v>160563.20000000001</v>
      </c>
      <c r="AO301" s="227">
        <f t="shared" ref="AM301:AP301" si="74">AO287*$B$282</f>
        <v>183500.80000000002</v>
      </c>
      <c r="AP301" s="227">
        <f t="shared" si="74"/>
        <v>206438.39999999999</v>
      </c>
      <c r="AQ301" s="227">
        <f t="shared" si="73"/>
        <v>229376</v>
      </c>
      <c r="AR301" s="227">
        <f t="shared" ref="AR301:AU301" si="75">AR287*$B$282</f>
        <v>275251.20000000001</v>
      </c>
      <c r="AS301" s="227">
        <f t="shared" si="75"/>
        <v>321126.40000000002</v>
      </c>
      <c r="AT301" s="227">
        <f t="shared" si="75"/>
        <v>367001.60000000003</v>
      </c>
      <c r="AU301" s="227">
        <f t="shared" si="75"/>
        <v>412876.79999999999</v>
      </c>
      <c r="AV301" s="227">
        <f t="shared" si="73"/>
        <v>458752</v>
      </c>
      <c r="AW301" s="227">
        <f t="shared" ref="AW301:AZ301" si="76">AW287*$B$282</f>
        <v>550502.40000000002</v>
      </c>
      <c r="AX301" s="227">
        <f t="shared" si="76"/>
        <v>642252.80000000005</v>
      </c>
      <c r="AY301" s="227">
        <f t="shared" si="76"/>
        <v>734003.20000000007</v>
      </c>
      <c r="AZ301" s="227">
        <f t="shared" si="76"/>
        <v>825753.59999999998</v>
      </c>
      <c r="BA301" s="227">
        <f t="shared" si="73"/>
        <v>917504</v>
      </c>
      <c r="BB301" s="240">
        <f t="shared" ref="BB301:BF301" si="77">BB287*$B$282</f>
        <v>1835008</v>
      </c>
      <c r="BC301" s="199">
        <f t="shared" si="77"/>
        <v>3670016</v>
      </c>
      <c r="BD301" s="199">
        <f t="shared" si="77"/>
        <v>7340032</v>
      </c>
      <c r="BE301" s="199">
        <f t="shared" si="77"/>
        <v>14680064</v>
      </c>
      <c r="BF301" s="200">
        <f t="shared" si="77"/>
        <v>18511668</v>
      </c>
      <c r="BG301" s="208">
        <f t="shared" si="73"/>
        <v>18511668</v>
      </c>
      <c r="BH301" s="244">
        <f>BH287*B282</f>
        <v>1295816.7600000002</v>
      </c>
      <c r="BI301" s="45"/>
      <c r="BJ301" s="45"/>
      <c r="BK301" s="69"/>
    </row>
    <row r="302" spans="1:63" x14ac:dyDescent="0.25">
      <c r="A302" s="37" t="s">
        <v>55</v>
      </c>
      <c r="B302" s="38"/>
      <c r="C302" s="39"/>
      <c r="D302" s="39"/>
      <c r="E302" s="39"/>
      <c r="F302" s="39"/>
      <c r="G302" s="39"/>
      <c r="H302" s="39"/>
      <c r="I302" s="39"/>
      <c r="J302" s="39"/>
      <c r="K302" s="39"/>
      <c r="L302" s="39"/>
      <c r="M302" s="39"/>
      <c r="N302" s="39"/>
      <c r="O302" s="39"/>
      <c r="P302" s="201"/>
      <c r="Q302" s="202"/>
      <c r="R302" s="202"/>
      <c r="S302" s="202"/>
      <c r="T302" s="202"/>
      <c r="U302" s="202"/>
      <c r="V302" s="202"/>
      <c r="W302" s="202"/>
      <c r="X302" s="202"/>
      <c r="Y302" s="202"/>
      <c r="Z302" s="202"/>
      <c r="AA302" s="202"/>
      <c r="AB302" s="210">
        <f>($P$287*$B$282)*(2^(((AB286-35)-$P$286)/HLOOKUP((AB286-35)-$B$283,$P$310:$BH$312,3,TRUE)))</f>
        <v>1.962667338530323</v>
      </c>
      <c r="AC302" s="210">
        <f>($P$287*$B$282)*(2^(((AC286-35)-$P$286)/HLOOKUP((AC286-35)-$B$283,$P$310:$BH$312,3,TRUE)))</f>
        <v>3.4824904027047179</v>
      </c>
      <c r="AD302" s="210">
        <f>($P$287*$B$282)*(2^(((AD286-35)-$P$286)/HLOOKUP((AD286-35)-$B$283,$P$310:$BH$312,3,TRUE)))</f>
        <v>14.671992034124351</v>
      </c>
      <c r="AE302" s="210">
        <f>($P$287*$B$282)*(2^(((AE286-35)-$P$286)/HLOOKUP((AE286-35)-$B$283,$P$310:$BH$312,3,TRUE)))</f>
        <v>65.049999999999983</v>
      </c>
      <c r="AF302" s="210">
        <f>($P$287*$B$282)*(2^(((AF286-35)-$P$286)/HLOOKUP((AF286-35)-$B$283,$P$310:$BH$312,3,TRUE)))</f>
        <v>169.00715748487892</v>
      </c>
      <c r="AG302" s="210">
        <f>($P$287*$B$282)*(2^(((AG286-35)-$P$286)/HLOOKUP((AG286-35)-$B$283,$P$310:$BH$312,3,TRUE)))</f>
        <v>577.46189614066316</v>
      </c>
      <c r="AH302" s="210">
        <f>($P$287*$B$282)*(2^(((AH286-35)-$P$286)/HLOOKUP((AH286-35)-$B$283,$P$310:$BH$312,3,TRUE)))</f>
        <v>2127.7100048111715</v>
      </c>
      <c r="AI302" s="210">
        <f>($P$287*$B$282)*(2^(((AI286-35)-$P$286)/HLOOKUP((AI286-35)-$B$283,$P$310:$BH$312,3,TRUE)))</f>
        <v>14745.459863601958</v>
      </c>
      <c r="AJ302" s="210">
        <f>($P$287*$B$282)*(2^(((AJ286-35)-$P$286)/HLOOKUP((AJ286-35)-$B$283,$P$310:$BH$312,3,TRUE)))</f>
        <v>43725.125889590316</v>
      </c>
      <c r="AK302" s="210">
        <f>($P$287*$B$282)*(2^(((AK286-35)-$P$286)/HLOOKUP((AK286-35)-$B$283,$P$310:$BH$312,3,TRUE)))</f>
        <v>62574.740956388501</v>
      </c>
      <c r="AL302" s="210">
        <f>($P$287*$B$282)*(2^(((AL286-35)-$P$286)/HLOOKUP((AL286-35)-$B$283,$P$310:$BH$312,3,TRUE)))</f>
        <v>175428.33765350311</v>
      </c>
      <c r="AM302" s="210">
        <f>($P$287*$B$282)*(2^(((AM286-35)-$P$286)/HLOOKUP((AM286-35)-$B$283,$P$310:$BH$312,3,TRUE)))</f>
        <v>121859.14619098039</v>
      </c>
      <c r="AN302" s="210">
        <f>($P$287*$B$282)*(2^(((AN286-35)-$P$286)/HLOOKUP((AN286-35)-$B$283,$P$310:$BH$312,3,TRUE)))</f>
        <v>247818.20511201434</v>
      </c>
      <c r="AO302" s="210">
        <f t="shared" ref="AB302:AV302" si="78">($P$287*$B$282)*(2^(((AO286-35)-$P$286)/HLOOKUP((AO286-35)-$B$283,$P$310:$BH$312,3,TRUE)))</f>
        <v>544156.80186746886</v>
      </c>
      <c r="AP302" s="210">
        <f t="shared" si="78"/>
        <v>533296.79167231265</v>
      </c>
      <c r="AQ302" s="210">
        <f t="shared" si="78"/>
        <v>531132.11316712375</v>
      </c>
      <c r="AR302" s="210">
        <f t="shared" si="78"/>
        <v>542616.5021843483</v>
      </c>
      <c r="AS302" s="210">
        <f t="shared" si="78"/>
        <v>1548224.3094982828</v>
      </c>
      <c r="AT302" s="210">
        <f t="shared" si="78"/>
        <v>1409108.6138680885</v>
      </c>
      <c r="AU302" s="210">
        <f t="shared" si="78"/>
        <v>1335266.3263483441</v>
      </c>
      <c r="AV302" s="210">
        <f t="shared" si="78"/>
        <v>1297360.5024617277</v>
      </c>
      <c r="AW302" s="210">
        <f t="shared" ref="AW302:AZ302" si="79">($P$287*$B$282)*(2^(((AW286-35)-$P$286)/HLOOKUP((AW286-35)-$B$283,$P$310:$BH$312,3,TRUE)))</f>
        <v>1278981.4736870234</v>
      </c>
      <c r="AX302" s="210">
        <f t="shared" si="79"/>
        <v>1300525.8726713345</v>
      </c>
      <c r="AY302" s="210">
        <f t="shared" si="79"/>
        <v>1342559.371672858</v>
      </c>
      <c r="AZ302" s="210">
        <f t="shared" si="79"/>
        <v>1396418.4234544265</v>
      </c>
      <c r="BA302" s="210">
        <f t="shared" ref="BA302:BG302" si="80">($P$287*$B$282)*(2^(((BA286-35)-$P$286)/HLOOKUP((BA286-35)-$B$283,$P$310:$BH$312,3,TRUE)))</f>
        <v>1457685.1769601293</v>
      </c>
      <c r="BB302" s="241">
        <f t="shared" si="80"/>
        <v>238627280.61259592</v>
      </c>
      <c r="BC302" s="203">
        <f t="shared" si="80"/>
        <v>91914477.834534779</v>
      </c>
      <c r="BD302" s="203">
        <f t="shared" si="80"/>
        <v>79588517.640744463</v>
      </c>
      <c r="BE302" s="203">
        <f t="shared" si="80"/>
        <v>95901042.435623288</v>
      </c>
      <c r="BF302" s="204">
        <f t="shared" si="80"/>
        <v>136565253.07747251</v>
      </c>
      <c r="BG302" s="203">
        <f t="shared" si="80"/>
        <v>214094222.76406321</v>
      </c>
      <c r="BH302" s="247">
        <f>($P$287*$B$282)*(2^(((BH286 - 35) - $P$286)/BH312))</f>
        <v>13551657.208633723</v>
      </c>
      <c r="BI302" s="45"/>
      <c r="BJ302" s="45"/>
      <c r="BK302" s="69"/>
    </row>
    <row r="303" spans="1:63" s="69" customFormat="1" hidden="1" x14ac:dyDescent="0.25">
      <c r="A303" s="48" t="s">
        <v>104</v>
      </c>
      <c r="B303" s="25"/>
      <c r="C303" s="47"/>
      <c r="D303" s="47"/>
      <c r="E303" s="47"/>
      <c r="F303" s="47"/>
      <c r="G303" s="47"/>
      <c r="H303" s="47"/>
      <c r="I303" s="47"/>
      <c r="J303" s="47"/>
      <c r="K303" s="47"/>
      <c r="L303" s="47"/>
      <c r="M303" s="47"/>
      <c r="N303" s="47"/>
      <c r="O303" s="47"/>
      <c r="P303" s="150">
        <f t="shared" ref="P303:BG303" si="81">P286-7</f>
        <v>43875</v>
      </c>
      <c r="Q303" s="150">
        <f t="shared" si="81"/>
        <v>43883</v>
      </c>
      <c r="R303" s="150">
        <f t="shared" si="81"/>
        <v>43886</v>
      </c>
      <c r="S303" s="150">
        <f t="shared" si="81"/>
        <v>43888</v>
      </c>
      <c r="T303" s="150">
        <f t="shared" si="81"/>
        <v>43891</v>
      </c>
      <c r="U303" s="150">
        <f t="shared" si="81"/>
        <v>43894</v>
      </c>
      <c r="V303" s="150">
        <f t="shared" si="81"/>
        <v>43897</v>
      </c>
      <c r="W303" s="150">
        <f t="shared" si="81"/>
        <v>43899</v>
      </c>
      <c r="X303" s="150">
        <f t="shared" si="81"/>
        <v>43901</v>
      </c>
      <c r="Y303" s="150">
        <f t="shared" si="81"/>
        <v>43903</v>
      </c>
      <c r="Z303" s="150">
        <f t="shared" si="81"/>
        <v>43905</v>
      </c>
      <c r="AA303" s="150">
        <f t="shared" si="81"/>
        <v>43908</v>
      </c>
      <c r="AB303" s="150">
        <f t="shared" si="81"/>
        <v>43911</v>
      </c>
      <c r="AC303" s="150">
        <f t="shared" si="81"/>
        <v>43916</v>
      </c>
      <c r="AD303" s="150">
        <f t="shared" si="81"/>
        <v>43925</v>
      </c>
      <c r="AE303" s="150"/>
      <c r="AF303" s="150"/>
      <c r="AG303" s="150"/>
      <c r="AH303" s="150">
        <f t="shared" si="81"/>
        <v>43941</v>
      </c>
      <c r="AI303" s="150"/>
      <c r="AJ303" s="150"/>
      <c r="AK303" s="150"/>
      <c r="AL303" s="150">
        <f t="shared" si="81"/>
        <v>43984</v>
      </c>
      <c r="AM303" s="150"/>
      <c r="AN303" s="150"/>
      <c r="AO303" s="150"/>
      <c r="AP303" s="150"/>
      <c r="AQ303" s="150">
        <f t="shared" si="81"/>
        <v>44070</v>
      </c>
      <c r="AR303" s="150"/>
      <c r="AS303" s="150"/>
      <c r="AT303" s="150"/>
      <c r="AU303" s="150"/>
      <c r="AV303" s="150">
        <f t="shared" si="81"/>
        <v>44242</v>
      </c>
      <c r="AW303" s="150"/>
      <c r="AX303" s="150"/>
      <c r="AY303" s="150"/>
      <c r="AZ303" s="150"/>
      <c r="BA303" s="150">
        <f t="shared" si="81"/>
        <v>44586</v>
      </c>
      <c r="BB303" s="150"/>
      <c r="BC303" s="150"/>
      <c r="BD303" s="150"/>
      <c r="BE303" s="150"/>
      <c r="BF303" s="150"/>
      <c r="BG303" s="150">
        <f t="shared" si="81"/>
        <v>46650</v>
      </c>
      <c r="BH303" s="150"/>
      <c r="BI303" s="45"/>
      <c r="BJ303" s="45"/>
    </row>
    <row r="304" spans="1:63" s="69" customFormat="1" hidden="1" x14ac:dyDescent="0.25">
      <c r="A304" s="48" t="s">
        <v>102</v>
      </c>
      <c r="B304" s="25"/>
      <c r="C304" s="47"/>
      <c r="D304" s="47"/>
      <c r="E304" s="47"/>
      <c r="F304" s="47"/>
      <c r="G304" s="47"/>
      <c r="H304" s="47"/>
      <c r="I304" s="47"/>
      <c r="J304" s="47"/>
      <c r="K304" s="47"/>
      <c r="L304" s="47"/>
      <c r="M304" s="47"/>
      <c r="N304" s="47"/>
      <c r="O304" s="47"/>
      <c r="P304" s="150">
        <f t="shared" ref="P304:BG304" si="82">P286-14</f>
        <v>43868</v>
      </c>
      <c r="Q304" s="150">
        <f t="shared" si="82"/>
        <v>43876</v>
      </c>
      <c r="R304" s="150">
        <f t="shared" si="82"/>
        <v>43879</v>
      </c>
      <c r="S304" s="150">
        <f t="shared" si="82"/>
        <v>43881</v>
      </c>
      <c r="T304" s="150">
        <f t="shared" si="82"/>
        <v>43884</v>
      </c>
      <c r="U304" s="150">
        <f t="shared" si="82"/>
        <v>43887</v>
      </c>
      <c r="V304" s="150">
        <f t="shared" si="82"/>
        <v>43890</v>
      </c>
      <c r="W304" s="150">
        <f t="shared" si="82"/>
        <v>43892</v>
      </c>
      <c r="X304" s="150">
        <f t="shared" si="82"/>
        <v>43894</v>
      </c>
      <c r="Y304" s="150">
        <f t="shared" si="82"/>
        <v>43896</v>
      </c>
      <c r="Z304" s="150">
        <f t="shared" si="82"/>
        <v>43898</v>
      </c>
      <c r="AA304" s="150">
        <f t="shared" si="82"/>
        <v>43901</v>
      </c>
      <c r="AB304" s="150">
        <f t="shared" si="82"/>
        <v>43904</v>
      </c>
      <c r="AC304" s="150">
        <f t="shared" si="82"/>
        <v>43909</v>
      </c>
      <c r="AD304" s="150">
        <f t="shared" si="82"/>
        <v>43918</v>
      </c>
      <c r="AE304" s="150"/>
      <c r="AF304" s="150"/>
      <c r="AG304" s="150"/>
      <c r="AH304" s="150">
        <f t="shared" si="82"/>
        <v>43934</v>
      </c>
      <c r="AI304" s="150"/>
      <c r="AJ304" s="150"/>
      <c r="AK304" s="150"/>
      <c r="AL304" s="150">
        <f t="shared" si="82"/>
        <v>43977</v>
      </c>
      <c r="AM304" s="150"/>
      <c r="AN304" s="150"/>
      <c r="AO304" s="150"/>
      <c r="AP304" s="150"/>
      <c r="AQ304" s="150">
        <f t="shared" si="82"/>
        <v>44063</v>
      </c>
      <c r="AR304" s="150"/>
      <c r="AS304" s="150"/>
      <c r="AT304" s="150"/>
      <c r="AU304" s="150"/>
      <c r="AV304" s="150">
        <f t="shared" si="82"/>
        <v>44235</v>
      </c>
      <c r="AW304" s="150"/>
      <c r="AX304" s="150"/>
      <c r="AY304" s="150"/>
      <c r="AZ304" s="150"/>
      <c r="BA304" s="150">
        <f t="shared" si="82"/>
        <v>44579</v>
      </c>
      <c r="BB304" s="150"/>
      <c r="BC304" s="150"/>
      <c r="BD304" s="150"/>
      <c r="BE304" s="150"/>
      <c r="BF304" s="150"/>
      <c r="BG304" s="150">
        <f t="shared" si="82"/>
        <v>46643</v>
      </c>
      <c r="BH304" s="150"/>
      <c r="BI304" s="45"/>
      <c r="BJ304" s="45"/>
    </row>
    <row r="305" spans="1:62" s="69" customFormat="1" hidden="1" x14ac:dyDescent="0.25">
      <c r="A305" s="48" t="s">
        <v>105</v>
      </c>
      <c r="B305" s="25"/>
      <c r="C305" s="47"/>
      <c r="D305" s="47"/>
      <c r="E305" s="47"/>
      <c r="F305" s="47"/>
      <c r="G305" s="47"/>
      <c r="H305" s="47"/>
      <c r="I305" s="47"/>
      <c r="J305" s="47"/>
      <c r="K305" s="47"/>
      <c r="L305" s="47"/>
      <c r="M305" s="47"/>
      <c r="N305" s="47"/>
      <c r="O305" s="47"/>
      <c r="P305" s="150">
        <f t="shared" ref="P305:BG305" si="83">P286-(7*5)</f>
        <v>43847</v>
      </c>
      <c r="Q305" s="150">
        <f t="shared" si="83"/>
        <v>43855</v>
      </c>
      <c r="R305" s="150">
        <f t="shared" si="83"/>
        <v>43858</v>
      </c>
      <c r="S305" s="150">
        <f t="shared" si="83"/>
        <v>43860</v>
      </c>
      <c r="T305" s="150">
        <f t="shared" si="83"/>
        <v>43863</v>
      </c>
      <c r="U305" s="150">
        <f t="shared" si="83"/>
        <v>43866</v>
      </c>
      <c r="V305" s="150">
        <f t="shared" si="83"/>
        <v>43869</v>
      </c>
      <c r="W305" s="150">
        <f t="shared" si="83"/>
        <v>43871</v>
      </c>
      <c r="X305" s="150">
        <f t="shared" si="83"/>
        <v>43873</v>
      </c>
      <c r="Y305" s="150">
        <f t="shared" si="83"/>
        <v>43875</v>
      </c>
      <c r="Z305" s="150">
        <f t="shared" si="83"/>
        <v>43877</v>
      </c>
      <c r="AA305" s="150">
        <f t="shared" si="83"/>
        <v>43880</v>
      </c>
      <c r="AB305" s="150">
        <f t="shared" si="83"/>
        <v>43883</v>
      </c>
      <c r="AC305" s="150">
        <f t="shared" si="83"/>
        <v>43888</v>
      </c>
      <c r="AD305" s="150">
        <f t="shared" si="83"/>
        <v>43897</v>
      </c>
      <c r="AE305" s="150"/>
      <c r="AF305" s="150"/>
      <c r="AG305" s="150"/>
      <c r="AH305" s="150">
        <f t="shared" si="83"/>
        <v>43913</v>
      </c>
      <c r="AI305" s="150"/>
      <c r="AJ305" s="150"/>
      <c r="AK305" s="150"/>
      <c r="AL305" s="150">
        <f t="shared" si="83"/>
        <v>43956</v>
      </c>
      <c r="AM305" s="150"/>
      <c r="AN305" s="150"/>
      <c r="AO305" s="150"/>
      <c r="AP305" s="150"/>
      <c r="AQ305" s="150">
        <f t="shared" si="83"/>
        <v>44042</v>
      </c>
      <c r="AR305" s="150"/>
      <c r="AS305" s="150"/>
      <c r="AT305" s="150"/>
      <c r="AU305" s="150"/>
      <c r="AV305" s="150">
        <f t="shared" si="83"/>
        <v>44214</v>
      </c>
      <c r="AW305" s="150"/>
      <c r="AX305" s="150"/>
      <c r="AY305" s="150"/>
      <c r="AZ305" s="150"/>
      <c r="BA305" s="150">
        <f t="shared" si="83"/>
        <v>44558</v>
      </c>
      <c r="BB305" s="150"/>
      <c r="BC305" s="150"/>
      <c r="BD305" s="150"/>
      <c r="BE305" s="150"/>
      <c r="BF305" s="150"/>
      <c r="BG305" s="150">
        <f t="shared" si="83"/>
        <v>46622</v>
      </c>
      <c r="BH305" s="150"/>
      <c r="BI305" s="45"/>
      <c r="BJ305" s="45"/>
    </row>
    <row r="306" spans="1:62" s="69" customFormat="1" hidden="1" x14ac:dyDescent="0.25">
      <c r="A306" s="48" t="s">
        <v>103</v>
      </c>
      <c r="B306" s="25"/>
      <c r="C306" s="47"/>
      <c r="D306" s="47"/>
      <c r="E306" s="47"/>
      <c r="F306" s="47"/>
      <c r="G306" s="47"/>
      <c r="H306" s="47"/>
      <c r="I306" s="47"/>
      <c r="J306" s="47"/>
      <c r="K306" s="47"/>
      <c r="L306" s="47"/>
      <c r="M306" s="47"/>
      <c r="N306" s="47"/>
      <c r="O306" s="47"/>
      <c r="P306" s="150">
        <f t="shared" ref="P306:BG306" si="84">P286-(6*7)</f>
        <v>43840</v>
      </c>
      <c r="Q306" s="150">
        <f t="shared" si="84"/>
        <v>43848</v>
      </c>
      <c r="R306" s="150">
        <f t="shared" si="84"/>
        <v>43851</v>
      </c>
      <c r="S306" s="150">
        <f t="shared" si="84"/>
        <v>43853</v>
      </c>
      <c r="T306" s="150">
        <f t="shared" si="84"/>
        <v>43856</v>
      </c>
      <c r="U306" s="150">
        <f t="shared" si="84"/>
        <v>43859</v>
      </c>
      <c r="V306" s="150">
        <f t="shared" si="84"/>
        <v>43862</v>
      </c>
      <c r="W306" s="150">
        <f t="shared" si="84"/>
        <v>43864</v>
      </c>
      <c r="X306" s="150">
        <f t="shared" si="84"/>
        <v>43866</v>
      </c>
      <c r="Y306" s="150">
        <f t="shared" si="84"/>
        <v>43868</v>
      </c>
      <c r="Z306" s="150">
        <f t="shared" si="84"/>
        <v>43870</v>
      </c>
      <c r="AA306" s="150">
        <f t="shared" si="84"/>
        <v>43873</v>
      </c>
      <c r="AB306" s="150">
        <f t="shared" si="84"/>
        <v>43876</v>
      </c>
      <c r="AC306" s="150">
        <f t="shared" si="84"/>
        <v>43881</v>
      </c>
      <c r="AD306" s="150">
        <f t="shared" si="84"/>
        <v>43890</v>
      </c>
      <c r="AE306" s="150"/>
      <c r="AF306" s="150"/>
      <c r="AG306" s="150"/>
      <c r="AH306" s="150">
        <f t="shared" si="84"/>
        <v>43906</v>
      </c>
      <c r="AI306" s="150"/>
      <c r="AJ306" s="150"/>
      <c r="AK306" s="150"/>
      <c r="AL306" s="150">
        <f t="shared" si="84"/>
        <v>43949</v>
      </c>
      <c r="AM306" s="150"/>
      <c r="AN306" s="150"/>
      <c r="AO306" s="150"/>
      <c r="AP306" s="150"/>
      <c r="AQ306" s="150">
        <f t="shared" si="84"/>
        <v>44035</v>
      </c>
      <c r="AR306" s="150"/>
      <c r="AS306" s="150"/>
      <c r="AT306" s="150"/>
      <c r="AU306" s="150"/>
      <c r="AV306" s="150">
        <f t="shared" si="84"/>
        <v>44207</v>
      </c>
      <c r="AW306" s="150"/>
      <c r="AX306" s="150"/>
      <c r="AY306" s="150"/>
      <c r="AZ306" s="150"/>
      <c r="BA306" s="150">
        <f t="shared" si="84"/>
        <v>44551</v>
      </c>
      <c r="BB306" s="150"/>
      <c r="BC306" s="150"/>
      <c r="BD306" s="150"/>
      <c r="BE306" s="150"/>
      <c r="BF306" s="150"/>
      <c r="BG306" s="150">
        <f t="shared" si="84"/>
        <v>46615</v>
      </c>
      <c r="BH306" s="150"/>
      <c r="BI306" s="45"/>
      <c r="BJ306" s="45"/>
    </row>
    <row r="308" spans="1:62" x14ac:dyDescent="0.25">
      <c r="A308" s="53" t="s">
        <v>48</v>
      </c>
      <c r="B308" s="15"/>
      <c r="C308" s="16"/>
      <c r="D308" s="16"/>
      <c r="E308" s="16"/>
      <c r="F308" s="16"/>
      <c r="G308" s="16"/>
      <c r="H308" s="16"/>
      <c r="I308" s="16"/>
      <c r="J308" s="16"/>
      <c r="K308" s="16"/>
      <c r="L308" s="16"/>
      <c r="M308" s="16"/>
      <c r="N308" s="16"/>
      <c r="O308" s="16"/>
    </row>
    <row r="309" spans="1:62" s="69" customFormat="1" x14ac:dyDescent="0.25">
      <c r="A309" s="143" t="s">
        <v>101</v>
      </c>
      <c r="B309" s="25"/>
      <c r="C309" s="47"/>
      <c r="D309" s="47"/>
      <c r="E309" s="47"/>
      <c r="F309" s="47"/>
      <c r="G309" s="47"/>
      <c r="H309" s="47"/>
      <c r="I309" s="47"/>
      <c r="J309" s="47"/>
      <c r="K309" s="47"/>
      <c r="L309" s="47"/>
      <c r="M309" s="47"/>
      <c r="N309" s="47"/>
      <c r="O309" s="47"/>
      <c r="P309" s="141">
        <f t="shared" ref="P309:BH309" si="85">(P286-$B$283)/7</f>
        <v>4.4285714285714288</v>
      </c>
      <c r="Q309" s="141">
        <f t="shared" si="85"/>
        <v>5.5714285714285712</v>
      </c>
      <c r="R309" s="145">
        <f t="shared" si="85"/>
        <v>6</v>
      </c>
      <c r="S309" s="145">
        <f t="shared" si="85"/>
        <v>6.2857142857142856</v>
      </c>
      <c r="T309" s="141">
        <f t="shared" si="85"/>
        <v>6.7142857142857144</v>
      </c>
      <c r="U309" s="145">
        <f t="shared" si="85"/>
        <v>7.1428571428571432</v>
      </c>
      <c r="V309" s="141">
        <f t="shared" si="85"/>
        <v>7.5714285714285712</v>
      </c>
      <c r="W309" s="145">
        <f t="shared" si="85"/>
        <v>7.8571428571428568</v>
      </c>
      <c r="X309" s="145">
        <f t="shared" si="85"/>
        <v>8.1428571428571423</v>
      </c>
      <c r="Y309" s="142">
        <f t="shared" si="85"/>
        <v>8.4285714285714288</v>
      </c>
      <c r="Z309" s="145">
        <f t="shared" si="85"/>
        <v>8.7142857142857135</v>
      </c>
      <c r="AA309" s="145">
        <f t="shared" si="85"/>
        <v>9.1428571428571423</v>
      </c>
      <c r="AB309" s="141">
        <f t="shared" si="85"/>
        <v>9.5714285714285712</v>
      </c>
      <c r="AC309" s="142">
        <f t="shared" si="85"/>
        <v>10.285714285714286</v>
      </c>
      <c r="AD309" s="142">
        <f t="shared" si="85"/>
        <v>11.571428571428571</v>
      </c>
      <c r="AE309" s="144">
        <f t="shared" ref="AE309:AG309" si="86">(AE286-$B$283)/7</f>
        <v>12.142857142857142</v>
      </c>
      <c r="AF309" s="144">
        <f t="shared" si="86"/>
        <v>12.714285714285714</v>
      </c>
      <c r="AG309" s="144">
        <f t="shared" si="86"/>
        <v>13.285714285714286</v>
      </c>
      <c r="AH309" s="144">
        <f t="shared" si="85"/>
        <v>13.857142857142858</v>
      </c>
      <c r="AI309" s="144">
        <f t="shared" ref="AI309:AK309" si="87">(AI286-$B$283)/7</f>
        <v>15.392857142857142</v>
      </c>
      <c r="AJ309" s="144">
        <f t="shared" si="87"/>
        <v>16.928571428571427</v>
      </c>
      <c r="AK309" s="144">
        <f t="shared" si="87"/>
        <v>18.58714285714294</v>
      </c>
      <c r="AL309" s="144">
        <f t="shared" si="85"/>
        <v>20</v>
      </c>
      <c r="AM309" s="142">
        <f t="shared" ref="AM309:AP309" si="88">(AM286-$B$283)/7</f>
        <v>22.45714285714244</v>
      </c>
      <c r="AN309" s="142">
        <f t="shared" si="88"/>
        <v>24.914285714285921</v>
      </c>
      <c r="AO309" s="142">
        <f t="shared" si="88"/>
        <v>27.371428571428364</v>
      </c>
      <c r="AP309" s="142">
        <f t="shared" si="88"/>
        <v>29.828571428571845</v>
      </c>
      <c r="AQ309" s="142">
        <f t="shared" si="85"/>
        <v>32.285714285714285</v>
      </c>
      <c r="AR309" s="144">
        <f t="shared" ref="AR309:AU309" si="89">(AR286-$B$283)/7</f>
        <v>37.200000000000209</v>
      </c>
      <c r="AS309" s="144">
        <f t="shared" si="89"/>
        <v>42.114285714286133</v>
      </c>
      <c r="AT309" s="144">
        <f t="shared" si="89"/>
        <v>47.028571428571013</v>
      </c>
      <c r="AU309" s="144">
        <f t="shared" si="89"/>
        <v>51.942857142856937</v>
      </c>
      <c r="AV309" s="144">
        <f t="shared" si="85"/>
        <v>56.857142857142854</v>
      </c>
      <c r="AW309" s="141">
        <f t="shared" ref="AW309:AZ309" si="90">(AW286-$B$283)/7</f>
        <v>66.685714285714695</v>
      </c>
      <c r="AX309" s="141">
        <f t="shared" si="90"/>
        <v>76.514285714285506</v>
      </c>
      <c r="AY309" s="141">
        <f t="shared" si="90"/>
        <v>86.342857142857355</v>
      </c>
      <c r="AZ309" s="141">
        <f t="shared" si="90"/>
        <v>96.171428571428152</v>
      </c>
      <c r="BA309" s="141">
        <f t="shared" si="85"/>
        <v>106</v>
      </c>
      <c r="BB309" s="141">
        <f t="shared" ref="BB309:BF309" si="91">(BB286-$B$283)/7</f>
        <v>155.14285714285714</v>
      </c>
      <c r="BC309" s="141">
        <f t="shared" si="91"/>
        <v>204.28571428571428</v>
      </c>
      <c r="BD309" s="141">
        <f t="shared" si="91"/>
        <v>253.42857142857142</v>
      </c>
      <c r="BE309" s="141">
        <f t="shared" si="91"/>
        <v>302.57142857142856</v>
      </c>
      <c r="BF309" s="141">
        <f t="shared" si="91"/>
        <v>351.71428571428572</v>
      </c>
      <c r="BG309" s="144">
        <f t="shared" si="85"/>
        <v>400.85714285714283</v>
      </c>
      <c r="BH309" s="144">
        <f t="shared" si="85"/>
        <v>408.85714285714283</v>
      </c>
    </row>
    <row r="310" spans="1:62" s="69" customFormat="1" x14ac:dyDescent="0.25">
      <c r="A310" s="143" t="s">
        <v>100</v>
      </c>
      <c r="B310" s="25"/>
      <c r="C310" s="47"/>
      <c r="D310" s="47"/>
      <c r="E310" s="47"/>
      <c r="F310" s="47"/>
      <c r="G310" s="47"/>
      <c r="H310" s="47"/>
      <c r="I310" s="47"/>
      <c r="J310" s="47"/>
      <c r="K310" s="47"/>
      <c r="L310" s="47"/>
      <c r="M310" s="47"/>
      <c r="N310" s="47"/>
      <c r="O310" s="47"/>
      <c r="P310" s="267">
        <f>P286-$B$283</f>
        <v>31</v>
      </c>
      <c r="Q310" s="234">
        <f t="shared" ref="Q310:U310" si="92">Q286-$B$283</f>
        <v>39</v>
      </c>
      <c r="R310" s="234">
        <f t="shared" si="92"/>
        <v>42</v>
      </c>
      <c r="S310" s="234">
        <f t="shared" si="92"/>
        <v>44</v>
      </c>
      <c r="T310" s="234">
        <f t="shared" si="92"/>
        <v>47</v>
      </c>
      <c r="U310" s="234">
        <f t="shared" si="92"/>
        <v>50</v>
      </c>
      <c r="V310" s="234">
        <f>V286-$B$283</f>
        <v>53</v>
      </c>
      <c r="W310" s="234">
        <f t="shared" ref="W310:BH310" si="93">W286-$B$283</f>
        <v>55</v>
      </c>
      <c r="X310" s="234">
        <f t="shared" si="93"/>
        <v>57</v>
      </c>
      <c r="Y310" s="234">
        <f t="shared" si="93"/>
        <v>59</v>
      </c>
      <c r="Z310" s="234">
        <f t="shared" si="93"/>
        <v>61</v>
      </c>
      <c r="AA310" s="234">
        <f t="shared" si="93"/>
        <v>64</v>
      </c>
      <c r="AB310" s="234">
        <f t="shared" si="93"/>
        <v>67</v>
      </c>
      <c r="AC310" s="234">
        <f t="shared" si="93"/>
        <v>72</v>
      </c>
      <c r="AD310" s="234">
        <f t="shared" si="93"/>
        <v>81</v>
      </c>
      <c r="AE310" s="234">
        <f t="shared" ref="AE310:AG310" si="94">AE286-$B$283</f>
        <v>85</v>
      </c>
      <c r="AF310" s="234">
        <f t="shared" si="94"/>
        <v>89</v>
      </c>
      <c r="AG310" s="234">
        <f t="shared" si="94"/>
        <v>93</v>
      </c>
      <c r="AH310" s="234">
        <f t="shared" si="93"/>
        <v>97</v>
      </c>
      <c r="AI310" s="234">
        <f t="shared" ref="AI310:AK310" si="95">AI286-$B$283</f>
        <v>107.75</v>
      </c>
      <c r="AJ310" s="234">
        <f t="shared" si="95"/>
        <v>118.5</v>
      </c>
      <c r="AK310" s="234">
        <f t="shared" si="95"/>
        <v>130.11000000000058</v>
      </c>
      <c r="AL310" s="234">
        <f t="shared" si="93"/>
        <v>140</v>
      </c>
      <c r="AM310" s="234">
        <f t="shared" ref="AM310:AP310" si="96">AM286-$B$283</f>
        <v>157.19999999999709</v>
      </c>
      <c r="AN310" s="234">
        <f t="shared" si="96"/>
        <v>174.40000000000146</v>
      </c>
      <c r="AO310" s="234">
        <f t="shared" si="96"/>
        <v>191.59999999999854</v>
      </c>
      <c r="AP310" s="234">
        <f t="shared" si="96"/>
        <v>208.80000000000291</v>
      </c>
      <c r="AQ310" s="234">
        <f t="shared" si="93"/>
        <v>226</v>
      </c>
      <c r="AR310" s="234">
        <f t="shared" ref="AR310:AU310" si="97">AR286-$B$283</f>
        <v>260.40000000000146</v>
      </c>
      <c r="AS310" s="234">
        <f t="shared" si="97"/>
        <v>294.80000000000291</v>
      </c>
      <c r="AT310" s="234">
        <f t="shared" si="97"/>
        <v>329.19999999999709</v>
      </c>
      <c r="AU310" s="234">
        <f t="shared" si="97"/>
        <v>363.59999999999854</v>
      </c>
      <c r="AV310" s="234">
        <f t="shared" si="93"/>
        <v>398</v>
      </c>
      <c r="AW310" s="235">
        <f t="shared" ref="AW310:AZ310" si="98">AW286-$B$283</f>
        <v>466.80000000000291</v>
      </c>
      <c r="AX310" s="235">
        <f t="shared" si="98"/>
        <v>535.59999999999854</v>
      </c>
      <c r="AY310" s="235">
        <f t="shared" si="98"/>
        <v>604.40000000000146</v>
      </c>
      <c r="AZ310" s="235">
        <f t="shared" si="98"/>
        <v>673.19999999999709</v>
      </c>
      <c r="BA310" s="235">
        <f t="shared" si="93"/>
        <v>742</v>
      </c>
      <c r="BB310" s="260">
        <f t="shared" ref="BB310:BF310" si="99">BB286-$B$283</f>
        <v>1086</v>
      </c>
      <c r="BC310" s="191">
        <f t="shared" si="99"/>
        <v>1430</v>
      </c>
      <c r="BD310" s="191">
        <f t="shared" si="99"/>
        <v>1774</v>
      </c>
      <c r="BE310" s="191">
        <f t="shared" si="99"/>
        <v>2118</v>
      </c>
      <c r="BF310" s="191">
        <f t="shared" si="99"/>
        <v>2462</v>
      </c>
      <c r="BG310" s="191">
        <f t="shared" si="93"/>
        <v>2806</v>
      </c>
      <c r="BH310" s="191">
        <f t="shared" si="93"/>
        <v>2862</v>
      </c>
    </row>
    <row r="311" spans="1:62" x14ac:dyDescent="0.25">
      <c r="A311" s="41" t="s">
        <v>42</v>
      </c>
      <c r="B311" s="16"/>
      <c r="C311" s="16"/>
      <c r="D311" s="16"/>
      <c r="E311" s="16"/>
      <c r="F311" s="16"/>
      <c r="G311" s="16"/>
      <c r="H311" s="16"/>
      <c r="I311" s="16"/>
      <c r="J311" s="16"/>
      <c r="K311" s="16"/>
      <c r="L311" s="16"/>
      <c r="M311" s="16"/>
      <c r="N311" s="16"/>
      <c r="O311" s="16"/>
      <c r="P311" s="146">
        <v>35</v>
      </c>
      <c r="Q311" s="147">
        <v>68</v>
      </c>
      <c r="R311" s="148">
        <v>124</v>
      </c>
      <c r="S311" s="148">
        <v>221</v>
      </c>
      <c r="T311" s="148">
        <v>541</v>
      </c>
      <c r="U311" s="148">
        <v>1301</v>
      </c>
      <c r="V311" s="148">
        <v>2771</v>
      </c>
      <c r="W311" s="148">
        <v>4604</v>
      </c>
      <c r="X311" s="148">
        <v>9317</v>
      </c>
      <c r="Y311" s="148">
        <v>19551</v>
      </c>
      <c r="Z311" s="148">
        <v>33840</v>
      </c>
      <c r="AA311" s="148">
        <v>68905</v>
      </c>
      <c r="AB311" s="148">
        <v>124788</v>
      </c>
      <c r="AC311" s="148">
        <v>250708</v>
      </c>
      <c r="AD311" s="148">
        <v>539942</v>
      </c>
      <c r="AE311" s="148">
        <v>652474</v>
      </c>
      <c r="AF311" s="148">
        <v>770014</v>
      </c>
      <c r="AG311" s="148">
        <v>886274</v>
      </c>
      <c r="AH311" s="148">
        <v>1010356</v>
      </c>
      <c r="AI311" s="148">
        <v>1292623</v>
      </c>
      <c r="AJ311" s="148">
        <v>1550294</v>
      </c>
      <c r="AK311" s="148">
        <v>1793530</v>
      </c>
      <c r="AL311" s="148">
        <v>2045549</v>
      </c>
      <c r="AM311" s="183">
        <f>AM287</f>
        <v>2457600</v>
      </c>
      <c r="AN311" s="183">
        <f>AN287</f>
        <v>2867200</v>
      </c>
      <c r="AO311" s="183">
        <f>AO287</f>
        <v>3276800</v>
      </c>
      <c r="AP311" s="183">
        <f>AP287</f>
        <v>3686400</v>
      </c>
      <c r="AQ311" s="183">
        <f>AQ287</f>
        <v>4096000</v>
      </c>
      <c r="AR311" s="183">
        <f>AR287</f>
        <v>4915200</v>
      </c>
      <c r="AS311" s="183">
        <f>AS287</f>
        <v>5734400</v>
      </c>
      <c r="AT311" s="183">
        <f>AT287</f>
        <v>6553600</v>
      </c>
      <c r="AU311" s="183">
        <f>AU287</f>
        <v>7372800</v>
      </c>
      <c r="AV311" s="183">
        <f>AV287</f>
        <v>8192000</v>
      </c>
      <c r="AW311" s="183">
        <f>AW287</f>
        <v>9830400</v>
      </c>
      <c r="AX311" s="183">
        <f>AX287</f>
        <v>11468800</v>
      </c>
      <c r="AY311" s="183">
        <f>AY287</f>
        <v>13107200</v>
      </c>
      <c r="AZ311" s="183">
        <f>AZ287</f>
        <v>14745600</v>
      </c>
      <c r="BA311" s="183">
        <f>BA287</f>
        <v>16384000</v>
      </c>
      <c r="BB311" s="187">
        <f t="shared" ref="BB311" si="100">BA311*2</f>
        <v>32768000</v>
      </c>
      <c r="BC311" s="187">
        <f t="shared" ref="BC311" si="101">BB311*2</f>
        <v>65536000</v>
      </c>
      <c r="BD311" s="187">
        <f t="shared" ref="BD311" si="102">BC311*2</f>
        <v>131072000</v>
      </c>
      <c r="BE311" s="187">
        <f t="shared" ref="BE311" si="103">BD311*2</f>
        <v>262144000</v>
      </c>
      <c r="BF311" s="187">
        <f t="shared" ref="BF311" si="104">BE311*2</f>
        <v>524288000</v>
      </c>
      <c r="BG311" s="187">
        <f>BG287</f>
        <v>330565500</v>
      </c>
      <c r="BH311" s="188">
        <f>BG287</f>
        <v>330565500</v>
      </c>
    </row>
    <row r="312" spans="1:62" x14ac:dyDescent="0.25">
      <c r="A312" s="41" t="s">
        <v>154</v>
      </c>
      <c r="B312" s="16"/>
      <c r="C312" s="16"/>
      <c r="D312" s="16"/>
      <c r="E312" s="16"/>
      <c r="F312" s="16"/>
      <c r="G312" s="16"/>
      <c r="H312" s="16"/>
      <c r="I312" s="16"/>
      <c r="J312" s="16"/>
      <c r="K312" s="16"/>
      <c r="L312" s="16"/>
      <c r="M312" s="16"/>
      <c r="N312" s="16"/>
      <c r="O312" s="16"/>
      <c r="P312" s="194">
        <f>(P286-B283)/(LOG(P311/1)/LOG(2))</f>
        <v>6.0437296787073755</v>
      </c>
      <c r="Q312" s="174">
        <f>(Q286-$P$286)/(LOG(Q311/$P$311)/LOG(2))</f>
        <v>8.3491634837954933</v>
      </c>
      <c r="R312" s="174">
        <f t="shared" ref="R312:BH312" si="105">(R286-$P$286)/(LOG(R311/$P$311)/LOG(2))</f>
        <v>6.0276836381926202</v>
      </c>
      <c r="S312" s="174">
        <f t="shared" si="105"/>
        <v>4.8897556767514709</v>
      </c>
      <c r="T312" s="174">
        <f t="shared" si="105"/>
        <v>4.0504260147273037</v>
      </c>
      <c r="U312" s="174">
        <f t="shared" si="105"/>
        <v>3.6425526786068976</v>
      </c>
      <c r="V312" s="174">
        <f t="shared" si="105"/>
        <v>3.4882386226134869</v>
      </c>
      <c r="W312" s="174">
        <f t="shared" si="105"/>
        <v>3.4093867599891814</v>
      </c>
      <c r="X312" s="174">
        <f t="shared" si="105"/>
        <v>3.2272612172752644</v>
      </c>
      <c r="Y312" s="174">
        <f t="shared" si="105"/>
        <v>3.0682672712732586</v>
      </c>
      <c r="Z312" s="174">
        <f t="shared" si="105"/>
        <v>3.0250599197351313</v>
      </c>
      <c r="AA312" s="174">
        <f t="shared" si="105"/>
        <v>3.0156159459256791</v>
      </c>
      <c r="AB312" s="174">
        <f t="shared" si="105"/>
        <v>3.0508896880563214</v>
      </c>
      <c r="AC312" s="174">
        <f t="shared" si="105"/>
        <v>3.201532865133665</v>
      </c>
      <c r="AD312" s="174">
        <f t="shared" si="105"/>
        <v>3.5937194117521298</v>
      </c>
      <c r="AE312" s="174">
        <f t="shared" si="105"/>
        <v>3.8064952970597021</v>
      </c>
      <c r="AF312" s="174">
        <f t="shared" si="105"/>
        <v>4.020729736229403</v>
      </c>
      <c r="AG312" s="174">
        <f t="shared" si="105"/>
        <v>4.2384148703141689</v>
      </c>
      <c r="AH312" s="174">
        <f t="shared" ref="AH312:AK312" si="106">(AH286-$P$286)/(LOG(AH311/$P$311)/LOG(2))</f>
        <v>4.4542981107309165</v>
      </c>
      <c r="AI312" s="174">
        <f t="shared" si="106"/>
        <v>5.0584649404191362</v>
      </c>
      <c r="AJ312" s="174">
        <f t="shared" si="106"/>
        <v>5.6689976374219366</v>
      </c>
      <c r="AK312" s="174">
        <f t="shared" si="106"/>
        <v>6.3348958864178382</v>
      </c>
      <c r="AL312" s="174">
        <f t="shared" si="105"/>
        <v>6.8835843452041185</v>
      </c>
      <c r="AM312" s="184">
        <f>(AM286-$P$286)/(LOG(AM311/$P$311)/LOG(2))</f>
        <v>7.8387353870909751</v>
      </c>
      <c r="AN312" s="184">
        <f>(AN286-$P$286)/(LOG(AN311/$P$311)/LOG(2))</f>
        <v>8.7857267331621003</v>
      </c>
      <c r="AO312" s="184">
        <f>(AO286-$P$286)/(LOG(AO311/$P$311)/LOG(2))</f>
        <v>9.7247442195007636</v>
      </c>
      <c r="AP312" s="184">
        <f>(AP286-$P$286)/(LOG(AP311/$P$311)/LOG(2))</f>
        <v>10.656598606853823</v>
      </c>
      <c r="AQ312" s="184">
        <f>(AQ286-$P$286)/(LOG(AQ311/$P$311)/LOG(2))</f>
        <v>11.581978755520879</v>
      </c>
      <c r="AR312" s="184">
        <f>(AR286-$P$286)/(LOG(AR311/$P$311)/LOG(2))</f>
        <v>13.415568959268935</v>
      </c>
      <c r="AS312" s="184">
        <f>(AS286-$P$286)/(LOG(AS311/$P$311)/LOG(2))</f>
        <v>15.229251533370848</v>
      </c>
      <c r="AT312" s="184">
        <f>(AT286-$P$286)/(LOG(AT311/$P$311)/LOG(2))</f>
        <v>17.025821700445018</v>
      </c>
      <c r="AU312" s="184">
        <f>(AU286-$P$286)/(LOG(AU311/$P$311)/LOG(2))</f>
        <v>18.80743217717508</v>
      </c>
      <c r="AV312" s="184">
        <f>(AV286-$P$286)/(LOG(AV311/$P$311)/LOG(2))</f>
        <v>20.575784145753154</v>
      </c>
      <c r="AW312" s="184">
        <f>(AW286-$P$286)/(LOG(AW311/$P$311)/LOG(2))</f>
        <v>24.077965747864077</v>
      </c>
      <c r="AX312" s="184">
        <f>(AX286-$P$286)/(LOG(AX311/$P$311)/LOG(2))</f>
        <v>27.540769584223209</v>
      </c>
      <c r="AY312" s="184">
        <f>(AY286-$P$286)/(LOG(AY311/$P$311)/LOG(2))</f>
        <v>30.970198159440649</v>
      </c>
      <c r="AZ312" s="184">
        <f>(AZ286-$P$286)/(LOG(AZ311/$P$311)/LOG(2))</f>
        <v>34.370738459772227</v>
      </c>
      <c r="BA312" s="184">
        <f>(BA286-$P$286)/(LOG(BA311/$P$311)/LOG(2))</f>
        <v>37.745863199050937</v>
      </c>
      <c r="BB312" s="189">
        <f t="shared" ref="BB312" si="107">(BB286-$P$286)/(LOG(BB311/$P$311)/LOG(2))</f>
        <v>53.184782223514276</v>
      </c>
      <c r="BC312" s="189">
        <f t="shared" ref="BC312" si="108">(BC286-$P$286)/(LOG(BC311/$P$311)/LOG(2))</f>
        <v>67.141790362258675</v>
      </c>
      <c r="BD312" s="189">
        <f t="shared" ref="BD312" si="109">(BD286-$P$286)/(LOG(BD311/$P$311)/LOG(2))</f>
        <v>79.820479417956705</v>
      </c>
      <c r="BE312" s="189">
        <f t="shared" ref="BE312" si="110">(BE286-$P$286)/(LOG(BE311/$P$311)/LOG(2))</f>
        <v>91.388780423658545</v>
      </c>
      <c r="BF312" s="189">
        <f t="shared" ref="BF312" si="111">(BF286-$P$286)/(LOG(BF311/$P$311)/LOG(2))</f>
        <v>101.98644392885025</v>
      </c>
      <c r="BG312" s="189">
        <f t="shared" si="105"/>
        <v>119.7613685182493</v>
      </c>
      <c r="BH312" s="190">
        <f t="shared" si="105"/>
        <v>122.17817451357253</v>
      </c>
    </row>
    <row r="313" spans="1:62" x14ac:dyDescent="0.25">
      <c r="A313" s="41" t="s">
        <v>190</v>
      </c>
      <c r="B313" s="16"/>
      <c r="C313" s="16"/>
      <c r="D313" s="16"/>
      <c r="E313" s="16"/>
      <c r="F313" s="16"/>
      <c r="G313" s="16"/>
      <c r="H313" s="16"/>
      <c r="I313" s="16"/>
      <c r="J313" s="16"/>
      <c r="K313" s="16"/>
      <c r="L313" s="16"/>
      <c r="M313" s="16"/>
      <c r="N313" s="16"/>
      <c r="O313" s="16"/>
      <c r="P313" s="264">
        <v>14</v>
      </c>
      <c r="Q313" s="261">
        <v>51</v>
      </c>
      <c r="R313" s="261">
        <v>70</v>
      </c>
      <c r="S313" s="261">
        <v>102</v>
      </c>
      <c r="T313" s="261">
        <v>246</v>
      </c>
      <c r="U313" s="261">
        <v>608</v>
      </c>
      <c r="V313" s="261">
        <v>1390</v>
      </c>
      <c r="W313" s="261">
        <v>2355</v>
      </c>
      <c r="X313" s="261">
        <v>4207</v>
      </c>
      <c r="Y313" s="261">
        <v>8341</v>
      </c>
      <c r="Z313" s="261">
        <v>15608</v>
      </c>
      <c r="AA313" s="261">
        <v>36304</v>
      </c>
      <c r="AB313" s="261">
        <v>71401</v>
      </c>
      <c r="AC313" s="261">
        <v>161932</v>
      </c>
      <c r="AD313" s="261">
        <v>400623</v>
      </c>
      <c r="AE313" s="261">
        <v>505584</v>
      </c>
      <c r="AF313" s="261">
        <v>593640</v>
      </c>
      <c r="AG313" s="261">
        <v>680047</v>
      </c>
      <c r="AH313" s="261">
        <v>763531</v>
      </c>
      <c r="AI313" s="261">
        <v>998445</v>
      </c>
      <c r="AJ313" s="261">
        <v>1101930</v>
      </c>
      <c r="AK313" s="261">
        <v>1169419</v>
      </c>
      <c r="AL313" s="261">
        <v>1142539</v>
      </c>
      <c r="AM313" s="265"/>
      <c r="AN313" s="265"/>
      <c r="AO313" s="265"/>
      <c r="AP313" s="265"/>
      <c r="AQ313" s="265"/>
      <c r="AR313" s="265"/>
      <c r="AS313" s="265"/>
      <c r="AT313" s="265"/>
      <c r="AU313" s="265"/>
      <c r="AV313" s="265"/>
      <c r="AW313" s="265"/>
      <c r="AX313" s="265"/>
      <c r="AY313" s="265"/>
      <c r="AZ313" s="265"/>
      <c r="BA313" s="265"/>
      <c r="BB313" s="189"/>
      <c r="BC313" s="189"/>
      <c r="BD313" s="189"/>
      <c r="BE313" s="189"/>
      <c r="BF313" s="189"/>
      <c r="BG313" s="189"/>
      <c r="BH313" s="190"/>
    </row>
    <row r="314" spans="1:62" x14ac:dyDescent="0.25">
      <c r="A314" s="41" t="s">
        <v>63</v>
      </c>
      <c r="B314" s="16"/>
      <c r="C314" s="16"/>
      <c r="D314" s="16"/>
      <c r="E314" s="16"/>
      <c r="F314" s="16"/>
      <c r="G314" s="16"/>
      <c r="H314" s="16"/>
      <c r="I314" s="16"/>
      <c r="J314" s="16"/>
      <c r="K314" s="16"/>
      <c r="L314" s="16"/>
      <c r="M314" s="16"/>
      <c r="N314" s="16"/>
      <c r="O314" s="16"/>
      <c r="P314" s="233">
        <f>P311-P315-P313</f>
        <v>21</v>
      </c>
      <c r="Q314" s="149">
        <f t="shared" ref="Q314:AE314" si="112">Q311-Q315-Q313</f>
        <v>16</v>
      </c>
      <c r="R314" s="149">
        <f t="shared" si="112"/>
        <v>45</v>
      </c>
      <c r="S314" s="149">
        <f t="shared" si="112"/>
        <v>107</v>
      </c>
      <c r="T314" s="149">
        <f t="shared" si="112"/>
        <v>273</v>
      </c>
      <c r="U314" s="149">
        <f t="shared" si="112"/>
        <v>655</v>
      </c>
      <c r="V314" s="149">
        <f t="shared" si="112"/>
        <v>1323</v>
      </c>
      <c r="W314" s="149">
        <f t="shared" si="112"/>
        <v>2154</v>
      </c>
      <c r="X314" s="149">
        <f t="shared" si="112"/>
        <v>4939</v>
      </c>
      <c r="Y314" s="149">
        <f t="shared" si="112"/>
        <v>10901</v>
      </c>
      <c r="Z314" s="149">
        <f t="shared" si="112"/>
        <v>17723</v>
      </c>
      <c r="AA314" s="149">
        <f t="shared" si="112"/>
        <v>31341</v>
      </c>
      <c r="AB314" s="149">
        <f t="shared" si="112"/>
        <v>50633</v>
      </c>
      <c r="AC314" s="149">
        <f t="shared" si="112"/>
        <v>81200</v>
      </c>
      <c r="AD314" s="149">
        <f t="shared" si="112"/>
        <v>115257</v>
      </c>
      <c r="AE314" s="149">
        <f t="shared" si="112"/>
        <v>114178</v>
      </c>
      <c r="AF314" s="149">
        <f t="shared" ref="AF314:AH314" si="113">AF311-AF315-AF313</f>
        <v>135473</v>
      </c>
      <c r="AG314" s="149">
        <f t="shared" si="113"/>
        <v>155993</v>
      </c>
      <c r="AH314" s="149">
        <f t="shared" si="113"/>
        <v>190030</v>
      </c>
      <c r="AI314" s="149">
        <f t="shared" ref="AI314:AJ314" si="114">AI311-AI315-AI313</f>
        <v>217250</v>
      </c>
      <c r="AJ314" s="149">
        <f t="shared" si="114"/>
        <v>356383</v>
      </c>
      <c r="AK314" s="149">
        <f t="shared" ref="AK314:AL314" si="115">AK311-AK315-AK313</f>
        <v>519569</v>
      </c>
      <c r="AL314" s="149">
        <f t="shared" si="115"/>
        <v>788862</v>
      </c>
      <c r="AM314" s="185"/>
      <c r="AN314" s="185"/>
      <c r="AO314" s="185"/>
      <c r="AP314" s="185"/>
      <c r="AQ314" s="185"/>
      <c r="AR314" s="185"/>
      <c r="AS314" s="185"/>
      <c r="AT314" s="185"/>
      <c r="AU314" s="185"/>
      <c r="AV314" s="185"/>
      <c r="AW314" s="185"/>
      <c r="AX314" s="185"/>
      <c r="AY314" s="185"/>
      <c r="AZ314" s="185"/>
      <c r="BA314" s="185"/>
      <c r="BB314" s="187"/>
      <c r="BC314" s="107"/>
      <c r="BD314" s="107"/>
      <c r="BE314" s="107"/>
      <c r="BF314" s="107"/>
      <c r="BG314" s="107"/>
      <c r="BH314" s="108"/>
    </row>
    <row r="315" spans="1:62" x14ac:dyDescent="0.25">
      <c r="A315" s="49" t="s">
        <v>43</v>
      </c>
      <c r="B315" s="38"/>
      <c r="C315" s="39"/>
      <c r="D315" s="39"/>
      <c r="E315" s="39"/>
      <c r="F315" s="39"/>
      <c r="G315" s="39"/>
      <c r="H315" s="39"/>
      <c r="I315" s="39"/>
      <c r="J315" s="39"/>
      <c r="K315" s="39"/>
      <c r="L315" s="39"/>
      <c r="M315" s="39"/>
      <c r="N315" s="39"/>
      <c r="O315" s="39"/>
      <c r="P315" s="67">
        <v>0</v>
      </c>
      <c r="Q315" s="68">
        <v>1</v>
      </c>
      <c r="R315" s="52">
        <v>9</v>
      </c>
      <c r="S315" s="52">
        <v>12</v>
      </c>
      <c r="T315" s="52">
        <v>22</v>
      </c>
      <c r="U315" s="52">
        <v>38</v>
      </c>
      <c r="V315" s="52">
        <v>58</v>
      </c>
      <c r="W315" s="52">
        <v>95</v>
      </c>
      <c r="X315" s="52">
        <v>171</v>
      </c>
      <c r="Y315" s="52">
        <v>309</v>
      </c>
      <c r="Z315" s="52">
        <v>509</v>
      </c>
      <c r="AA315" s="52">
        <v>1260</v>
      </c>
      <c r="AB315" s="52">
        <v>2754</v>
      </c>
      <c r="AC315" s="52">
        <v>7576</v>
      </c>
      <c r="AD315" s="52">
        <v>24062</v>
      </c>
      <c r="AE315" s="52">
        <v>32712</v>
      </c>
      <c r="AF315" s="52">
        <v>40901</v>
      </c>
      <c r="AG315" s="52">
        <v>50234</v>
      </c>
      <c r="AH315" s="52">
        <v>56795</v>
      </c>
      <c r="AI315" s="52">
        <v>76928</v>
      </c>
      <c r="AJ315" s="52">
        <v>91981</v>
      </c>
      <c r="AK315" s="52">
        <v>104542</v>
      </c>
      <c r="AL315" s="52">
        <v>114148</v>
      </c>
      <c r="AM315" s="186"/>
      <c r="AN315" s="186"/>
      <c r="AO315" s="186"/>
      <c r="AP315" s="186"/>
      <c r="AQ315" s="186"/>
      <c r="AR315" s="186"/>
      <c r="AS315" s="186"/>
      <c r="AT315" s="186"/>
      <c r="AU315" s="186"/>
      <c r="AV315" s="186"/>
      <c r="AW315" s="186"/>
      <c r="AX315" s="186"/>
      <c r="AY315" s="186"/>
      <c r="AZ315" s="186"/>
      <c r="BA315" s="186"/>
      <c r="BB315" s="187"/>
      <c r="BC315" s="107"/>
      <c r="BD315" s="107"/>
      <c r="BE315" s="107"/>
      <c r="BF315" s="107"/>
      <c r="BG315" s="107"/>
      <c r="BH315" s="108"/>
    </row>
    <row r="316" spans="1:62" x14ac:dyDescent="0.25">
      <c r="B316" s="3"/>
      <c r="P316" s="35"/>
      <c r="Q316" s="35"/>
      <c r="R316" s="35"/>
      <c r="S316" s="35"/>
      <c r="T316" s="35"/>
      <c r="U316" s="35"/>
      <c r="V316" s="35"/>
      <c r="W316" s="35"/>
      <c r="X316" s="35"/>
      <c r="Y316" s="35"/>
      <c r="Z316" s="35"/>
      <c r="AA316" s="35"/>
      <c r="AB316" s="35"/>
      <c r="AC316" s="35"/>
      <c r="AD316" s="35"/>
      <c r="AE316" s="35"/>
      <c r="AF316" s="35"/>
      <c r="AG316" s="35"/>
      <c r="AH316" s="35"/>
      <c r="AI316" s="35"/>
      <c r="AJ316" s="35"/>
      <c r="AK316" s="35"/>
      <c r="AL316" s="35"/>
      <c r="AM316" s="35"/>
      <c r="AN316" s="35"/>
      <c r="AO316" s="35"/>
      <c r="AP316" s="35"/>
      <c r="AQ316" s="35"/>
      <c r="AR316" s="35"/>
      <c r="AS316" s="35"/>
      <c r="AT316" s="35"/>
      <c r="AU316" s="35"/>
    </row>
    <row r="317" spans="1:62" x14ac:dyDescent="0.25">
      <c r="A317" s="74" t="s">
        <v>49</v>
      </c>
      <c r="AQ317" s="16"/>
      <c r="AR317" s="16"/>
      <c r="AS317" s="16"/>
      <c r="AT317" s="16"/>
      <c r="AU317" s="16"/>
    </row>
    <row r="318" spans="1:62" x14ac:dyDescent="0.25">
      <c r="A318" s="4" t="s">
        <v>0</v>
      </c>
      <c r="B318" s="193" t="s">
        <v>115</v>
      </c>
      <c r="C318" s="5" t="s">
        <v>3</v>
      </c>
      <c r="D318" s="193" t="s">
        <v>51</v>
      </c>
      <c r="E318" s="58" t="s">
        <v>2</v>
      </c>
      <c r="F318" s="9" t="s">
        <v>3</v>
      </c>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5"/>
      <c r="BH318" s="47"/>
    </row>
    <row r="319" spans="1:62" x14ac:dyDescent="0.25">
      <c r="A319" s="41" t="s">
        <v>12</v>
      </c>
      <c r="B319" s="13">
        <f>'Population by Age - Wikipedia'!D41</f>
        <v>3.6394890344941602E-2</v>
      </c>
      <c r="C319" s="12">
        <f>$B$270*B319</f>
        <v>12030895.124320794</v>
      </c>
      <c r="D319" s="22">
        <f>'AU Infection Rate by Age'!C4</f>
        <v>2.8847876724601325E-2</v>
      </c>
      <c r="E319" s="5"/>
      <c r="F319" s="16"/>
      <c r="G319" s="16"/>
      <c r="H319" s="16"/>
      <c r="I319" s="16"/>
      <c r="J319" s="16"/>
      <c r="K319" s="16"/>
      <c r="L319" s="16"/>
      <c r="M319" s="16"/>
      <c r="N319" s="16"/>
      <c r="O319" s="16"/>
      <c r="P319" s="18">
        <f t="shared" ref="P319:BG319" si="116">P$287*$D$319</f>
        <v>0.90149614764379138</v>
      </c>
      <c r="Q319" s="19">
        <f t="shared" si="116"/>
        <v>1.8029922952875828</v>
      </c>
      <c r="R319" s="19">
        <f t="shared" si="116"/>
        <v>3.6059845905751655</v>
      </c>
      <c r="S319" s="19">
        <f t="shared" si="116"/>
        <v>7.211969181150331</v>
      </c>
      <c r="T319" s="19">
        <f t="shared" si="116"/>
        <v>14.423938362300662</v>
      </c>
      <c r="U319" s="19">
        <f t="shared" si="116"/>
        <v>28.847876724601324</v>
      </c>
      <c r="V319" s="19">
        <f t="shared" si="116"/>
        <v>57.695753449202648</v>
      </c>
      <c r="W319" s="19">
        <f t="shared" si="116"/>
        <v>115.3915068984053</v>
      </c>
      <c r="X319" s="19">
        <f t="shared" si="116"/>
        <v>230.78301379681059</v>
      </c>
      <c r="Y319" s="19">
        <f t="shared" si="116"/>
        <v>461.56602759362119</v>
      </c>
      <c r="Z319" s="19">
        <f t="shared" si="116"/>
        <v>923.13205518724237</v>
      </c>
      <c r="AA319" s="19">
        <f t="shared" si="116"/>
        <v>1846.2641103744847</v>
      </c>
      <c r="AB319" s="19">
        <f t="shared" si="116"/>
        <v>3692.5282207489695</v>
      </c>
      <c r="AC319" s="19">
        <f t="shared" si="116"/>
        <v>7385.056441497939</v>
      </c>
      <c r="AD319" s="19">
        <f t="shared" si="116"/>
        <v>14770.112882995878</v>
      </c>
      <c r="AE319" s="19">
        <f t="shared" si="116"/>
        <v>18462.641103744849</v>
      </c>
      <c r="AF319" s="19">
        <f t="shared" si="116"/>
        <v>22155.169324493818</v>
      </c>
      <c r="AG319" s="19">
        <f t="shared" si="116"/>
        <v>25847.697545242787</v>
      </c>
      <c r="AH319" s="19">
        <f t="shared" si="116"/>
        <v>29540.225765991756</v>
      </c>
      <c r="AI319" s="19">
        <f t="shared" si="116"/>
        <v>37811.488980469447</v>
      </c>
      <c r="AJ319" s="19">
        <f t="shared" si="116"/>
        <v>44310.338648987636</v>
      </c>
      <c r="AK319" s="19">
        <f t="shared" si="116"/>
        <v>51695.395090485574</v>
      </c>
      <c r="AL319" s="19">
        <f t="shared" si="116"/>
        <v>59080.451531983512</v>
      </c>
      <c r="AM319" s="19">
        <f t="shared" si="116"/>
        <v>70896.541838380217</v>
      </c>
      <c r="AN319" s="19">
        <f t="shared" si="116"/>
        <v>82712.632144776915</v>
      </c>
      <c r="AO319" s="19">
        <f t="shared" si="116"/>
        <v>94528.722451173628</v>
      </c>
      <c r="AP319" s="19">
        <f t="shared" si="116"/>
        <v>106344.81275757033</v>
      </c>
      <c r="AQ319" s="19">
        <f t="shared" si="116"/>
        <v>118160.90306396702</v>
      </c>
      <c r="AR319" s="19">
        <f t="shared" si="116"/>
        <v>141793.08367676043</v>
      </c>
      <c r="AS319" s="19">
        <f t="shared" si="116"/>
        <v>165425.26428955383</v>
      </c>
      <c r="AT319" s="19">
        <f t="shared" si="116"/>
        <v>189057.44490234726</v>
      </c>
      <c r="AU319" s="19">
        <f t="shared" si="116"/>
        <v>212689.62551514065</v>
      </c>
      <c r="AV319" s="19">
        <f t="shared" si="116"/>
        <v>236321.80612793405</v>
      </c>
      <c r="AW319" s="19">
        <f t="shared" si="116"/>
        <v>283586.16735352087</v>
      </c>
      <c r="AX319" s="19">
        <f t="shared" si="116"/>
        <v>330850.52857910766</v>
      </c>
      <c r="AY319" s="19">
        <f t="shared" si="116"/>
        <v>378114.88980469451</v>
      </c>
      <c r="AZ319" s="19">
        <f t="shared" si="116"/>
        <v>425379.2510302813</v>
      </c>
      <c r="BA319" s="19">
        <f t="shared" si="116"/>
        <v>472643.61225586809</v>
      </c>
      <c r="BB319" s="18">
        <f t="shared" si="116"/>
        <v>945287.22451173619</v>
      </c>
      <c r="BC319" s="19">
        <f t="shared" si="116"/>
        <v>1890574.4490234724</v>
      </c>
      <c r="BD319" s="19">
        <f t="shared" si="116"/>
        <v>3781148.8980469448</v>
      </c>
      <c r="BE319" s="19">
        <f t="shared" si="116"/>
        <v>7562297.7960938895</v>
      </c>
      <c r="BF319" s="19">
        <f t="shared" si="116"/>
        <v>9536112.7934061997</v>
      </c>
      <c r="BG319" s="60">
        <f t="shared" si="116"/>
        <v>9536112.7934061997</v>
      </c>
      <c r="BH319" s="45"/>
    </row>
    <row r="320" spans="1:62" x14ac:dyDescent="0.25">
      <c r="A320" s="41"/>
      <c r="B320" s="6"/>
      <c r="C320" s="10"/>
      <c r="D320" s="8"/>
      <c r="E320" s="27">
        <v>0.14799999999999999</v>
      </c>
      <c r="F320" s="10"/>
      <c r="G320" s="10"/>
      <c r="H320" s="10"/>
      <c r="I320" s="10"/>
      <c r="J320" s="10"/>
      <c r="K320" s="10"/>
      <c r="L320" s="10"/>
      <c r="M320" s="10"/>
      <c r="N320" s="10"/>
      <c r="O320" s="10"/>
      <c r="P320" s="29">
        <f t="shared" ref="P320:BG320" si="117">P$287*$D$319*$E$320</f>
        <v>0.13342142985128111</v>
      </c>
      <c r="Q320" s="30">
        <f t="shared" si="117"/>
        <v>0.26684285970256222</v>
      </c>
      <c r="R320" s="30">
        <f t="shared" si="117"/>
        <v>0.53368571940512444</v>
      </c>
      <c r="S320" s="30">
        <f t="shared" si="117"/>
        <v>1.0673714388102489</v>
      </c>
      <c r="T320" s="30">
        <f t="shared" si="117"/>
        <v>2.1347428776204977</v>
      </c>
      <c r="U320" s="30">
        <f t="shared" si="117"/>
        <v>4.2694857552409955</v>
      </c>
      <c r="V320" s="30">
        <f t="shared" si="117"/>
        <v>8.538971510481991</v>
      </c>
      <c r="W320" s="30">
        <f t="shared" si="117"/>
        <v>17.077943020963982</v>
      </c>
      <c r="X320" s="30">
        <f t="shared" si="117"/>
        <v>34.155886041927964</v>
      </c>
      <c r="Y320" s="30">
        <f t="shared" si="117"/>
        <v>68.311772083855928</v>
      </c>
      <c r="Z320" s="30">
        <f t="shared" si="117"/>
        <v>136.62354416771186</v>
      </c>
      <c r="AA320" s="30">
        <f t="shared" si="117"/>
        <v>273.24708833542371</v>
      </c>
      <c r="AB320" s="30">
        <f t="shared" si="117"/>
        <v>546.49417667084742</v>
      </c>
      <c r="AC320" s="30">
        <f t="shared" si="117"/>
        <v>1092.9883533416948</v>
      </c>
      <c r="AD320" s="30">
        <f t="shared" si="117"/>
        <v>2185.9767066833897</v>
      </c>
      <c r="AE320" s="30">
        <f t="shared" si="117"/>
        <v>2732.4708833542377</v>
      </c>
      <c r="AF320" s="30">
        <f t="shared" si="117"/>
        <v>3278.9650600250848</v>
      </c>
      <c r="AG320" s="30">
        <f t="shared" si="117"/>
        <v>3825.4592366959323</v>
      </c>
      <c r="AH320" s="30">
        <f t="shared" si="117"/>
        <v>4371.9534133667794</v>
      </c>
      <c r="AI320" s="30">
        <f t="shared" si="117"/>
        <v>5596.1003691094775</v>
      </c>
      <c r="AJ320" s="30">
        <f t="shared" si="117"/>
        <v>6557.9301200501695</v>
      </c>
      <c r="AK320" s="30">
        <f t="shared" si="117"/>
        <v>7650.9184733918646</v>
      </c>
      <c r="AL320" s="30">
        <f t="shared" si="117"/>
        <v>8743.9068267335588</v>
      </c>
      <c r="AM320" s="30">
        <f t="shared" si="117"/>
        <v>10492.688192080272</v>
      </c>
      <c r="AN320" s="30">
        <f t="shared" si="117"/>
        <v>12241.469557426983</v>
      </c>
      <c r="AO320" s="30">
        <f t="shared" si="117"/>
        <v>13990.250922773695</v>
      </c>
      <c r="AP320" s="30">
        <f t="shared" si="117"/>
        <v>15739.032288120407</v>
      </c>
      <c r="AQ320" s="30">
        <f t="shared" si="117"/>
        <v>17487.813653467118</v>
      </c>
      <c r="AR320" s="30">
        <f t="shared" si="117"/>
        <v>20985.376384160543</v>
      </c>
      <c r="AS320" s="30">
        <f t="shared" si="117"/>
        <v>24482.939114853965</v>
      </c>
      <c r="AT320" s="30">
        <f t="shared" si="117"/>
        <v>27980.501845547391</v>
      </c>
      <c r="AU320" s="30">
        <f t="shared" si="117"/>
        <v>31478.064576240813</v>
      </c>
      <c r="AV320" s="30">
        <f t="shared" si="117"/>
        <v>34975.627306934235</v>
      </c>
      <c r="AW320" s="30">
        <f t="shared" si="117"/>
        <v>41970.752768321086</v>
      </c>
      <c r="AX320" s="30">
        <f t="shared" si="117"/>
        <v>48965.878229707931</v>
      </c>
      <c r="AY320" s="30">
        <f t="shared" si="117"/>
        <v>55961.003691094782</v>
      </c>
      <c r="AZ320" s="30">
        <f t="shared" si="117"/>
        <v>62956.129152481626</v>
      </c>
      <c r="BA320" s="30">
        <f t="shared" si="117"/>
        <v>69951.25461386847</v>
      </c>
      <c r="BB320" s="29">
        <f t="shared" si="117"/>
        <v>139902.50922773694</v>
      </c>
      <c r="BC320" s="30">
        <f t="shared" si="117"/>
        <v>279805.01845547388</v>
      </c>
      <c r="BD320" s="30">
        <f t="shared" si="117"/>
        <v>559610.03691094776</v>
      </c>
      <c r="BE320" s="30">
        <f t="shared" si="117"/>
        <v>1119220.0738218955</v>
      </c>
      <c r="BF320" s="30">
        <f t="shared" si="117"/>
        <v>1411344.6934241175</v>
      </c>
      <c r="BG320" s="71">
        <f t="shared" si="117"/>
        <v>1411344.6934241175</v>
      </c>
      <c r="BH320" s="45"/>
    </row>
    <row r="321" spans="1:60" x14ac:dyDescent="0.25">
      <c r="A321" s="41" t="s">
        <v>13</v>
      </c>
      <c r="B321" s="6">
        <f>'Population by Age - Wikipedia'!D37</f>
        <v>5.3752877231864643E-2</v>
      </c>
      <c r="C321" s="10">
        <f t="shared" ref="C321:C335" si="118">$B$270*B321</f>
        <v>17768846.73858995</v>
      </c>
      <c r="D321" s="23">
        <f>'AU Infection Rate by Age'!C5</f>
        <v>0.10661171833004837</v>
      </c>
      <c r="E321" s="17"/>
      <c r="F321" s="16"/>
      <c r="G321" s="16"/>
      <c r="H321" s="16"/>
      <c r="I321" s="16"/>
      <c r="J321" s="16"/>
      <c r="K321" s="16"/>
      <c r="L321" s="16"/>
      <c r="M321" s="16"/>
      <c r="N321" s="16"/>
      <c r="O321" s="16"/>
      <c r="P321" s="20">
        <f t="shared" ref="P321:BG321" si="119">P$287*$D$321</f>
        <v>3.3316161978140117</v>
      </c>
      <c r="Q321" s="21">
        <f t="shared" si="119"/>
        <v>6.6632323956280235</v>
      </c>
      <c r="R321" s="21">
        <f t="shared" si="119"/>
        <v>13.326464791256047</v>
      </c>
      <c r="S321" s="21">
        <f t="shared" si="119"/>
        <v>26.652929582512094</v>
      </c>
      <c r="T321" s="21">
        <f t="shared" si="119"/>
        <v>53.305859165024188</v>
      </c>
      <c r="U321" s="21">
        <f t="shared" si="119"/>
        <v>106.61171833004838</v>
      </c>
      <c r="V321" s="21">
        <f t="shared" si="119"/>
        <v>213.22343666009675</v>
      </c>
      <c r="W321" s="21">
        <f t="shared" si="119"/>
        <v>426.4468733201935</v>
      </c>
      <c r="X321" s="21">
        <f t="shared" si="119"/>
        <v>852.89374664038701</v>
      </c>
      <c r="Y321" s="21">
        <f t="shared" si="119"/>
        <v>1705.787493280774</v>
      </c>
      <c r="Z321" s="21">
        <f t="shared" si="119"/>
        <v>3411.574986561548</v>
      </c>
      <c r="AA321" s="21">
        <f t="shared" si="119"/>
        <v>6823.1499731230961</v>
      </c>
      <c r="AB321" s="21">
        <f t="shared" si="119"/>
        <v>13646.299946246192</v>
      </c>
      <c r="AC321" s="21">
        <f t="shared" si="119"/>
        <v>27292.599892492384</v>
      </c>
      <c r="AD321" s="21">
        <f t="shared" si="119"/>
        <v>54585.199784984768</v>
      </c>
      <c r="AE321" s="21">
        <f t="shared" si="119"/>
        <v>68231.499731230957</v>
      </c>
      <c r="AF321" s="21">
        <f t="shared" si="119"/>
        <v>81877.799677477145</v>
      </c>
      <c r="AG321" s="21">
        <f t="shared" si="119"/>
        <v>95524.099623723334</v>
      </c>
      <c r="AH321" s="21">
        <f t="shared" si="119"/>
        <v>109170.39956996954</v>
      </c>
      <c r="AI321" s="21">
        <f t="shared" si="119"/>
        <v>139738.11144956099</v>
      </c>
      <c r="AJ321" s="21">
        <f t="shared" si="119"/>
        <v>163755.59935495429</v>
      </c>
      <c r="AK321" s="21">
        <f t="shared" si="119"/>
        <v>191048.19924744667</v>
      </c>
      <c r="AL321" s="21">
        <f t="shared" si="119"/>
        <v>218340.79913993907</v>
      </c>
      <c r="AM321" s="21">
        <f t="shared" si="119"/>
        <v>262008.95896792688</v>
      </c>
      <c r="AN321" s="21">
        <f t="shared" si="119"/>
        <v>305677.11879591469</v>
      </c>
      <c r="AO321" s="21">
        <f t="shared" si="119"/>
        <v>349345.27862390253</v>
      </c>
      <c r="AP321" s="21">
        <f t="shared" si="119"/>
        <v>393013.43845189031</v>
      </c>
      <c r="AQ321" s="21">
        <f t="shared" si="119"/>
        <v>436681.59827987815</v>
      </c>
      <c r="AR321" s="21">
        <f t="shared" si="119"/>
        <v>524017.91793585377</v>
      </c>
      <c r="AS321" s="21">
        <f t="shared" si="119"/>
        <v>611354.23759182938</v>
      </c>
      <c r="AT321" s="21">
        <f t="shared" si="119"/>
        <v>698690.55724780506</v>
      </c>
      <c r="AU321" s="21">
        <f t="shared" si="119"/>
        <v>786026.87690378062</v>
      </c>
      <c r="AV321" s="21">
        <f t="shared" si="119"/>
        <v>873363.1965597563</v>
      </c>
      <c r="AW321" s="21">
        <f t="shared" si="119"/>
        <v>1048035.8358717075</v>
      </c>
      <c r="AX321" s="21">
        <f t="shared" si="119"/>
        <v>1222708.4751836588</v>
      </c>
      <c r="AY321" s="21">
        <f t="shared" si="119"/>
        <v>1397381.1144956101</v>
      </c>
      <c r="AZ321" s="21">
        <f t="shared" si="119"/>
        <v>1572053.7538075612</v>
      </c>
      <c r="BA321" s="21">
        <f t="shared" si="119"/>
        <v>1746726.3931195126</v>
      </c>
      <c r="BB321" s="20">
        <f t="shared" si="119"/>
        <v>3493452.7862390252</v>
      </c>
      <c r="BC321" s="21">
        <f t="shared" si="119"/>
        <v>6986905.5724780504</v>
      </c>
      <c r="BD321" s="21">
        <f t="shared" si="119"/>
        <v>13973811.144956101</v>
      </c>
      <c r="BE321" s="21">
        <f t="shared" si="119"/>
        <v>27947622.289912201</v>
      </c>
      <c r="BF321" s="21">
        <f t="shared" si="119"/>
        <v>35242155.975631602</v>
      </c>
      <c r="BG321" s="72">
        <f t="shared" si="119"/>
        <v>35242155.975631602</v>
      </c>
      <c r="BH321" s="45"/>
    </row>
    <row r="322" spans="1:60" x14ac:dyDescent="0.25">
      <c r="A322" s="41"/>
      <c r="B322" s="6"/>
      <c r="C322" s="10"/>
      <c r="D322" s="8"/>
      <c r="E322" s="27">
        <v>0.08</v>
      </c>
      <c r="F322" s="10"/>
      <c r="G322" s="10"/>
      <c r="H322" s="10"/>
      <c r="I322" s="10"/>
      <c r="J322" s="10"/>
      <c r="K322" s="10"/>
      <c r="L322" s="10"/>
      <c r="M322" s="10"/>
      <c r="N322" s="10"/>
      <c r="O322" s="10"/>
      <c r="P322" s="29">
        <f t="shared" ref="P322:BG322" si="120">P$287*$D$321*$E$322</f>
        <v>0.26652929582512097</v>
      </c>
      <c r="Q322" s="30">
        <f t="shared" si="120"/>
        <v>0.53305859165024194</v>
      </c>
      <c r="R322" s="30">
        <f t="shared" si="120"/>
        <v>1.0661171833004839</v>
      </c>
      <c r="S322" s="30">
        <f t="shared" si="120"/>
        <v>2.1322343666009678</v>
      </c>
      <c r="T322" s="30">
        <f t="shared" si="120"/>
        <v>4.2644687332019355</v>
      </c>
      <c r="U322" s="30">
        <f t="shared" si="120"/>
        <v>8.5289374664038711</v>
      </c>
      <c r="V322" s="30">
        <f t="shared" si="120"/>
        <v>17.057874932807742</v>
      </c>
      <c r="W322" s="30">
        <f t="shared" si="120"/>
        <v>34.115749865615484</v>
      </c>
      <c r="X322" s="30">
        <f t="shared" si="120"/>
        <v>68.231499731230969</v>
      </c>
      <c r="Y322" s="30">
        <f t="shared" si="120"/>
        <v>136.46299946246194</v>
      </c>
      <c r="Z322" s="30">
        <f t="shared" si="120"/>
        <v>272.92599892492387</v>
      </c>
      <c r="AA322" s="30">
        <f t="shared" si="120"/>
        <v>545.85199784984775</v>
      </c>
      <c r="AB322" s="30">
        <f t="shared" si="120"/>
        <v>1091.7039956996955</v>
      </c>
      <c r="AC322" s="30">
        <f t="shared" si="120"/>
        <v>2183.407991399391</v>
      </c>
      <c r="AD322" s="30">
        <f t="shared" si="120"/>
        <v>4366.815982798782</v>
      </c>
      <c r="AE322" s="30">
        <f t="shared" si="120"/>
        <v>5458.519978498477</v>
      </c>
      <c r="AF322" s="30">
        <f t="shared" si="120"/>
        <v>6550.2239741981721</v>
      </c>
      <c r="AG322" s="30">
        <f t="shared" si="120"/>
        <v>7641.9279698978671</v>
      </c>
      <c r="AH322" s="30">
        <f t="shared" si="120"/>
        <v>8733.631965597564</v>
      </c>
      <c r="AI322" s="30">
        <f t="shared" si="120"/>
        <v>11179.048915964881</v>
      </c>
      <c r="AJ322" s="30">
        <f t="shared" si="120"/>
        <v>13100.447948396344</v>
      </c>
      <c r="AK322" s="30">
        <f t="shared" si="120"/>
        <v>15283.855939795734</v>
      </c>
      <c r="AL322" s="30">
        <f t="shared" si="120"/>
        <v>17467.263931195128</v>
      </c>
      <c r="AM322" s="30">
        <f t="shared" si="120"/>
        <v>20960.716717434152</v>
      </c>
      <c r="AN322" s="30">
        <f t="shared" si="120"/>
        <v>24454.169503673176</v>
      </c>
      <c r="AO322" s="30">
        <f t="shared" si="120"/>
        <v>27947.622289912204</v>
      </c>
      <c r="AP322" s="30">
        <f t="shared" si="120"/>
        <v>31441.075076151224</v>
      </c>
      <c r="AQ322" s="30">
        <f t="shared" si="120"/>
        <v>34934.527862390256</v>
      </c>
      <c r="AR322" s="30">
        <f t="shared" si="120"/>
        <v>41921.433434868304</v>
      </c>
      <c r="AS322" s="30">
        <f t="shared" si="120"/>
        <v>48908.339007346352</v>
      </c>
      <c r="AT322" s="30">
        <f t="shared" si="120"/>
        <v>55895.244579824408</v>
      </c>
      <c r="AU322" s="30">
        <f t="shared" si="120"/>
        <v>62882.150152302449</v>
      </c>
      <c r="AV322" s="30">
        <f t="shared" si="120"/>
        <v>69869.055724780512</v>
      </c>
      <c r="AW322" s="30">
        <f t="shared" si="120"/>
        <v>83842.866869736608</v>
      </c>
      <c r="AX322" s="30">
        <f t="shared" si="120"/>
        <v>97816.678014692705</v>
      </c>
      <c r="AY322" s="30">
        <f t="shared" si="120"/>
        <v>111790.48915964882</v>
      </c>
      <c r="AZ322" s="30">
        <f t="shared" si="120"/>
        <v>125764.3003046049</v>
      </c>
      <c r="BA322" s="30">
        <f t="shared" si="120"/>
        <v>139738.11144956102</v>
      </c>
      <c r="BB322" s="29">
        <f t="shared" si="120"/>
        <v>279476.22289912205</v>
      </c>
      <c r="BC322" s="30">
        <f t="shared" si="120"/>
        <v>558952.44579824409</v>
      </c>
      <c r="BD322" s="30">
        <f t="shared" si="120"/>
        <v>1117904.8915964882</v>
      </c>
      <c r="BE322" s="30">
        <f t="shared" si="120"/>
        <v>2235809.7831929764</v>
      </c>
      <c r="BF322" s="30">
        <f t="shared" si="120"/>
        <v>2819372.4780505281</v>
      </c>
      <c r="BG322" s="71">
        <f t="shared" si="120"/>
        <v>2819372.4780505281</v>
      </c>
      <c r="BH322" s="45"/>
    </row>
    <row r="323" spans="1:60" x14ac:dyDescent="0.25">
      <c r="A323" s="41" t="s">
        <v>14</v>
      </c>
      <c r="B323" s="6">
        <f>'Population by Age - Wikipedia'!D33</f>
        <v>9.4748533661399834E-2</v>
      </c>
      <c r="C323" s="10">
        <f t="shared" si="118"/>
        <v>31320596.404047467</v>
      </c>
      <c r="D323" s="23">
        <f>'AU Infection Rate by Age'!C6</f>
        <v>0.16735352087439526</v>
      </c>
      <c r="E323" s="17"/>
      <c r="F323" s="10"/>
      <c r="G323" s="10"/>
      <c r="H323" s="10"/>
      <c r="I323" s="10"/>
      <c r="J323" s="10"/>
      <c r="K323" s="10"/>
      <c r="L323" s="10"/>
      <c r="M323" s="10"/>
      <c r="N323" s="10"/>
      <c r="O323" s="10"/>
      <c r="P323" s="20">
        <f t="shared" ref="P323:BG323" si="121">P$287*$D$323</f>
        <v>5.2297975273248518</v>
      </c>
      <c r="Q323" s="21">
        <f t="shared" si="121"/>
        <v>10.459595054649704</v>
      </c>
      <c r="R323" s="21">
        <f t="shared" si="121"/>
        <v>20.919190109299407</v>
      </c>
      <c r="S323" s="21">
        <f t="shared" si="121"/>
        <v>41.838380218598815</v>
      </c>
      <c r="T323" s="21">
        <f t="shared" si="121"/>
        <v>83.676760437197629</v>
      </c>
      <c r="U323" s="21">
        <f t="shared" si="121"/>
        <v>167.35352087439526</v>
      </c>
      <c r="V323" s="21">
        <f t="shared" si="121"/>
        <v>334.70704174879052</v>
      </c>
      <c r="W323" s="21">
        <f t="shared" si="121"/>
        <v>669.41408349758103</v>
      </c>
      <c r="X323" s="21">
        <f t="shared" si="121"/>
        <v>1338.8281669951621</v>
      </c>
      <c r="Y323" s="21">
        <f t="shared" si="121"/>
        <v>2677.6563339903241</v>
      </c>
      <c r="Z323" s="21">
        <f t="shared" si="121"/>
        <v>5355.3126679806483</v>
      </c>
      <c r="AA323" s="21">
        <f t="shared" si="121"/>
        <v>10710.625335961297</v>
      </c>
      <c r="AB323" s="21">
        <f t="shared" si="121"/>
        <v>21421.250671922593</v>
      </c>
      <c r="AC323" s="21">
        <f t="shared" si="121"/>
        <v>42842.501343845186</v>
      </c>
      <c r="AD323" s="21">
        <f t="shared" si="121"/>
        <v>85685.002687690372</v>
      </c>
      <c r="AE323" s="21">
        <f t="shared" si="121"/>
        <v>107106.25335961297</v>
      </c>
      <c r="AF323" s="21">
        <f t="shared" si="121"/>
        <v>128527.50403153556</v>
      </c>
      <c r="AG323" s="21">
        <f t="shared" si="121"/>
        <v>149948.75470345814</v>
      </c>
      <c r="AH323" s="21">
        <f t="shared" si="121"/>
        <v>171370.00537538074</v>
      </c>
      <c r="AI323" s="21">
        <f t="shared" si="121"/>
        <v>219353.60688048735</v>
      </c>
      <c r="AJ323" s="21">
        <f t="shared" si="121"/>
        <v>257055.00806307112</v>
      </c>
      <c r="AK323" s="21">
        <f t="shared" si="121"/>
        <v>299897.50940691627</v>
      </c>
      <c r="AL323" s="21">
        <f t="shared" si="121"/>
        <v>342740.01075076149</v>
      </c>
      <c r="AM323" s="21">
        <f t="shared" si="121"/>
        <v>411288.01290091377</v>
      </c>
      <c r="AN323" s="21">
        <f t="shared" si="121"/>
        <v>479836.01505106606</v>
      </c>
      <c r="AO323" s="21">
        <f t="shared" si="121"/>
        <v>548384.0172012184</v>
      </c>
      <c r="AP323" s="21">
        <f t="shared" si="121"/>
        <v>616932.01935137063</v>
      </c>
      <c r="AQ323" s="21">
        <f t="shared" si="121"/>
        <v>685480.02150152298</v>
      </c>
      <c r="AR323" s="21">
        <f t="shared" si="121"/>
        <v>822576.02580182755</v>
      </c>
      <c r="AS323" s="21">
        <f t="shared" si="121"/>
        <v>959672.03010213212</v>
      </c>
      <c r="AT323" s="21">
        <f t="shared" si="121"/>
        <v>1096768.0344024368</v>
      </c>
      <c r="AU323" s="21">
        <f t="shared" si="121"/>
        <v>1233864.0387027413</v>
      </c>
      <c r="AV323" s="21">
        <f t="shared" si="121"/>
        <v>1370960.043003046</v>
      </c>
      <c r="AW323" s="21">
        <f t="shared" si="121"/>
        <v>1645152.0516036551</v>
      </c>
      <c r="AX323" s="21">
        <f t="shared" si="121"/>
        <v>1919344.0602042642</v>
      </c>
      <c r="AY323" s="21">
        <f t="shared" si="121"/>
        <v>2193536.0688048736</v>
      </c>
      <c r="AZ323" s="21">
        <f t="shared" si="121"/>
        <v>2467728.0774054825</v>
      </c>
      <c r="BA323" s="21">
        <f t="shared" si="121"/>
        <v>2741920.0860060919</v>
      </c>
      <c r="BB323" s="20">
        <f t="shared" si="121"/>
        <v>5483840.1720121838</v>
      </c>
      <c r="BC323" s="21">
        <f t="shared" si="121"/>
        <v>10967680.344024368</v>
      </c>
      <c r="BD323" s="21">
        <f t="shared" si="121"/>
        <v>21935360.688048735</v>
      </c>
      <c r="BE323" s="21">
        <f t="shared" si="121"/>
        <v>43870721.376097471</v>
      </c>
      <c r="BF323" s="21">
        <f t="shared" si="121"/>
        <v>55321300.304604903</v>
      </c>
      <c r="BG323" s="72">
        <f t="shared" si="121"/>
        <v>55321300.304604903</v>
      </c>
      <c r="BH323" s="45"/>
    </row>
    <row r="324" spans="1:60" x14ac:dyDescent="0.25">
      <c r="A324" s="41"/>
      <c r="B324" s="6"/>
      <c r="C324" s="10"/>
      <c r="D324" s="8"/>
      <c r="E324" s="27">
        <v>3.5999999999999997E-2</v>
      </c>
      <c r="F324" s="10"/>
      <c r="G324" s="10"/>
      <c r="H324" s="10"/>
      <c r="I324" s="10"/>
      <c r="J324" s="10"/>
      <c r="K324" s="10"/>
      <c r="L324" s="10"/>
      <c r="M324" s="10"/>
      <c r="N324" s="10"/>
      <c r="O324" s="10"/>
      <c r="P324" s="29">
        <f t="shared" ref="P324:BG324" si="122">P$287*$D$323*$E$324</f>
        <v>0.18827271098369466</v>
      </c>
      <c r="Q324" s="30">
        <f t="shared" si="122"/>
        <v>0.37654542196738933</v>
      </c>
      <c r="R324" s="30">
        <f t="shared" si="122"/>
        <v>0.75309084393477865</v>
      </c>
      <c r="S324" s="30">
        <f t="shared" si="122"/>
        <v>1.5061816878695573</v>
      </c>
      <c r="T324" s="30">
        <f t="shared" si="122"/>
        <v>3.0123633757391146</v>
      </c>
      <c r="U324" s="30">
        <f t="shared" si="122"/>
        <v>6.0247267514782292</v>
      </c>
      <c r="V324" s="30">
        <f t="shared" si="122"/>
        <v>12.049453502956458</v>
      </c>
      <c r="W324" s="30">
        <f t="shared" si="122"/>
        <v>24.098907005912917</v>
      </c>
      <c r="X324" s="30">
        <f t="shared" si="122"/>
        <v>48.197814011825834</v>
      </c>
      <c r="Y324" s="30">
        <f t="shared" si="122"/>
        <v>96.395628023651668</v>
      </c>
      <c r="Z324" s="30">
        <f t="shared" si="122"/>
        <v>192.79125604730334</v>
      </c>
      <c r="AA324" s="30">
        <f t="shared" si="122"/>
        <v>385.58251209460667</v>
      </c>
      <c r="AB324" s="30">
        <f t="shared" si="122"/>
        <v>771.16502418921334</v>
      </c>
      <c r="AC324" s="30">
        <f t="shared" si="122"/>
        <v>1542.3300483784267</v>
      </c>
      <c r="AD324" s="30">
        <f t="shared" si="122"/>
        <v>3084.6600967568534</v>
      </c>
      <c r="AE324" s="30">
        <f t="shared" si="122"/>
        <v>3855.8251209460664</v>
      </c>
      <c r="AF324" s="30">
        <f t="shared" si="122"/>
        <v>4626.9901451352798</v>
      </c>
      <c r="AG324" s="30">
        <f t="shared" si="122"/>
        <v>5398.1551693244928</v>
      </c>
      <c r="AH324" s="30">
        <f t="shared" si="122"/>
        <v>6169.3201935137067</v>
      </c>
      <c r="AI324" s="30">
        <f t="shared" si="122"/>
        <v>7896.7298476975438</v>
      </c>
      <c r="AJ324" s="30">
        <f t="shared" si="122"/>
        <v>9253.9802902705596</v>
      </c>
      <c r="AK324" s="30">
        <f t="shared" si="122"/>
        <v>10796.310338648986</v>
      </c>
      <c r="AL324" s="30">
        <f t="shared" si="122"/>
        <v>12338.640387027413</v>
      </c>
      <c r="AM324" s="30">
        <f t="shared" si="122"/>
        <v>14806.368464432895</v>
      </c>
      <c r="AN324" s="30">
        <f t="shared" si="122"/>
        <v>17274.096541838378</v>
      </c>
      <c r="AO324" s="30">
        <f t="shared" si="122"/>
        <v>19741.82461924386</v>
      </c>
      <c r="AP324" s="30">
        <f t="shared" si="122"/>
        <v>22209.552696649342</v>
      </c>
      <c r="AQ324" s="30">
        <f t="shared" si="122"/>
        <v>24677.280774054827</v>
      </c>
      <c r="AR324" s="30">
        <f t="shared" si="122"/>
        <v>29612.73692886579</v>
      </c>
      <c r="AS324" s="30">
        <f t="shared" si="122"/>
        <v>34548.193083676757</v>
      </c>
      <c r="AT324" s="30">
        <f t="shared" si="122"/>
        <v>39483.64923848772</v>
      </c>
      <c r="AU324" s="30">
        <f t="shared" si="122"/>
        <v>44419.105393298683</v>
      </c>
      <c r="AV324" s="30">
        <f t="shared" si="122"/>
        <v>49354.561548109654</v>
      </c>
      <c r="AW324" s="30">
        <f t="shared" si="122"/>
        <v>59225.47385773158</v>
      </c>
      <c r="AX324" s="30">
        <f t="shared" si="122"/>
        <v>69096.386167353514</v>
      </c>
      <c r="AY324" s="30">
        <f t="shared" si="122"/>
        <v>78967.29847697544</v>
      </c>
      <c r="AZ324" s="30">
        <f t="shared" si="122"/>
        <v>88838.210786597367</v>
      </c>
      <c r="BA324" s="30">
        <f t="shared" si="122"/>
        <v>98709.123096219308</v>
      </c>
      <c r="BB324" s="29">
        <f t="shared" si="122"/>
        <v>197418.24619243862</v>
      </c>
      <c r="BC324" s="30">
        <f t="shared" si="122"/>
        <v>394836.49238487723</v>
      </c>
      <c r="BD324" s="30">
        <f t="shared" si="122"/>
        <v>789672.98476975446</v>
      </c>
      <c r="BE324" s="30">
        <f t="shared" si="122"/>
        <v>1579345.9695395089</v>
      </c>
      <c r="BF324" s="30">
        <f t="shared" si="122"/>
        <v>1991566.8109657764</v>
      </c>
      <c r="BG324" s="71">
        <f t="shared" si="122"/>
        <v>1991566.8109657764</v>
      </c>
      <c r="BH324" s="45"/>
    </row>
    <row r="325" spans="1:60" x14ac:dyDescent="0.25">
      <c r="A325" s="41" t="s">
        <v>15</v>
      </c>
      <c r="B325" s="6">
        <f>'Population by Age - Wikipedia'!D29</f>
        <v>0.13591428809571979</v>
      </c>
      <c r="C325" s="10">
        <f t="shared" si="118"/>
        <v>44928574.60150566</v>
      </c>
      <c r="D325" s="23">
        <f>'AU Infection Rate by Age'!C7</f>
        <v>0.15534850385235621</v>
      </c>
      <c r="E325" s="17"/>
      <c r="F325" s="10"/>
      <c r="G325" s="10"/>
      <c r="H325" s="10"/>
      <c r="I325" s="10"/>
      <c r="J325" s="10"/>
      <c r="K325" s="10"/>
      <c r="L325" s="10"/>
      <c r="M325" s="10"/>
      <c r="N325" s="10"/>
      <c r="O325" s="10"/>
      <c r="P325" s="20">
        <f t="shared" ref="P325:BG325" si="123">P$287*$D$325</f>
        <v>4.8546407453861313</v>
      </c>
      <c r="Q325" s="21">
        <f t="shared" si="123"/>
        <v>9.7092814907722627</v>
      </c>
      <c r="R325" s="21">
        <f t="shared" si="123"/>
        <v>19.418562981544525</v>
      </c>
      <c r="S325" s="21">
        <f t="shared" si="123"/>
        <v>38.837125963089051</v>
      </c>
      <c r="T325" s="21">
        <f t="shared" si="123"/>
        <v>77.674251926178101</v>
      </c>
      <c r="U325" s="21">
        <f t="shared" si="123"/>
        <v>155.3485038523562</v>
      </c>
      <c r="V325" s="21">
        <f t="shared" si="123"/>
        <v>310.69700770471241</v>
      </c>
      <c r="W325" s="21">
        <f t="shared" si="123"/>
        <v>621.39401540942481</v>
      </c>
      <c r="X325" s="21">
        <f t="shared" si="123"/>
        <v>1242.7880308188496</v>
      </c>
      <c r="Y325" s="21">
        <f t="shared" si="123"/>
        <v>2485.5760616376992</v>
      </c>
      <c r="Z325" s="21">
        <f t="shared" si="123"/>
        <v>4971.1521232753985</v>
      </c>
      <c r="AA325" s="21">
        <f t="shared" si="123"/>
        <v>9942.304246550797</v>
      </c>
      <c r="AB325" s="21">
        <f t="shared" si="123"/>
        <v>19884.608493101594</v>
      </c>
      <c r="AC325" s="21">
        <f t="shared" si="123"/>
        <v>39769.216986203188</v>
      </c>
      <c r="AD325" s="21">
        <f t="shared" si="123"/>
        <v>79538.433972406376</v>
      </c>
      <c r="AE325" s="21">
        <f t="shared" si="123"/>
        <v>99423.04246550797</v>
      </c>
      <c r="AF325" s="21">
        <f t="shared" si="123"/>
        <v>119307.65095860958</v>
      </c>
      <c r="AG325" s="21">
        <f t="shared" si="123"/>
        <v>139192.25945171117</v>
      </c>
      <c r="AH325" s="21">
        <f t="shared" si="123"/>
        <v>159076.86794481275</v>
      </c>
      <c r="AI325" s="21">
        <f t="shared" si="123"/>
        <v>203618.39096936033</v>
      </c>
      <c r="AJ325" s="21">
        <f t="shared" si="123"/>
        <v>238615.30191721916</v>
      </c>
      <c r="AK325" s="21">
        <f t="shared" si="123"/>
        <v>278384.51890342234</v>
      </c>
      <c r="AL325" s="21">
        <f t="shared" si="123"/>
        <v>318153.7358896255</v>
      </c>
      <c r="AM325" s="21">
        <f t="shared" si="123"/>
        <v>381784.48306755064</v>
      </c>
      <c r="AN325" s="21">
        <f t="shared" si="123"/>
        <v>445415.23024547572</v>
      </c>
      <c r="AO325" s="21">
        <f t="shared" si="123"/>
        <v>509045.97742340085</v>
      </c>
      <c r="AP325" s="21">
        <f t="shared" si="123"/>
        <v>572676.72460132593</v>
      </c>
      <c r="AQ325" s="21">
        <f t="shared" si="123"/>
        <v>636307.47177925101</v>
      </c>
      <c r="AR325" s="21">
        <f t="shared" si="123"/>
        <v>763568.96613510128</v>
      </c>
      <c r="AS325" s="21">
        <f t="shared" si="123"/>
        <v>890830.46049095143</v>
      </c>
      <c r="AT325" s="21">
        <f t="shared" si="123"/>
        <v>1018091.9548468017</v>
      </c>
      <c r="AU325" s="21">
        <f t="shared" si="123"/>
        <v>1145353.4492026519</v>
      </c>
      <c r="AV325" s="21">
        <f t="shared" si="123"/>
        <v>1272614.943558502</v>
      </c>
      <c r="AW325" s="21">
        <f t="shared" si="123"/>
        <v>1527137.9322702026</v>
      </c>
      <c r="AX325" s="21">
        <f t="shared" si="123"/>
        <v>1781660.9209819029</v>
      </c>
      <c r="AY325" s="21">
        <f t="shared" si="123"/>
        <v>2036183.9096936034</v>
      </c>
      <c r="AZ325" s="21">
        <f t="shared" si="123"/>
        <v>2290706.8984053037</v>
      </c>
      <c r="BA325" s="21">
        <f t="shared" si="123"/>
        <v>2545229.887117004</v>
      </c>
      <c r="BB325" s="20">
        <f t="shared" si="123"/>
        <v>5090459.774234008</v>
      </c>
      <c r="BC325" s="21">
        <f t="shared" si="123"/>
        <v>10180919.548468016</v>
      </c>
      <c r="BD325" s="21">
        <f t="shared" si="123"/>
        <v>20361839.096936032</v>
      </c>
      <c r="BE325" s="21">
        <f t="shared" si="123"/>
        <v>40723678.193872064</v>
      </c>
      <c r="BF325" s="21">
        <f t="shared" si="123"/>
        <v>51352855.850206055</v>
      </c>
      <c r="BG325" s="72">
        <f t="shared" si="123"/>
        <v>51352855.850206055</v>
      </c>
      <c r="BH325" s="45"/>
    </row>
    <row r="326" spans="1:60" x14ac:dyDescent="0.25">
      <c r="A326" s="41"/>
      <c r="B326" s="6"/>
      <c r="C326" s="10"/>
      <c r="D326" s="8"/>
      <c r="E326" s="27">
        <v>1.2999999999999999E-2</v>
      </c>
      <c r="F326" s="10"/>
      <c r="G326" s="10"/>
      <c r="H326" s="10"/>
      <c r="I326" s="10"/>
      <c r="J326" s="10"/>
      <c r="K326" s="10"/>
      <c r="L326" s="10"/>
      <c r="M326" s="10"/>
      <c r="N326" s="10"/>
      <c r="O326" s="10"/>
      <c r="P326" s="29">
        <f t="shared" ref="P326:BG326" si="124">P$287*$D$325*$E$326</f>
        <v>6.3110329690019701E-2</v>
      </c>
      <c r="Q326" s="30">
        <f t="shared" si="124"/>
        <v>0.1262206593800394</v>
      </c>
      <c r="R326" s="30">
        <f t="shared" si="124"/>
        <v>0.2524413187600788</v>
      </c>
      <c r="S326" s="30">
        <f t="shared" si="124"/>
        <v>0.50488263752015761</v>
      </c>
      <c r="T326" s="30">
        <f t="shared" si="124"/>
        <v>1.0097652750403152</v>
      </c>
      <c r="U326" s="30">
        <f t="shared" si="124"/>
        <v>2.0195305500806304</v>
      </c>
      <c r="V326" s="30">
        <f t="shared" si="124"/>
        <v>4.0390611001612609</v>
      </c>
      <c r="W326" s="30">
        <f t="shared" si="124"/>
        <v>8.0781222003225217</v>
      </c>
      <c r="X326" s="30">
        <f t="shared" si="124"/>
        <v>16.156244400645043</v>
      </c>
      <c r="Y326" s="30">
        <f t="shared" si="124"/>
        <v>32.312488801290087</v>
      </c>
      <c r="Z326" s="30">
        <f t="shared" si="124"/>
        <v>64.624977602580174</v>
      </c>
      <c r="AA326" s="30">
        <f t="shared" si="124"/>
        <v>129.24995520516035</v>
      </c>
      <c r="AB326" s="30">
        <f t="shared" si="124"/>
        <v>258.49991041032069</v>
      </c>
      <c r="AC326" s="30">
        <f t="shared" si="124"/>
        <v>516.99982082064139</v>
      </c>
      <c r="AD326" s="30">
        <f t="shared" si="124"/>
        <v>1033.9996416412828</v>
      </c>
      <c r="AE326" s="30">
        <f t="shared" si="124"/>
        <v>1292.4995520516036</v>
      </c>
      <c r="AF326" s="30">
        <f t="shared" si="124"/>
        <v>1550.9994624619244</v>
      </c>
      <c r="AG326" s="30">
        <f t="shared" si="124"/>
        <v>1809.4993728722452</v>
      </c>
      <c r="AH326" s="30">
        <f t="shared" si="124"/>
        <v>2067.9992832825656</v>
      </c>
      <c r="AI326" s="30">
        <f t="shared" si="124"/>
        <v>2647.0390826016842</v>
      </c>
      <c r="AJ326" s="30">
        <f t="shared" si="124"/>
        <v>3101.9989249238488</v>
      </c>
      <c r="AK326" s="30">
        <f t="shared" si="124"/>
        <v>3618.9987457444904</v>
      </c>
      <c r="AL326" s="30">
        <f t="shared" si="124"/>
        <v>4135.9985665651311</v>
      </c>
      <c r="AM326" s="30">
        <f t="shared" si="124"/>
        <v>4963.1982798781582</v>
      </c>
      <c r="AN326" s="30">
        <f t="shared" si="124"/>
        <v>5790.3979931911845</v>
      </c>
      <c r="AO326" s="30">
        <f t="shared" si="124"/>
        <v>6617.5977065042107</v>
      </c>
      <c r="AP326" s="30">
        <f t="shared" si="124"/>
        <v>7444.7974198172369</v>
      </c>
      <c r="AQ326" s="30">
        <f t="shared" si="124"/>
        <v>8271.9971331302622</v>
      </c>
      <c r="AR326" s="30">
        <f t="shared" si="124"/>
        <v>9926.3965597563165</v>
      </c>
      <c r="AS326" s="30">
        <f t="shared" si="124"/>
        <v>11580.795986382369</v>
      </c>
      <c r="AT326" s="30">
        <f t="shared" si="124"/>
        <v>13235.195413008421</v>
      </c>
      <c r="AU326" s="30">
        <f t="shared" si="124"/>
        <v>14889.594839634474</v>
      </c>
      <c r="AV326" s="30">
        <f t="shared" si="124"/>
        <v>16543.994266260524</v>
      </c>
      <c r="AW326" s="30">
        <f t="shared" si="124"/>
        <v>19852.793119512633</v>
      </c>
      <c r="AX326" s="30">
        <f t="shared" si="124"/>
        <v>23161.591972764738</v>
      </c>
      <c r="AY326" s="30">
        <f t="shared" si="124"/>
        <v>26470.390826016843</v>
      </c>
      <c r="AZ326" s="30">
        <f t="shared" si="124"/>
        <v>29779.189679268948</v>
      </c>
      <c r="BA326" s="30">
        <f t="shared" si="124"/>
        <v>33087.988532521049</v>
      </c>
      <c r="BB326" s="29">
        <f t="shared" si="124"/>
        <v>66175.977065042098</v>
      </c>
      <c r="BC326" s="30">
        <f t="shared" si="124"/>
        <v>132351.9541300842</v>
      </c>
      <c r="BD326" s="30">
        <f t="shared" si="124"/>
        <v>264703.90826016839</v>
      </c>
      <c r="BE326" s="30">
        <f t="shared" si="124"/>
        <v>529407.81652033678</v>
      </c>
      <c r="BF326" s="30">
        <f t="shared" si="124"/>
        <v>667587.12605267868</v>
      </c>
      <c r="BG326" s="71">
        <f t="shared" si="124"/>
        <v>667587.12605267868</v>
      </c>
      <c r="BH326" s="45"/>
    </row>
    <row r="327" spans="1:60" x14ac:dyDescent="0.25">
      <c r="A327" s="41" t="s">
        <v>16</v>
      </c>
      <c r="B327" s="6">
        <f>'Population by Age - Wikipedia'!D25</f>
        <v>0.14121517441978385</v>
      </c>
      <c r="C327" s="10">
        <f t="shared" si="118"/>
        <v>46680864.739663057</v>
      </c>
      <c r="D327" s="23">
        <f>'AU Infection Rate by Age'!C8</f>
        <v>0.12972585558143701</v>
      </c>
      <c r="E327" s="17"/>
      <c r="F327" s="10"/>
      <c r="G327" s="10"/>
      <c r="H327" s="10"/>
      <c r="I327" s="10"/>
      <c r="J327" s="10"/>
      <c r="K327" s="10"/>
      <c r="L327" s="10"/>
      <c r="M327" s="10"/>
      <c r="N327" s="10"/>
      <c r="O327" s="10"/>
      <c r="P327" s="20">
        <f t="shared" ref="P327:BG327" si="125">P$287*$D$327</f>
        <v>4.0539329869199063</v>
      </c>
      <c r="Q327" s="21">
        <f t="shared" si="125"/>
        <v>8.1078659738398127</v>
      </c>
      <c r="R327" s="21">
        <f t="shared" si="125"/>
        <v>16.215731947679625</v>
      </c>
      <c r="S327" s="21">
        <f t="shared" si="125"/>
        <v>32.431463895359251</v>
      </c>
      <c r="T327" s="21">
        <f t="shared" si="125"/>
        <v>64.862927790718501</v>
      </c>
      <c r="U327" s="21">
        <f t="shared" si="125"/>
        <v>129.725855581437</v>
      </c>
      <c r="V327" s="21">
        <f t="shared" si="125"/>
        <v>259.45171116287401</v>
      </c>
      <c r="W327" s="21">
        <f t="shared" si="125"/>
        <v>518.90342232574801</v>
      </c>
      <c r="X327" s="21">
        <f t="shared" si="125"/>
        <v>1037.806844651496</v>
      </c>
      <c r="Y327" s="21">
        <f t="shared" si="125"/>
        <v>2075.613689302992</v>
      </c>
      <c r="Z327" s="21">
        <f t="shared" si="125"/>
        <v>4151.2273786059841</v>
      </c>
      <c r="AA327" s="21">
        <f t="shared" si="125"/>
        <v>8302.4547572119682</v>
      </c>
      <c r="AB327" s="21">
        <f t="shared" si="125"/>
        <v>16604.909514423936</v>
      </c>
      <c r="AC327" s="21">
        <f t="shared" si="125"/>
        <v>33209.819028847873</v>
      </c>
      <c r="AD327" s="21">
        <f t="shared" si="125"/>
        <v>66419.638057695745</v>
      </c>
      <c r="AE327" s="21">
        <f t="shared" si="125"/>
        <v>83024.547572119685</v>
      </c>
      <c r="AF327" s="21">
        <f t="shared" si="125"/>
        <v>99629.457086543625</v>
      </c>
      <c r="AG327" s="21">
        <f t="shared" si="125"/>
        <v>116234.36660096757</v>
      </c>
      <c r="AH327" s="21">
        <f t="shared" si="125"/>
        <v>132839.27611539149</v>
      </c>
      <c r="AI327" s="21">
        <f t="shared" si="125"/>
        <v>170034.27342770112</v>
      </c>
      <c r="AJ327" s="21">
        <f t="shared" si="125"/>
        <v>199258.91417308725</v>
      </c>
      <c r="AK327" s="21">
        <f t="shared" si="125"/>
        <v>232468.73320193513</v>
      </c>
      <c r="AL327" s="21">
        <f t="shared" si="125"/>
        <v>265678.55223078298</v>
      </c>
      <c r="AM327" s="21">
        <f t="shared" si="125"/>
        <v>318814.2626769396</v>
      </c>
      <c r="AN327" s="21">
        <f t="shared" si="125"/>
        <v>371949.97312309622</v>
      </c>
      <c r="AO327" s="21">
        <f t="shared" si="125"/>
        <v>425085.68356925278</v>
      </c>
      <c r="AP327" s="21">
        <f t="shared" si="125"/>
        <v>478221.3940154094</v>
      </c>
      <c r="AQ327" s="21">
        <f t="shared" si="125"/>
        <v>531357.10446156596</v>
      </c>
      <c r="AR327" s="21">
        <f t="shared" si="125"/>
        <v>637628.5253538792</v>
      </c>
      <c r="AS327" s="21">
        <f t="shared" si="125"/>
        <v>743899.94624619244</v>
      </c>
      <c r="AT327" s="21">
        <f t="shared" si="125"/>
        <v>850171.36713850556</v>
      </c>
      <c r="AU327" s="21">
        <f t="shared" si="125"/>
        <v>956442.7880308188</v>
      </c>
      <c r="AV327" s="21">
        <f t="shared" si="125"/>
        <v>1062714.2089231319</v>
      </c>
      <c r="AW327" s="21">
        <f t="shared" si="125"/>
        <v>1275257.0507077584</v>
      </c>
      <c r="AX327" s="21">
        <f t="shared" si="125"/>
        <v>1487799.8924923849</v>
      </c>
      <c r="AY327" s="21">
        <f t="shared" si="125"/>
        <v>1700342.7342770111</v>
      </c>
      <c r="AZ327" s="21">
        <f t="shared" si="125"/>
        <v>1912885.5760616376</v>
      </c>
      <c r="BA327" s="21">
        <f t="shared" si="125"/>
        <v>2125428.4178462639</v>
      </c>
      <c r="BB327" s="20">
        <f t="shared" si="125"/>
        <v>4250856.8356925277</v>
      </c>
      <c r="BC327" s="21">
        <f t="shared" si="125"/>
        <v>8501713.6713850554</v>
      </c>
      <c r="BD327" s="21">
        <f t="shared" si="125"/>
        <v>17003427.342770111</v>
      </c>
      <c r="BE327" s="21">
        <f t="shared" si="125"/>
        <v>34006854.685540222</v>
      </c>
      <c r="BF327" s="21">
        <f t="shared" si="125"/>
        <v>42882892.313205518</v>
      </c>
      <c r="BG327" s="72">
        <f t="shared" si="125"/>
        <v>42882892.313205518</v>
      </c>
      <c r="BH327" s="45"/>
    </row>
    <row r="328" spans="1:60" x14ac:dyDescent="0.25">
      <c r="A328" s="41"/>
      <c r="B328" s="6"/>
      <c r="C328" s="10"/>
      <c r="D328" s="8"/>
      <c r="E328" s="27">
        <v>4.0000000000000001E-3</v>
      </c>
      <c r="F328" s="10"/>
      <c r="G328" s="10"/>
      <c r="H328" s="10"/>
      <c r="I328" s="10"/>
      <c r="J328" s="10"/>
      <c r="K328" s="10"/>
      <c r="L328" s="10"/>
      <c r="M328" s="10"/>
      <c r="N328" s="10"/>
      <c r="O328" s="10"/>
      <c r="P328" s="29">
        <f t="shared" ref="P328:BG328" si="126">P$287*$D$327*$E$328</f>
        <v>1.6215731947679626E-2</v>
      </c>
      <c r="Q328" s="30">
        <f t="shared" si="126"/>
        <v>3.2431463895359253E-2</v>
      </c>
      <c r="R328" s="30">
        <f t="shared" si="126"/>
        <v>6.4862927790718505E-2</v>
      </c>
      <c r="S328" s="30">
        <f t="shared" si="126"/>
        <v>0.12972585558143701</v>
      </c>
      <c r="T328" s="30">
        <f t="shared" si="126"/>
        <v>0.25945171116287402</v>
      </c>
      <c r="U328" s="30">
        <f t="shared" si="126"/>
        <v>0.51890342232574804</v>
      </c>
      <c r="V328" s="30">
        <f t="shared" si="126"/>
        <v>1.0378068446514961</v>
      </c>
      <c r="W328" s="30">
        <f t="shared" si="126"/>
        <v>2.0756136893029922</v>
      </c>
      <c r="X328" s="30">
        <f t="shared" si="126"/>
        <v>4.1512273786059843</v>
      </c>
      <c r="Y328" s="30">
        <f t="shared" si="126"/>
        <v>8.3024547572119687</v>
      </c>
      <c r="Z328" s="30">
        <f t="shared" si="126"/>
        <v>16.604909514423937</v>
      </c>
      <c r="AA328" s="30">
        <f t="shared" si="126"/>
        <v>33.209819028847875</v>
      </c>
      <c r="AB328" s="30">
        <f t="shared" si="126"/>
        <v>66.419638057695749</v>
      </c>
      <c r="AC328" s="30">
        <f t="shared" si="126"/>
        <v>132.8392761153915</v>
      </c>
      <c r="AD328" s="30">
        <f t="shared" si="126"/>
        <v>265.678552230783</v>
      </c>
      <c r="AE328" s="30">
        <f t="shared" si="126"/>
        <v>332.09819028847875</v>
      </c>
      <c r="AF328" s="30">
        <f t="shared" si="126"/>
        <v>398.5178283461745</v>
      </c>
      <c r="AG328" s="30">
        <f t="shared" si="126"/>
        <v>464.93746640387025</v>
      </c>
      <c r="AH328" s="30">
        <f t="shared" si="126"/>
        <v>531.357104461566</v>
      </c>
      <c r="AI328" s="30">
        <f t="shared" si="126"/>
        <v>680.13709371080449</v>
      </c>
      <c r="AJ328" s="30">
        <f t="shared" si="126"/>
        <v>797.03565669234899</v>
      </c>
      <c r="AK328" s="30">
        <f t="shared" si="126"/>
        <v>929.87493280774049</v>
      </c>
      <c r="AL328" s="30">
        <f t="shared" si="126"/>
        <v>1062.714208923132</v>
      </c>
      <c r="AM328" s="30">
        <f t="shared" si="126"/>
        <v>1275.2570507077585</v>
      </c>
      <c r="AN328" s="30">
        <f t="shared" si="126"/>
        <v>1487.799892492385</v>
      </c>
      <c r="AO328" s="30">
        <f t="shared" si="126"/>
        <v>1700.3427342770112</v>
      </c>
      <c r="AP328" s="30">
        <f t="shared" si="126"/>
        <v>1912.8855760616377</v>
      </c>
      <c r="AQ328" s="30">
        <f t="shared" si="126"/>
        <v>2125.428417846264</v>
      </c>
      <c r="AR328" s="30">
        <f t="shared" si="126"/>
        <v>2550.514101415517</v>
      </c>
      <c r="AS328" s="30">
        <f t="shared" si="126"/>
        <v>2975.5997849847699</v>
      </c>
      <c r="AT328" s="30">
        <f t="shared" si="126"/>
        <v>3400.6854685540225</v>
      </c>
      <c r="AU328" s="30">
        <f t="shared" si="126"/>
        <v>3825.7711521232754</v>
      </c>
      <c r="AV328" s="30">
        <f t="shared" si="126"/>
        <v>4250.856835692528</v>
      </c>
      <c r="AW328" s="30">
        <f t="shared" si="126"/>
        <v>5101.0282028310339</v>
      </c>
      <c r="AX328" s="30">
        <f t="shared" si="126"/>
        <v>5951.1995699695399</v>
      </c>
      <c r="AY328" s="30">
        <f t="shared" si="126"/>
        <v>6801.3709371080449</v>
      </c>
      <c r="AZ328" s="30">
        <f t="shared" si="126"/>
        <v>7651.5423042465509</v>
      </c>
      <c r="BA328" s="30">
        <f t="shared" si="126"/>
        <v>8501.7136713850559</v>
      </c>
      <c r="BB328" s="29">
        <f t="shared" si="126"/>
        <v>17003.427342770112</v>
      </c>
      <c r="BC328" s="30">
        <f t="shared" si="126"/>
        <v>34006.854685540224</v>
      </c>
      <c r="BD328" s="30">
        <f t="shared" si="126"/>
        <v>68013.709371080447</v>
      </c>
      <c r="BE328" s="30">
        <f t="shared" si="126"/>
        <v>136027.41874216089</v>
      </c>
      <c r="BF328" s="30">
        <f t="shared" si="126"/>
        <v>171531.56925282208</v>
      </c>
      <c r="BG328" s="71">
        <f t="shared" si="126"/>
        <v>171531.56925282208</v>
      </c>
      <c r="BH328" s="45"/>
    </row>
    <row r="329" spans="1:60" x14ac:dyDescent="0.25">
      <c r="A329" s="41" t="s">
        <v>17</v>
      </c>
      <c r="B329" s="6">
        <f>'Population by Age - Wikipedia'!D21</f>
        <v>0.13001561499489589</v>
      </c>
      <c r="C329" s="10">
        <f t="shared" si="118"/>
        <v>42978676.778595254</v>
      </c>
      <c r="D329" s="23">
        <f>'AU Infection Rate by Age'!C9</f>
        <v>0.15731947679627306</v>
      </c>
      <c r="E329" s="17"/>
      <c r="F329" s="10"/>
      <c r="G329" s="14"/>
      <c r="H329" s="14"/>
      <c r="I329" s="14"/>
      <c r="J329" s="14"/>
      <c r="K329" s="14"/>
      <c r="L329" s="14"/>
      <c r="M329" s="14"/>
      <c r="N329" s="10"/>
      <c r="O329" s="10"/>
      <c r="P329" s="20">
        <f t="shared" ref="P329:BG329" si="127">P$287*$D$329</f>
        <v>4.9162336498835328</v>
      </c>
      <c r="Q329" s="21">
        <f t="shared" si="127"/>
        <v>9.8324672997670657</v>
      </c>
      <c r="R329" s="21">
        <f t="shared" si="127"/>
        <v>19.664934599534131</v>
      </c>
      <c r="S329" s="21">
        <f t="shared" si="127"/>
        <v>39.329869199068263</v>
      </c>
      <c r="T329" s="21">
        <f t="shared" si="127"/>
        <v>78.659738398136525</v>
      </c>
      <c r="U329" s="21">
        <f t="shared" si="127"/>
        <v>157.31947679627305</v>
      </c>
      <c r="V329" s="21">
        <f t="shared" si="127"/>
        <v>314.6389535925461</v>
      </c>
      <c r="W329" s="21">
        <f t="shared" si="127"/>
        <v>629.2779071850922</v>
      </c>
      <c r="X329" s="21">
        <f t="shared" si="127"/>
        <v>1258.5558143701844</v>
      </c>
      <c r="Y329" s="21">
        <f t="shared" si="127"/>
        <v>2517.1116287403688</v>
      </c>
      <c r="Z329" s="21">
        <f t="shared" si="127"/>
        <v>5034.2232574807376</v>
      </c>
      <c r="AA329" s="21">
        <f t="shared" si="127"/>
        <v>10068.446514961475</v>
      </c>
      <c r="AB329" s="21">
        <f t="shared" si="127"/>
        <v>20136.893029922951</v>
      </c>
      <c r="AC329" s="21">
        <f t="shared" si="127"/>
        <v>40273.786059845901</v>
      </c>
      <c r="AD329" s="21">
        <f t="shared" si="127"/>
        <v>80547.572119691802</v>
      </c>
      <c r="AE329" s="21">
        <f t="shared" si="127"/>
        <v>100684.46514961476</v>
      </c>
      <c r="AF329" s="21">
        <f t="shared" si="127"/>
        <v>120821.35817953771</v>
      </c>
      <c r="AG329" s="21">
        <f t="shared" si="127"/>
        <v>140958.25120946066</v>
      </c>
      <c r="AH329" s="21">
        <f t="shared" si="127"/>
        <v>161095.1442393836</v>
      </c>
      <c r="AI329" s="21">
        <f t="shared" si="127"/>
        <v>206201.78462641104</v>
      </c>
      <c r="AJ329" s="21">
        <f t="shared" si="127"/>
        <v>241642.71635907542</v>
      </c>
      <c r="AK329" s="21">
        <f t="shared" si="127"/>
        <v>281916.50241892133</v>
      </c>
      <c r="AL329" s="21">
        <f t="shared" si="127"/>
        <v>322190.28847876721</v>
      </c>
      <c r="AM329" s="21">
        <f t="shared" si="127"/>
        <v>386628.34617452067</v>
      </c>
      <c r="AN329" s="21">
        <f t="shared" si="127"/>
        <v>451066.40387027414</v>
      </c>
      <c r="AO329" s="21">
        <f t="shared" si="127"/>
        <v>515504.46156602754</v>
      </c>
      <c r="AP329" s="21">
        <f t="shared" si="127"/>
        <v>579942.51926178101</v>
      </c>
      <c r="AQ329" s="21">
        <f t="shared" si="127"/>
        <v>644380.57695753442</v>
      </c>
      <c r="AR329" s="21">
        <f t="shared" si="127"/>
        <v>773256.69234904135</v>
      </c>
      <c r="AS329" s="21">
        <f t="shared" si="127"/>
        <v>902132.80774054828</v>
      </c>
      <c r="AT329" s="21">
        <f t="shared" si="127"/>
        <v>1031008.9231320551</v>
      </c>
      <c r="AU329" s="21">
        <f t="shared" si="127"/>
        <v>1159885.038523562</v>
      </c>
      <c r="AV329" s="21">
        <f t="shared" si="127"/>
        <v>1288761.1539150688</v>
      </c>
      <c r="AW329" s="21">
        <f t="shared" si="127"/>
        <v>1546513.3846980827</v>
      </c>
      <c r="AX329" s="21">
        <f t="shared" si="127"/>
        <v>1804265.6154810966</v>
      </c>
      <c r="AY329" s="21">
        <f t="shared" si="127"/>
        <v>2062017.8462641102</v>
      </c>
      <c r="AZ329" s="21">
        <f t="shared" si="127"/>
        <v>2319770.077047124</v>
      </c>
      <c r="BA329" s="21">
        <f t="shared" si="127"/>
        <v>2577522.3078301377</v>
      </c>
      <c r="BB329" s="20">
        <f t="shared" si="127"/>
        <v>5155044.6156602753</v>
      </c>
      <c r="BC329" s="21">
        <f t="shared" si="127"/>
        <v>10310089.231320551</v>
      </c>
      <c r="BD329" s="21">
        <f t="shared" si="127"/>
        <v>20620178.462641101</v>
      </c>
      <c r="BE329" s="21">
        <f t="shared" si="127"/>
        <v>41240356.925282203</v>
      </c>
      <c r="BF329" s="21">
        <f t="shared" si="127"/>
        <v>52004391.506898403</v>
      </c>
      <c r="BG329" s="72">
        <f t="shared" si="127"/>
        <v>52004391.506898403</v>
      </c>
      <c r="BH329" s="45"/>
    </row>
    <row r="330" spans="1:60" x14ac:dyDescent="0.25">
      <c r="A330" s="41"/>
      <c r="B330" s="6"/>
      <c r="C330" s="10"/>
      <c r="D330" s="8"/>
      <c r="E330" s="27">
        <v>2E-3</v>
      </c>
      <c r="F330" s="10"/>
      <c r="G330" s="10"/>
      <c r="H330" s="10"/>
      <c r="I330" s="10"/>
      <c r="J330" s="10"/>
      <c r="K330" s="10"/>
      <c r="L330" s="10"/>
      <c r="M330" s="10"/>
      <c r="N330" s="10"/>
      <c r="O330" s="10"/>
      <c r="P330" s="29">
        <f t="shared" ref="P330:BG330" si="128">P$287*$D$329*$E$330</f>
        <v>9.8324672997670663E-3</v>
      </c>
      <c r="Q330" s="30">
        <f t="shared" si="128"/>
        <v>1.9664934599534133E-2</v>
      </c>
      <c r="R330" s="30">
        <f t="shared" si="128"/>
        <v>3.9329869199068265E-2</v>
      </c>
      <c r="S330" s="30">
        <f t="shared" si="128"/>
        <v>7.8659738398136531E-2</v>
      </c>
      <c r="T330" s="30">
        <f t="shared" si="128"/>
        <v>0.15731947679627306</v>
      </c>
      <c r="U330" s="30">
        <f t="shared" si="128"/>
        <v>0.31463895359254612</v>
      </c>
      <c r="V330" s="30">
        <f t="shared" si="128"/>
        <v>0.62927790718509224</v>
      </c>
      <c r="W330" s="30">
        <f t="shared" si="128"/>
        <v>1.2585558143701845</v>
      </c>
      <c r="X330" s="30">
        <f t="shared" si="128"/>
        <v>2.517111628740369</v>
      </c>
      <c r="Y330" s="30">
        <f t="shared" si="128"/>
        <v>5.034223257480738</v>
      </c>
      <c r="Z330" s="30">
        <f t="shared" si="128"/>
        <v>10.068446514961476</v>
      </c>
      <c r="AA330" s="30">
        <f t="shared" si="128"/>
        <v>20.136893029922952</v>
      </c>
      <c r="AB330" s="30">
        <f t="shared" si="128"/>
        <v>40.273786059845904</v>
      </c>
      <c r="AC330" s="30">
        <f t="shared" si="128"/>
        <v>80.547572119691807</v>
      </c>
      <c r="AD330" s="30">
        <f t="shared" si="128"/>
        <v>161.09514423938361</v>
      </c>
      <c r="AE330" s="30">
        <f t="shared" si="128"/>
        <v>201.3689302992295</v>
      </c>
      <c r="AF330" s="30">
        <f t="shared" si="128"/>
        <v>241.64271635907542</v>
      </c>
      <c r="AG330" s="30">
        <f t="shared" si="128"/>
        <v>281.91650241892131</v>
      </c>
      <c r="AH330" s="30">
        <f t="shared" si="128"/>
        <v>322.19028847876723</v>
      </c>
      <c r="AI330" s="30">
        <f t="shared" si="128"/>
        <v>412.40356925282208</v>
      </c>
      <c r="AJ330" s="30">
        <f t="shared" si="128"/>
        <v>483.28543271815084</v>
      </c>
      <c r="AK330" s="30">
        <f t="shared" si="128"/>
        <v>563.83300483784262</v>
      </c>
      <c r="AL330" s="30">
        <f t="shared" si="128"/>
        <v>644.38057695753446</v>
      </c>
      <c r="AM330" s="30">
        <f t="shared" si="128"/>
        <v>773.25669234904137</v>
      </c>
      <c r="AN330" s="30">
        <f t="shared" si="128"/>
        <v>902.13280774054829</v>
      </c>
      <c r="AO330" s="30">
        <f t="shared" si="128"/>
        <v>1031.0089231320551</v>
      </c>
      <c r="AP330" s="30">
        <f t="shared" si="128"/>
        <v>1159.8850385235621</v>
      </c>
      <c r="AQ330" s="30">
        <f t="shared" si="128"/>
        <v>1288.7611539150689</v>
      </c>
      <c r="AR330" s="30">
        <f t="shared" si="128"/>
        <v>1546.5133846980827</v>
      </c>
      <c r="AS330" s="30">
        <f t="shared" si="128"/>
        <v>1804.2656154810966</v>
      </c>
      <c r="AT330" s="30">
        <f t="shared" si="128"/>
        <v>2062.0178462641102</v>
      </c>
      <c r="AU330" s="30">
        <f t="shared" si="128"/>
        <v>2319.7700770471242</v>
      </c>
      <c r="AV330" s="30">
        <f t="shared" si="128"/>
        <v>2577.5223078301378</v>
      </c>
      <c r="AW330" s="30">
        <f t="shared" si="128"/>
        <v>3093.0267693961655</v>
      </c>
      <c r="AX330" s="30">
        <f t="shared" si="128"/>
        <v>3608.5312309621931</v>
      </c>
      <c r="AY330" s="30">
        <f t="shared" si="128"/>
        <v>4124.0356925282204</v>
      </c>
      <c r="AZ330" s="30">
        <f t="shared" si="128"/>
        <v>4639.5401540942485</v>
      </c>
      <c r="BA330" s="30">
        <f t="shared" si="128"/>
        <v>5155.0446156602757</v>
      </c>
      <c r="BB330" s="29">
        <f t="shared" si="128"/>
        <v>10310.089231320551</v>
      </c>
      <c r="BC330" s="30">
        <f t="shared" si="128"/>
        <v>20620.178462641103</v>
      </c>
      <c r="BD330" s="30">
        <f t="shared" si="128"/>
        <v>41240.356925282205</v>
      </c>
      <c r="BE330" s="30">
        <f t="shared" si="128"/>
        <v>82480.713850564411</v>
      </c>
      <c r="BF330" s="30">
        <f t="shared" si="128"/>
        <v>104008.78301379681</v>
      </c>
      <c r="BG330" s="71">
        <f t="shared" si="128"/>
        <v>104008.78301379681</v>
      </c>
      <c r="BH330" s="45"/>
    </row>
    <row r="331" spans="1:60" x14ac:dyDescent="0.25">
      <c r="A331" s="41" t="s">
        <v>18</v>
      </c>
      <c r="B331" s="6">
        <f>'Population by Age - Wikipedia'!D17</f>
        <v>0.13826223457843137</v>
      </c>
      <c r="C331" s="10">
        <f t="shared" si="118"/>
        <v>45704724.704536453</v>
      </c>
      <c r="D331" s="23">
        <f>'AU Infection Rate by Age'!C10</f>
        <v>0.2160903063967031</v>
      </c>
      <c r="E331" s="17"/>
      <c r="F331" s="10"/>
      <c r="G331" s="10"/>
      <c r="H331" s="10"/>
      <c r="I331" s="10"/>
      <c r="J331" s="10"/>
      <c r="K331" s="10"/>
      <c r="L331" s="10"/>
      <c r="M331" s="10"/>
      <c r="N331" s="10"/>
      <c r="O331" s="10"/>
      <c r="P331" s="20">
        <f t="shared" ref="P331:BG331" si="129">P$287*$D$331</f>
        <v>6.7528220748969714</v>
      </c>
      <c r="Q331" s="21">
        <f t="shared" si="129"/>
        <v>13.505644149793943</v>
      </c>
      <c r="R331" s="21">
        <f t="shared" si="129"/>
        <v>27.011288299587886</v>
      </c>
      <c r="S331" s="21">
        <f t="shared" si="129"/>
        <v>54.022576599175771</v>
      </c>
      <c r="T331" s="21">
        <f t="shared" si="129"/>
        <v>108.04515319835154</v>
      </c>
      <c r="U331" s="21">
        <f t="shared" si="129"/>
        <v>216.09030639670308</v>
      </c>
      <c r="V331" s="21">
        <f t="shared" si="129"/>
        <v>432.18061279340617</v>
      </c>
      <c r="W331" s="21">
        <f t="shared" si="129"/>
        <v>864.36122558681234</v>
      </c>
      <c r="X331" s="21">
        <f t="shared" si="129"/>
        <v>1728.7224511736247</v>
      </c>
      <c r="Y331" s="21">
        <f t="shared" si="129"/>
        <v>3457.4449023472494</v>
      </c>
      <c r="Z331" s="21">
        <f t="shared" si="129"/>
        <v>6914.8898046944987</v>
      </c>
      <c r="AA331" s="21">
        <f t="shared" si="129"/>
        <v>13829.779609388997</v>
      </c>
      <c r="AB331" s="21">
        <f t="shared" si="129"/>
        <v>27659.559218777995</v>
      </c>
      <c r="AC331" s="21">
        <f t="shared" si="129"/>
        <v>55319.11843755599</v>
      </c>
      <c r="AD331" s="21">
        <f t="shared" si="129"/>
        <v>110638.23687511198</v>
      </c>
      <c r="AE331" s="21">
        <f t="shared" si="129"/>
        <v>138297.79609388998</v>
      </c>
      <c r="AF331" s="21">
        <f t="shared" si="129"/>
        <v>165957.35531266799</v>
      </c>
      <c r="AG331" s="21">
        <f t="shared" si="129"/>
        <v>193616.91453144597</v>
      </c>
      <c r="AH331" s="21">
        <f t="shared" si="129"/>
        <v>221276.47375022396</v>
      </c>
      <c r="AI331" s="21">
        <f t="shared" si="129"/>
        <v>283233.88640028669</v>
      </c>
      <c r="AJ331" s="21">
        <f t="shared" si="129"/>
        <v>331914.71062533598</v>
      </c>
      <c r="AK331" s="21">
        <f t="shared" si="129"/>
        <v>387233.82906289195</v>
      </c>
      <c r="AL331" s="21">
        <f t="shared" si="129"/>
        <v>442552.94750044792</v>
      </c>
      <c r="AM331" s="21">
        <f t="shared" si="129"/>
        <v>531063.5370005375</v>
      </c>
      <c r="AN331" s="21">
        <f t="shared" si="129"/>
        <v>619574.12650062714</v>
      </c>
      <c r="AO331" s="21">
        <f t="shared" si="129"/>
        <v>708084.71600071667</v>
      </c>
      <c r="AP331" s="21">
        <f t="shared" si="129"/>
        <v>796595.30550080631</v>
      </c>
      <c r="AQ331" s="21">
        <f t="shared" si="129"/>
        <v>885105.89500089583</v>
      </c>
      <c r="AR331" s="21">
        <f t="shared" si="129"/>
        <v>1062127.074001075</v>
      </c>
      <c r="AS331" s="21">
        <f t="shared" si="129"/>
        <v>1239148.2530012543</v>
      </c>
      <c r="AT331" s="21">
        <f t="shared" si="129"/>
        <v>1416169.4320014333</v>
      </c>
      <c r="AU331" s="21">
        <f t="shared" si="129"/>
        <v>1593190.6110016126</v>
      </c>
      <c r="AV331" s="21">
        <f t="shared" si="129"/>
        <v>1770211.7900017917</v>
      </c>
      <c r="AW331" s="21">
        <f t="shared" si="129"/>
        <v>2124254.14800215</v>
      </c>
      <c r="AX331" s="21">
        <f t="shared" si="129"/>
        <v>2478296.5060025086</v>
      </c>
      <c r="AY331" s="21">
        <f t="shared" si="129"/>
        <v>2832338.8640028667</v>
      </c>
      <c r="AZ331" s="21">
        <f t="shared" si="129"/>
        <v>3186381.2220032252</v>
      </c>
      <c r="BA331" s="21">
        <f t="shared" si="129"/>
        <v>3540423.5800035833</v>
      </c>
      <c r="BB331" s="20">
        <f t="shared" si="129"/>
        <v>7080847.1600071667</v>
      </c>
      <c r="BC331" s="21">
        <f t="shared" si="129"/>
        <v>14161694.320014333</v>
      </c>
      <c r="BD331" s="21">
        <f t="shared" si="129"/>
        <v>28323388.640028667</v>
      </c>
      <c r="BE331" s="21">
        <f t="shared" si="129"/>
        <v>56646777.280057333</v>
      </c>
      <c r="BF331" s="21">
        <f t="shared" si="129"/>
        <v>71432000.179179356</v>
      </c>
      <c r="BG331" s="72">
        <f t="shared" si="129"/>
        <v>71432000.179179356</v>
      </c>
      <c r="BH331" s="45"/>
    </row>
    <row r="332" spans="1:60" x14ac:dyDescent="0.25">
      <c r="A332" s="41"/>
      <c r="B332" s="6"/>
      <c r="C332" s="10"/>
      <c r="D332" s="8"/>
      <c r="E332" s="27">
        <v>2E-3</v>
      </c>
      <c r="F332" s="10"/>
      <c r="G332" s="10"/>
      <c r="H332" s="10"/>
      <c r="I332" s="10"/>
      <c r="J332" s="10"/>
      <c r="K332" s="10"/>
      <c r="L332" s="10"/>
      <c r="M332" s="10"/>
      <c r="N332" s="10"/>
      <c r="O332" s="10"/>
      <c r="P332" s="29">
        <f t="shared" ref="P332:BG332" si="130">P$287*$D$331*$E$332</f>
        <v>1.3505644149793944E-2</v>
      </c>
      <c r="Q332" s="30">
        <f t="shared" si="130"/>
        <v>2.7011288299587887E-2</v>
      </c>
      <c r="R332" s="30">
        <f t="shared" si="130"/>
        <v>5.4022576599175774E-2</v>
      </c>
      <c r="S332" s="30">
        <f t="shared" si="130"/>
        <v>0.10804515319835155</v>
      </c>
      <c r="T332" s="30">
        <f t="shared" si="130"/>
        <v>0.2160903063967031</v>
      </c>
      <c r="U332" s="30">
        <f t="shared" si="130"/>
        <v>0.43218061279340619</v>
      </c>
      <c r="V332" s="30">
        <f t="shared" si="130"/>
        <v>0.86436122558681239</v>
      </c>
      <c r="W332" s="30">
        <f t="shared" si="130"/>
        <v>1.7287224511736248</v>
      </c>
      <c r="X332" s="30">
        <f t="shared" si="130"/>
        <v>3.4574449023472495</v>
      </c>
      <c r="Y332" s="30">
        <f t="shared" si="130"/>
        <v>6.9148898046944991</v>
      </c>
      <c r="Z332" s="30">
        <f t="shared" si="130"/>
        <v>13.829779609388998</v>
      </c>
      <c r="AA332" s="30">
        <f t="shared" si="130"/>
        <v>27.659559218777996</v>
      </c>
      <c r="AB332" s="30">
        <f t="shared" si="130"/>
        <v>55.319118437555993</v>
      </c>
      <c r="AC332" s="30">
        <f t="shared" si="130"/>
        <v>110.63823687511199</v>
      </c>
      <c r="AD332" s="30">
        <f t="shared" si="130"/>
        <v>221.27647375022397</v>
      </c>
      <c r="AE332" s="30">
        <f t="shared" si="130"/>
        <v>276.59559218777997</v>
      </c>
      <c r="AF332" s="30">
        <f t="shared" si="130"/>
        <v>331.914710625336</v>
      </c>
      <c r="AG332" s="30">
        <f t="shared" si="130"/>
        <v>387.23382906289197</v>
      </c>
      <c r="AH332" s="30">
        <f t="shared" si="130"/>
        <v>442.55294750044794</v>
      </c>
      <c r="AI332" s="30">
        <f t="shared" si="130"/>
        <v>566.46777280057336</v>
      </c>
      <c r="AJ332" s="30">
        <f t="shared" si="130"/>
        <v>663.829421250672</v>
      </c>
      <c r="AK332" s="30">
        <f t="shared" si="130"/>
        <v>774.46765812578394</v>
      </c>
      <c r="AL332" s="30">
        <f t="shared" si="130"/>
        <v>885.10589500089588</v>
      </c>
      <c r="AM332" s="30">
        <f t="shared" si="130"/>
        <v>1062.127074001075</v>
      </c>
      <c r="AN332" s="30">
        <f t="shared" si="130"/>
        <v>1239.1482530012543</v>
      </c>
      <c r="AO332" s="30">
        <f t="shared" si="130"/>
        <v>1416.1694320014333</v>
      </c>
      <c r="AP332" s="30">
        <f t="shared" si="130"/>
        <v>1593.1906110016128</v>
      </c>
      <c r="AQ332" s="30">
        <f t="shared" si="130"/>
        <v>1770.2117900017918</v>
      </c>
      <c r="AR332" s="30">
        <f t="shared" si="130"/>
        <v>2124.25414800215</v>
      </c>
      <c r="AS332" s="30">
        <f t="shared" si="130"/>
        <v>2478.2965060025085</v>
      </c>
      <c r="AT332" s="30">
        <f t="shared" si="130"/>
        <v>2832.3388640028666</v>
      </c>
      <c r="AU332" s="30">
        <f t="shared" si="130"/>
        <v>3186.3812220032255</v>
      </c>
      <c r="AV332" s="30">
        <f t="shared" si="130"/>
        <v>3540.4235800035835</v>
      </c>
      <c r="AW332" s="30">
        <f t="shared" si="130"/>
        <v>4248.5082960043001</v>
      </c>
      <c r="AX332" s="30">
        <f t="shared" si="130"/>
        <v>4956.593012005017</v>
      </c>
      <c r="AY332" s="30">
        <f t="shared" si="130"/>
        <v>5664.6777280057331</v>
      </c>
      <c r="AZ332" s="30">
        <f t="shared" si="130"/>
        <v>6372.762444006451</v>
      </c>
      <c r="BA332" s="30">
        <f t="shared" si="130"/>
        <v>7080.8471600071671</v>
      </c>
      <c r="BB332" s="29">
        <f t="shared" si="130"/>
        <v>14161.694320014334</v>
      </c>
      <c r="BC332" s="30">
        <f t="shared" si="130"/>
        <v>28323.388640028668</v>
      </c>
      <c r="BD332" s="30">
        <f t="shared" si="130"/>
        <v>56646.777280057337</v>
      </c>
      <c r="BE332" s="30">
        <f t="shared" si="130"/>
        <v>113293.55456011467</v>
      </c>
      <c r="BF332" s="30">
        <f t="shared" si="130"/>
        <v>142864.00035835872</v>
      </c>
      <c r="BG332" s="71">
        <f t="shared" si="130"/>
        <v>142864.00035835872</v>
      </c>
      <c r="BH332" s="45"/>
    </row>
    <row r="333" spans="1:60" x14ac:dyDescent="0.25">
      <c r="A333" s="42" t="s">
        <v>19</v>
      </c>
      <c r="B333" s="6">
        <f>'Population by Age - Wikipedia'!D13</f>
        <v>0.13835839467257338</v>
      </c>
      <c r="C333" s="10">
        <f t="shared" si="118"/>
        <v>45736511.914136559</v>
      </c>
      <c r="D333" s="23">
        <f>'AU Infection Rate by Age'!C11</f>
        <v>2.8847876724601325E-2</v>
      </c>
      <c r="E333" s="17"/>
      <c r="F333" s="10"/>
      <c r="G333" s="10"/>
      <c r="H333" s="10"/>
      <c r="I333" s="10"/>
      <c r="J333" s="10"/>
      <c r="K333" s="10"/>
      <c r="L333" s="10"/>
      <c r="M333" s="10"/>
      <c r="N333" s="10"/>
      <c r="O333" s="10"/>
      <c r="P333" s="20">
        <f t="shared" ref="P333:BG333" si="131">P$287*$D$333</f>
        <v>0.90149614764379138</v>
      </c>
      <c r="Q333" s="21">
        <f t="shared" si="131"/>
        <v>1.8029922952875828</v>
      </c>
      <c r="R333" s="21">
        <f t="shared" si="131"/>
        <v>3.6059845905751655</v>
      </c>
      <c r="S333" s="21">
        <f t="shared" si="131"/>
        <v>7.211969181150331</v>
      </c>
      <c r="T333" s="21">
        <f t="shared" si="131"/>
        <v>14.423938362300662</v>
      </c>
      <c r="U333" s="21">
        <f t="shared" si="131"/>
        <v>28.847876724601324</v>
      </c>
      <c r="V333" s="21">
        <f t="shared" si="131"/>
        <v>57.695753449202648</v>
      </c>
      <c r="W333" s="21">
        <f t="shared" si="131"/>
        <v>115.3915068984053</v>
      </c>
      <c r="X333" s="21">
        <f t="shared" si="131"/>
        <v>230.78301379681059</v>
      </c>
      <c r="Y333" s="21">
        <f t="shared" si="131"/>
        <v>461.56602759362119</v>
      </c>
      <c r="Z333" s="21">
        <f t="shared" si="131"/>
        <v>923.13205518724237</v>
      </c>
      <c r="AA333" s="21">
        <f t="shared" si="131"/>
        <v>1846.2641103744847</v>
      </c>
      <c r="AB333" s="21">
        <f t="shared" si="131"/>
        <v>3692.5282207489695</v>
      </c>
      <c r="AC333" s="21">
        <f t="shared" si="131"/>
        <v>7385.056441497939</v>
      </c>
      <c r="AD333" s="21">
        <f t="shared" si="131"/>
        <v>14770.112882995878</v>
      </c>
      <c r="AE333" s="21">
        <f t="shared" si="131"/>
        <v>18462.641103744849</v>
      </c>
      <c r="AF333" s="21">
        <f t="shared" si="131"/>
        <v>22155.169324493818</v>
      </c>
      <c r="AG333" s="21">
        <f t="shared" si="131"/>
        <v>25847.697545242787</v>
      </c>
      <c r="AH333" s="21">
        <f t="shared" si="131"/>
        <v>29540.225765991756</v>
      </c>
      <c r="AI333" s="21">
        <f t="shared" si="131"/>
        <v>37811.488980469447</v>
      </c>
      <c r="AJ333" s="21">
        <f t="shared" si="131"/>
        <v>44310.338648987636</v>
      </c>
      <c r="AK333" s="21">
        <f t="shared" si="131"/>
        <v>51695.395090485574</v>
      </c>
      <c r="AL333" s="21">
        <f t="shared" si="131"/>
        <v>59080.451531983512</v>
      </c>
      <c r="AM333" s="21">
        <f t="shared" si="131"/>
        <v>70896.541838380217</v>
      </c>
      <c r="AN333" s="21">
        <f t="shared" si="131"/>
        <v>82712.632144776915</v>
      </c>
      <c r="AO333" s="21">
        <f t="shared" si="131"/>
        <v>94528.722451173628</v>
      </c>
      <c r="AP333" s="21">
        <f t="shared" si="131"/>
        <v>106344.81275757033</v>
      </c>
      <c r="AQ333" s="21">
        <f t="shared" si="131"/>
        <v>118160.90306396702</v>
      </c>
      <c r="AR333" s="21">
        <f t="shared" si="131"/>
        <v>141793.08367676043</v>
      </c>
      <c r="AS333" s="21">
        <f t="shared" si="131"/>
        <v>165425.26428955383</v>
      </c>
      <c r="AT333" s="21">
        <f t="shared" si="131"/>
        <v>189057.44490234726</v>
      </c>
      <c r="AU333" s="21">
        <f t="shared" si="131"/>
        <v>212689.62551514065</v>
      </c>
      <c r="AV333" s="21">
        <f t="shared" si="131"/>
        <v>236321.80612793405</v>
      </c>
      <c r="AW333" s="21">
        <f t="shared" si="131"/>
        <v>283586.16735352087</v>
      </c>
      <c r="AX333" s="21">
        <f t="shared" si="131"/>
        <v>330850.52857910766</v>
      </c>
      <c r="AY333" s="21">
        <f t="shared" si="131"/>
        <v>378114.88980469451</v>
      </c>
      <c r="AZ333" s="21">
        <f t="shared" si="131"/>
        <v>425379.2510302813</v>
      </c>
      <c r="BA333" s="21">
        <f t="shared" si="131"/>
        <v>472643.61225586809</v>
      </c>
      <c r="BB333" s="20">
        <f t="shared" si="131"/>
        <v>945287.22451173619</v>
      </c>
      <c r="BC333" s="21">
        <f t="shared" si="131"/>
        <v>1890574.4490234724</v>
      </c>
      <c r="BD333" s="21">
        <f t="shared" si="131"/>
        <v>3781148.8980469448</v>
      </c>
      <c r="BE333" s="21">
        <f t="shared" si="131"/>
        <v>7562297.7960938895</v>
      </c>
      <c r="BF333" s="21">
        <f t="shared" si="131"/>
        <v>9536112.7934061997</v>
      </c>
      <c r="BG333" s="72">
        <f t="shared" si="131"/>
        <v>9536112.7934061997</v>
      </c>
      <c r="BH333" s="45"/>
    </row>
    <row r="334" spans="1:60" x14ac:dyDescent="0.25">
      <c r="A334" s="42"/>
      <c r="B334" s="6"/>
      <c r="C334" s="10"/>
      <c r="D334" s="8"/>
      <c r="E334" s="27">
        <v>2E-3</v>
      </c>
      <c r="F334" s="10"/>
      <c r="G334" s="10"/>
      <c r="H334" s="10"/>
      <c r="I334" s="10"/>
      <c r="J334" s="10"/>
      <c r="K334" s="10"/>
      <c r="L334" s="10"/>
      <c r="M334" s="10"/>
      <c r="N334" s="10"/>
      <c r="O334" s="10"/>
      <c r="P334" s="29">
        <f t="shared" ref="P334:BG334" si="132">P$287*$D$333*$E$334</f>
        <v>1.8029922952875828E-3</v>
      </c>
      <c r="Q334" s="30">
        <f t="shared" si="132"/>
        <v>3.6059845905751656E-3</v>
      </c>
      <c r="R334" s="30">
        <f t="shared" si="132"/>
        <v>7.2119691811503312E-3</v>
      </c>
      <c r="S334" s="30">
        <f t="shared" si="132"/>
        <v>1.4423938362300662E-2</v>
      </c>
      <c r="T334" s="30">
        <f t="shared" si="132"/>
        <v>2.8847876724601325E-2</v>
      </c>
      <c r="U334" s="30">
        <f t="shared" si="132"/>
        <v>5.769575344920265E-2</v>
      </c>
      <c r="V334" s="30">
        <f t="shared" si="132"/>
        <v>0.1153915068984053</v>
      </c>
      <c r="W334" s="30">
        <f t="shared" si="132"/>
        <v>0.2307830137968106</v>
      </c>
      <c r="X334" s="30">
        <f t="shared" si="132"/>
        <v>0.4615660275936212</v>
      </c>
      <c r="Y334" s="30">
        <f t="shared" si="132"/>
        <v>0.9231320551872424</v>
      </c>
      <c r="Z334" s="30">
        <f t="shared" si="132"/>
        <v>1.8462641103744848</v>
      </c>
      <c r="AA334" s="30">
        <f t="shared" si="132"/>
        <v>3.6925282207489696</v>
      </c>
      <c r="AB334" s="30">
        <f t="shared" si="132"/>
        <v>7.3850564414979392</v>
      </c>
      <c r="AC334" s="30">
        <f t="shared" si="132"/>
        <v>14.770112882995878</v>
      </c>
      <c r="AD334" s="30">
        <f t="shared" si="132"/>
        <v>29.540225765991757</v>
      </c>
      <c r="AE334" s="30">
        <f t="shared" si="132"/>
        <v>36.925282207489701</v>
      </c>
      <c r="AF334" s="30">
        <f t="shared" si="132"/>
        <v>44.310338648987639</v>
      </c>
      <c r="AG334" s="30">
        <f t="shared" si="132"/>
        <v>51.695395090485576</v>
      </c>
      <c r="AH334" s="30">
        <f t="shared" si="132"/>
        <v>59.080451531983513</v>
      </c>
      <c r="AI334" s="30">
        <f t="shared" si="132"/>
        <v>75.622977960938897</v>
      </c>
      <c r="AJ334" s="30">
        <f t="shared" si="132"/>
        <v>88.620677297975277</v>
      </c>
      <c r="AK334" s="30">
        <f t="shared" si="132"/>
        <v>103.39079018097115</v>
      </c>
      <c r="AL334" s="30">
        <f t="shared" si="132"/>
        <v>118.16090306396703</v>
      </c>
      <c r="AM334" s="30">
        <f t="shared" si="132"/>
        <v>141.79308367676043</v>
      </c>
      <c r="AN334" s="30">
        <f t="shared" si="132"/>
        <v>165.42526428955384</v>
      </c>
      <c r="AO334" s="30">
        <f t="shared" si="132"/>
        <v>189.05744490234727</v>
      </c>
      <c r="AP334" s="30">
        <f t="shared" si="132"/>
        <v>212.68962551514065</v>
      </c>
      <c r="AQ334" s="30">
        <f t="shared" si="132"/>
        <v>236.32180612793405</v>
      </c>
      <c r="AR334" s="30">
        <f t="shared" si="132"/>
        <v>283.58616735352086</v>
      </c>
      <c r="AS334" s="30">
        <f t="shared" si="132"/>
        <v>330.85052857910767</v>
      </c>
      <c r="AT334" s="30">
        <f t="shared" si="132"/>
        <v>378.11488980469454</v>
      </c>
      <c r="AU334" s="30">
        <f t="shared" si="132"/>
        <v>425.3792510302813</v>
      </c>
      <c r="AV334" s="30">
        <f t="shared" si="132"/>
        <v>472.64361225586811</v>
      </c>
      <c r="AW334" s="30">
        <f t="shared" si="132"/>
        <v>567.17233470704173</v>
      </c>
      <c r="AX334" s="30">
        <f t="shared" si="132"/>
        <v>661.70105715821535</v>
      </c>
      <c r="AY334" s="30">
        <f t="shared" si="132"/>
        <v>756.22977960938908</v>
      </c>
      <c r="AZ334" s="30">
        <f t="shared" si="132"/>
        <v>850.75850206056259</v>
      </c>
      <c r="BA334" s="30">
        <f t="shared" si="132"/>
        <v>945.28722451173621</v>
      </c>
      <c r="BB334" s="29">
        <f t="shared" si="132"/>
        <v>1890.5744490234724</v>
      </c>
      <c r="BC334" s="30">
        <f t="shared" si="132"/>
        <v>3781.1488980469449</v>
      </c>
      <c r="BD334" s="30">
        <f t="shared" si="132"/>
        <v>7562.2977960938897</v>
      </c>
      <c r="BE334" s="30">
        <f t="shared" si="132"/>
        <v>15124.595592187779</v>
      </c>
      <c r="BF334" s="30">
        <f t="shared" si="132"/>
        <v>19072.225586812401</v>
      </c>
      <c r="BG334" s="71">
        <f t="shared" si="132"/>
        <v>19072.225586812401</v>
      </c>
      <c r="BH334" s="45"/>
    </row>
    <row r="335" spans="1:60" x14ac:dyDescent="0.25">
      <c r="A335" s="42" t="s">
        <v>20</v>
      </c>
      <c r="B335" s="6">
        <f>'Population by Age - Wikipedia'!D9</f>
        <v>0.13133799200038965</v>
      </c>
      <c r="C335" s="10">
        <f t="shared" si="118"/>
        <v>43415808.994604804</v>
      </c>
      <c r="D335" s="23">
        <f>'AU Infection Rate by Age'!C12</f>
        <v>9.8548647195843032E-3</v>
      </c>
      <c r="E335" s="17"/>
      <c r="F335" s="10"/>
      <c r="G335" s="10"/>
      <c r="H335" s="10"/>
      <c r="I335" s="10"/>
      <c r="J335" s="10"/>
      <c r="K335" s="10"/>
      <c r="L335" s="10"/>
      <c r="M335" s="10"/>
      <c r="N335" s="10"/>
      <c r="O335" s="10"/>
      <c r="P335" s="20">
        <f t="shared" ref="P335:BG335" si="133">P$287*$D$335</f>
        <v>0.30796452248700945</v>
      </c>
      <c r="Q335" s="21">
        <f t="shared" si="133"/>
        <v>0.6159290449740189</v>
      </c>
      <c r="R335" s="21">
        <f t="shared" si="133"/>
        <v>1.2318580899480378</v>
      </c>
      <c r="S335" s="21">
        <f t="shared" si="133"/>
        <v>2.4637161798960756</v>
      </c>
      <c r="T335" s="21">
        <f t="shared" si="133"/>
        <v>4.9274323597921512</v>
      </c>
      <c r="U335" s="21">
        <f t="shared" si="133"/>
        <v>9.8548647195843024</v>
      </c>
      <c r="V335" s="21">
        <f t="shared" si="133"/>
        <v>19.709729439168605</v>
      </c>
      <c r="W335" s="21">
        <f t="shared" si="133"/>
        <v>39.41945887833721</v>
      </c>
      <c r="X335" s="21">
        <f t="shared" si="133"/>
        <v>78.838917756674419</v>
      </c>
      <c r="Y335" s="21">
        <f t="shared" si="133"/>
        <v>157.67783551334884</v>
      </c>
      <c r="Z335" s="21">
        <f t="shared" si="133"/>
        <v>315.35567102669768</v>
      </c>
      <c r="AA335" s="21">
        <f t="shared" si="133"/>
        <v>630.71134205339536</v>
      </c>
      <c r="AB335" s="21">
        <f t="shared" si="133"/>
        <v>1261.4226841067907</v>
      </c>
      <c r="AC335" s="21">
        <f t="shared" si="133"/>
        <v>2522.8453682135814</v>
      </c>
      <c r="AD335" s="21">
        <f t="shared" si="133"/>
        <v>5045.6907364271628</v>
      </c>
      <c r="AE335" s="21">
        <f t="shared" si="133"/>
        <v>6307.113420533954</v>
      </c>
      <c r="AF335" s="21">
        <f t="shared" si="133"/>
        <v>7568.5361046407452</v>
      </c>
      <c r="AG335" s="21">
        <f t="shared" si="133"/>
        <v>8829.9587887475354</v>
      </c>
      <c r="AH335" s="21">
        <f t="shared" si="133"/>
        <v>10091.381472854326</v>
      </c>
      <c r="AI335" s="21">
        <f t="shared" si="133"/>
        <v>12916.968285253537</v>
      </c>
      <c r="AJ335" s="21">
        <f t="shared" si="133"/>
        <v>15137.07220928149</v>
      </c>
      <c r="AK335" s="21">
        <f t="shared" si="133"/>
        <v>17659.917577495071</v>
      </c>
      <c r="AL335" s="21">
        <f t="shared" si="133"/>
        <v>20182.762945708651</v>
      </c>
      <c r="AM335" s="21">
        <f t="shared" si="133"/>
        <v>24219.315534850382</v>
      </c>
      <c r="AN335" s="21">
        <f t="shared" si="133"/>
        <v>28255.868123992113</v>
      </c>
      <c r="AO335" s="21">
        <f t="shared" si="133"/>
        <v>32292.420713133844</v>
      </c>
      <c r="AP335" s="21">
        <f t="shared" si="133"/>
        <v>36328.973302275575</v>
      </c>
      <c r="AQ335" s="21">
        <f t="shared" si="133"/>
        <v>40365.525891417303</v>
      </c>
      <c r="AR335" s="21">
        <f t="shared" si="133"/>
        <v>48438.631069700765</v>
      </c>
      <c r="AS335" s="21">
        <f t="shared" si="133"/>
        <v>56511.736247984227</v>
      </c>
      <c r="AT335" s="21">
        <f t="shared" si="133"/>
        <v>64584.841426267689</v>
      </c>
      <c r="AU335" s="21">
        <f t="shared" si="133"/>
        <v>72657.946604551151</v>
      </c>
      <c r="AV335" s="21">
        <f t="shared" si="133"/>
        <v>80731.051782834606</v>
      </c>
      <c r="AW335" s="21">
        <f t="shared" si="133"/>
        <v>96877.26213940153</v>
      </c>
      <c r="AX335" s="21">
        <f t="shared" si="133"/>
        <v>113023.47249596845</v>
      </c>
      <c r="AY335" s="21">
        <f t="shared" si="133"/>
        <v>129169.68285253538</v>
      </c>
      <c r="AZ335" s="21">
        <f t="shared" si="133"/>
        <v>145315.8932091023</v>
      </c>
      <c r="BA335" s="21">
        <f t="shared" si="133"/>
        <v>161462.10356566921</v>
      </c>
      <c r="BB335" s="20">
        <f t="shared" si="133"/>
        <v>322924.20713133842</v>
      </c>
      <c r="BC335" s="21">
        <f t="shared" si="133"/>
        <v>645848.41426267684</v>
      </c>
      <c r="BD335" s="21">
        <f t="shared" si="133"/>
        <v>1291696.8285253537</v>
      </c>
      <c r="BE335" s="21">
        <f t="shared" si="133"/>
        <v>2583393.6570507074</v>
      </c>
      <c r="BF335" s="21">
        <f t="shared" si="133"/>
        <v>3257678.2834617449</v>
      </c>
      <c r="BG335" s="72">
        <f t="shared" si="133"/>
        <v>3257678.2834617449</v>
      </c>
      <c r="BH335" s="45"/>
    </row>
    <row r="336" spans="1:60" x14ac:dyDescent="0.25">
      <c r="A336" s="42"/>
      <c r="B336" s="7"/>
      <c r="C336" s="11"/>
      <c r="D336" s="26"/>
      <c r="E336" s="28">
        <v>0</v>
      </c>
      <c r="F336" s="10"/>
      <c r="G336" s="10"/>
      <c r="H336" s="10"/>
      <c r="I336" s="10"/>
      <c r="J336" s="10"/>
      <c r="K336" s="10"/>
      <c r="L336" s="10"/>
      <c r="M336" s="10"/>
      <c r="N336" s="10"/>
      <c r="O336" s="10"/>
      <c r="P336" s="31">
        <f t="shared" ref="P336:BG336" si="134">P$287*$D$335*$E$336</f>
        <v>0</v>
      </c>
      <c r="Q336" s="32">
        <f t="shared" si="134"/>
        <v>0</v>
      </c>
      <c r="R336" s="32">
        <f t="shared" si="134"/>
        <v>0</v>
      </c>
      <c r="S336" s="32">
        <f t="shared" si="134"/>
        <v>0</v>
      </c>
      <c r="T336" s="32">
        <f t="shared" si="134"/>
        <v>0</v>
      </c>
      <c r="U336" s="32">
        <f t="shared" si="134"/>
        <v>0</v>
      </c>
      <c r="V336" s="32">
        <f t="shared" si="134"/>
        <v>0</v>
      </c>
      <c r="W336" s="32">
        <f t="shared" si="134"/>
        <v>0</v>
      </c>
      <c r="X336" s="32">
        <f t="shared" si="134"/>
        <v>0</v>
      </c>
      <c r="Y336" s="32">
        <f t="shared" si="134"/>
        <v>0</v>
      </c>
      <c r="Z336" s="32">
        <f t="shared" si="134"/>
        <v>0</v>
      </c>
      <c r="AA336" s="32">
        <f t="shared" si="134"/>
        <v>0</v>
      </c>
      <c r="AB336" s="32">
        <f t="shared" si="134"/>
        <v>0</v>
      </c>
      <c r="AC336" s="32">
        <f t="shared" si="134"/>
        <v>0</v>
      </c>
      <c r="AD336" s="32">
        <f t="shared" si="134"/>
        <v>0</v>
      </c>
      <c r="AE336" s="32">
        <f t="shared" si="134"/>
        <v>0</v>
      </c>
      <c r="AF336" s="32">
        <f t="shared" si="134"/>
        <v>0</v>
      </c>
      <c r="AG336" s="32">
        <f t="shared" si="134"/>
        <v>0</v>
      </c>
      <c r="AH336" s="32">
        <f t="shared" si="134"/>
        <v>0</v>
      </c>
      <c r="AI336" s="32">
        <f t="shared" si="134"/>
        <v>0</v>
      </c>
      <c r="AJ336" s="32">
        <f t="shared" si="134"/>
        <v>0</v>
      </c>
      <c r="AK336" s="32">
        <f t="shared" si="134"/>
        <v>0</v>
      </c>
      <c r="AL336" s="32">
        <f t="shared" si="134"/>
        <v>0</v>
      </c>
      <c r="AM336" s="32">
        <f t="shared" si="134"/>
        <v>0</v>
      </c>
      <c r="AN336" s="32">
        <f t="shared" si="134"/>
        <v>0</v>
      </c>
      <c r="AO336" s="32">
        <f t="shared" si="134"/>
        <v>0</v>
      </c>
      <c r="AP336" s="32">
        <f t="shared" si="134"/>
        <v>0</v>
      </c>
      <c r="AQ336" s="32">
        <f t="shared" si="134"/>
        <v>0</v>
      </c>
      <c r="AR336" s="32">
        <f t="shared" si="134"/>
        <v>0</v>
      </c>
      <c r="AS336" s="32">
        <f t="shared" si="134"/>
        <v>0</v>
      </c>
      <c r="AT336" s="32">
        <f t="shared" si="134"/>
        <v>0</v>
      </c>
      <c r="AU336" s="32">
        <f t="shared" si="134"/>
        <v>0</v>
      </c>
      <c r="AV336" s="32">
        <f t="shared" si="134"/>
        <v>0</v>
      </c>
      <c r="AW336" s="32">
        <f t="shared" si="134"/>
        <v>0</v>
      </c>
      <c r="AX336" s="32">
        <f t="shared" si="134"/>
        <v>0</v>
      </c>
      <c r="AY336" s="32">
        <f t="shared" si="134"/>
        <v>0</v>
      </c>
      <c r="AZ336" s="32">
        <f t="shared" si="134"/>
        <v>0</v>
      </c>
      <c r="BA336" s="32">
        <f t="shared" si="134"/>
        <v>0</v>
      </c>
      <c r="BB336" s="29">
        <f t="shared" si="134"/>
        <v>0</v>
      </c>
      <c r="BC336" s="30">
        <f t="shared" si="134"/>
        <v>0</v>
      </c>
      <c r="BD336" s="30">
        <f t="shared" si="134"/>
        <v>0</v>
      </c>
      <c r="BE336" s="30">
        <f t="shared" si="134"/>
        <v>0</v>
      </c>
      <c r="BF336" s="30">
        <f t="shared" si="134"/>
        <v>0</v>
      </c>
      <c r="BG336" s="71">
        <f t="shared" si="134"/>
        <v>0</v>
      </c>
      <c r="BH336" s="45"/>
    </row>
    <row r="337" spans="1:60" x14ac:dyDescent="0.25">
      <c r="A337" s="41" t="s">
        <v>39</v>
      </c>
      <c r="B337" s="14"/>
      <c r="C337" s="10"/>
      <c r="D337" s="10"/>
      <c r="E337" s="15"/>
      <c r="F337" s="10"/>
      <c r="G337" s="10"/>
      <c r="H337" s="10"/>
      <c r="I337" s="10"/>
      <c r="J337" s="10"/>
      <c r="K337" s="10"/>
      <c r="L337" s="10"/>
      <c r="M337" s="10"/>
      <c r="N337" s="10"/>
      <c r="O337" s="10"/>
      <c r="P337" s="18">
        <f t="shared" ref="P337:AP337" si="135">SUM(P319,P321,P323,P325,P327,P329,P331,P333,P335)</f>
        <v>31.249999999999996</v>
      </c>
      <c r="Q337" s="19">
        <f t="shared" si="135"/>
        <v>62.499999999999993</v>
      </c>
      <c r="R337" s="19">
        <f t="shared" si="135"/>
        <v>124.99999999999999</v>
      </c>
      <c r="S337" s="19">
        <f t="shared" si="135"/>
        <v>249.99999999999997</v>
      </c>
      <c r="T337" s="19">
        <f t="shared" si="135"/>
        <v>499.99999999999994</v>
      </c>
      <c r="U337" s="19">
        <f>SUM(U319,U321,U323,U325,U327,U329,U331,U333,U335)</f>
        <v>999.99999999999989</v>
      </c>
      <c r="V337" s="19">
        <f t="shared" si="135"/>
        <v>1999.9999999999998</v>
      </c>
      <c r="W337" s="19">
        <f t="shared" si="135"/>
        <v>3999.9999999999995</v>
      </c>
      <c r="X337" s="19">
        <f t="shared" si="135"/>
        <v>7999.9999999999991</v>
      </c>
      <c r="Y337" s="19">
        <f t="shared" si="135"/>
        <v>15999.999999999998</v>
      </c>
      <c r="Z337" s="19">
        <f t="shared" si="135"/>
        <v>31999.999999999996</v>
      </c>
      <c r="AA337" s="19">
        <f t="shared" si="135"/>
        <v>63999.999999999993</v>
      </c>
      <c r="AB337" s="19">
        <f t="shared" si="135"/>
        <v>127999.99999999999</v>
      </c>
      <c r="AC337" s="19">
        <f t="shared" si="135"/>
        <v>255999.99999999997</v>
      </c>
      <c r="AD337" s="19">
        <f t="shared" si="135"/>
        <v>511999.99999999994</v>
      </c>
      <c r="AE337" s="19">
        <f t="shared" ref="AE337:AG337" si="136">SUM(AE319,AE321,AE323,AE325,AE327,AE329,AE331,AE333,AE335)</f>
        <v>640000</v>
      </c>
      <c r="AF337" s="19">
        <f t="shared" si="136"/>
        <v>768000</v>
      </c>
      <c r="AG337" s="19">
        <f t="shared" si="136"/>
        <v>895999.99999999988</v>
      </c>
      <c r="AH337" s="19">
        <f t="shared" si="135"/>
        <v>1023999.9999999999</v>
      </c>
      <c r="AI337" s="19">
        <f t="shared" ref="AI337:AK337" si="137">SUM(AI319,AI321,AI323,AI325,AI327,AI329,AI331,AI333,AI335)</f>
        <v>1310720</v>
      </c>
      <c r="AJ337" s="19">
        <f t="shared" si="137"/>
        <v>1536000</v>
      </c>
      <c r="AK337" s="19">
        <f t="shared" si="137"/>
        <v>1791999.9999999998</v>
      </c>
      <c r="AL337" s="19">
        <f t="shared" si="135"/>
        <v>2047999.9999999998</v>
      </c>
      <c r="AM337" s="19">
        <f t="shared" si="135"/>
        <v>2457600</v>
      </c>
      <c r="AN337" s="19">
        <f t="shared" si="135"/>
        <v>2867200</v>
      </c>
      <c r="AO337" s="19">
        <f t="shared" si="135"/>
        <v>3276799.9999999995</v>
      </c>
      <c r="AP337" s="19">
        <f t="shared" si="135"/>
        <v>3686400</v>
      </c>
      <c r="AQ337" s="19">
        <f t="shared" ref="AQ337:BA338" si="138">SUM(AQ319,AQ321,AQ323,AQ325,AQ327,AQ329,AQ331,AQ333,AQ335)</f>
        <v>4095999.9999999995</v>
      </c>
      <c r="AR337" s="19">
        <f t="shared" ref="AR337:AU337" si="139">SUM(AR319,AR321,AR323,AR325,AR327,AR329,AR331,AR333,AR335)</f>
        <v>4915200</v>
      </c>
      <c r="AS337" s="19">
        <f t="shared" si="139"/>
        <v>5734400</v>
      </c>
      <c r="AT337" s="19">
        <f t="shared" si="139"/>
        <v>6553599.9999999991</v>
      </c>
      <c r="AU337" s="19">
        <f t="shared" si="139"/>
        <v>7372800</v>
      </c>
      <c r="AV337" s="19">
        <f t="shared" si="138"/>
        <v>8191999.9999999991</v>
      </c>
      <c r="AW337" s="19">
        <f t="shared" ref="AW337:AZ337" si="140">SUM(AW319,AW321,AW323,AW325,AW327,AW329,AW331,AW333,AW335)</f>
        <v>9830400</v>
      </c>
      <c r="AX337" s="19">
        <f t="shared" si="140"/>
        <v>11468800</v>
      </c>
      <c r="AY337" s="19">
        <f t="shared" si="140"/>
        <v>13107199.999999998</v>
      </c>
      <c r="AZ337" s="19">
        <f t="shared" si="140"/>
        <v>14745600</v>
      </c>
      <c r="BA337" s="19">
        <f t="shared" si="138"/>
        <v>16383999.999999998</v>
      </c>
      <c r="BB337" s="18">
        <f t="shared" ref="BB337:BG337" si="141">SUM(BB319,BB321,BB323,BB325,BB327,BB329,BB331,BB333,BB335)</f>
        <v>32767999.999999996</v>
      </c>
      <c r="BC337" s="19">
        <f t="shared" si="141"/>
        <v>65535999.999999993</v>
      </c>
      <c r="BD337" s="19">
        <f t="shared" si="141"/>
        <v>131071999.99999999</v>
      </c>
      <c r="BE337" s="19">
        <f t="shared" si="141"/>
        <v>262143999.99999997</v>
      </c>
      <c r="BF337" s="19">
        <f t="shared" si="141"/>
        <v>330565499.99999994</v>
      </c>
      <c r="BG337" s="60">
        <f t="shared" si="141"/>
        <v>330565499.99999994</v>
      </c>
      <c r="BH337" s="45"/>
    </row>
    <row r="338" spans="1:60" x14ac:dyDescent="0.25">
      <c r="A338" s="43" t="s">
        <v>38</v>
      </c>
      <c r="B338" s="44"/>
      <c r="C338" s="11"/>
      <c r="D338" s="11"/>
      <c r="E338" s="38"/>
      <c r="F338" s="11"/>
      <c r="G338" s="11"/>
      <c r="H338" s="11"/>
      <c r="I338" s="11"/>
      <c r="J338" s="11"/>
      <c r="K338" s="11"/>
      <c r="L338" s="11"/>
      <c r="M338" s="11"/>
      <c r="N338" s="11"/>
      <c r="O338" s="11"/>
      <c r="P338" s="31">
        <f>SUM(P320,P322,P324,P326,P328,P330,P332,P334,P336)</f>
        <v>0.69269060204264477</v>
      </c>
      <c r="Q338" s="32">
        <f>SUM(Q320,Q322,Q324,Q326,Q328,Q330,Q332,Q334,Q336)</f>
        <v>1.3853812040852895</v>
      </c>
      <c r="R338" s="32">
        <f t="shared" ref="R338:AP338" si="142">SUM(R320,R322,R324,R326,R328,R330,R332,R334,R336)</f>
        <v>2.7707624081705791</v>
      </c>
      <c r="S338" s="32">
        <f t="shared" si="142"/>
        <v>5.5415248163411581</v>
      </c>
      <c r="T338" s="32">
        <f t="shared" si="142"/>
        <v>11.083049632682316</v>
      </c>
      <c r="U338" s="32">
        <f t="shared" si="142"/>
        <v>22.166099265364632</v>
      </c>
      <c r="V338" s="32">
        <f t="shared" si="142"/>
        <v>44.332198530729265</v>
      </c>
      <c r="W338" s="32">
        <f t="shared" si="142"/>
        <v>88.66439706145853</v>
      </c>
      <c r="X338" s="32">
        <f t="shared" si="142"/>
        <v>177.32879412291706</v>
      </c>
      <c r="Y338" s="32">
        <f t="shared" si="142"/>
        <v>354.65758824583412</v>
      </c>
      <c r="Z338" s="32">
        <f t="shared" si="142"/>
        <v>709.31517649166824</v>
      </c>
      <c r="AA338" s="32">
        <f t="shared" si="142"/>
        <v>1418.6303529833365</v>
      </c>
      <c r="AB338" s="32">
        <f t="shared" si="142"/>
        <v>2837.260705966673</v>
      </c>
      <c r="AC338" s="32">
        <f t="shared" si="142"/>
        <v>5674.5214119333459</v>
      </c>
      <c r="AD338" s="32">
        <f t="shared" si="142"/>
        <v>11349.042823866692</v>
      </c>
      <c r="AE338" s="32">
        <f t="shared" ref="AE338:AG338" si="143">SUM(AE320,AE322,AE324,AE326,AE328,AE330,AE332,AE334,AE336)</f>
        <v>14186.303529833365</v>
      </c>
      <c r="AF338" s="32">
        <f t="shared" si="143"/>
        <v>17023.564235800037</v>
      </c>
      <c r="AG338" s="32">
        <f t="shared" si="143"/>
        <v>19860.824941766703</v>
      </c>
      <c r="AH338" s="32">
        <f t="shared" si="142"/>
        <v>22698.085647733384</v>
      </c>
      <c r="AI338" s="32">
        <f t="shared" ref="AI338:AK338" si="144">SUM(AI320,AI322,AI324,AI326,AI328,AI330,AI332,AI334,AI336)</f>
        <v>29053.549629098728</v>
      </c>
      <c r="AJ338" s="32">
        <f t="shared" si="144"/>
        <v>34047.128471600074</v>
      </c>
      <c r="AK338" s="32">
        <f t="shared" si="144"/>
        <v>39721.649883533406</v>
      </c>
      <c r="AL338" s="32">
        <f t="shared" si="142"/>
        <v>45396.171295466767</v>
      </c>
      <c r="AM338" s="32">
        <f t="shared" si="142"/>
        <v>54475.405554560122</v>
      </c>
      <c r="AN338" s="32">
        <f t="shared" si="142"/>
        <v>63554.639813653455</v>
      </c>
      <c r="AO338" s="32">
        <f t="shared" si="142"/>
        <v>72633.874072746825</v>
      </c>
      <c r="AP338" s="32">
        <f t="shared" si="142"/>
        <v>81713.108331840151</v>
      </c>
      <c r="AQ338" s="32">
        <f t="shared" si="138"/>
        <v>90792.342590933535</v>
      </c>
      <c r="AR338" s="32">
        <f t="shared" ref="AR338:AU338" si="145">SUM(AR320,AR322,AR324,AR326,AR328,AR330,AR332,AR334,AR336)</f>
        <v>108950.81110912024</v>
      </c>
      <c r="AS338" s="32">
        <f t="shared" si="145"/>
        <v>127109.27962730691</v>
      </c>
      <c r="AT338" s="32">
        <f t="shared" si="145"/>
        <v>145267.74814549365</v>
      </c>
      <c r="AU338" s="32">
        <f t="shared" si="145"/>
        <v>163426.2166636803</v>
      </c>
      <c r="AV338" s="32">
        <f t="shared" si="138"/>
        <v>181584.68518186707</v>
      </c>
      <c r="AW338" s="32">
        <f t="shared" ref="AW338:AZ338" si="146">SUM(AW320,AW322,AW324,AW326,AW328,AW330,AW332,AW334,AW336)</f>
        <v>217901.62221824049</v>
      </c>
      <c r="AX338" s="32">
        <f t="shared" si="146"/>
        <v>254218.55925461382</v>
      </c>
      <c r="AY338" s="32">
        <f t="shared" si="146"/>
        <v>290535.4962909873</v>
      </c>
      <c r="AZ338" s="32">
        <f t="shared" si="146"/>
        <v>326852.4333273606</v>
      </c>
      <c r="BA338" s="32">
        <f t="shared" si="138"/>
        <v>363169.37036373414</v>
      </c>
      <c r="BB338" s="31">
        <f t="shared" ref="BB338:BG338" si="147">SUM(BB320,BB322,BB324,BB326,BB328,BB330,BB332,BB334,BB336)</f>
        <v>726338.74072746828</v>
      </c>
      <c r="BC338" s="32">
        <f t="shared" si="147"/>
        <v>1452677.4814549366</v>
      </c>
      <c r="BD338" s="32">
        <f t="shared" si="147"/>
        <v>2905354.9629098731</v>
      </c>
      <c r="BE338" s="32">
        <f t="shared" si="147"/>
        <v>5810709.9258197462</v>
      </c>
      <c r="BF338" s="32">
        <f t="shared" si="147"/>
        <v>7327347.6867048908</v>
      </c>
      <c r="BG338" s="73">
        <f t="shared" si="147"/>
        <v>7327347.6867048908</v>
      </c>
      <c r="BH338" s="45"/>
    </row>
    <row r="339" spans="1:60" x14ac:dyDescent="0.25">
      <c r="A339" s="42"/>
      <c r="B339" s="14"/>
      <c r="C339" s="10"/>
      <c r="D339" s="10"/>
      <c r="E339" s="15"/>
      <c r="F339" s="10"/>
      <c r="G339" s="10"/>
      <c r="H339" s="10"/>
      <c r="I339" s="10"/>
      <c r="J339" s="10"/>
      <c r="K339" s="10"/>
      <c r="L339" s="10"/>
      <c r="M339" s="10"/>
      <c r="N339" s="10"/>
      <c r="O339" s="10"/>
      <c r="P339" s="45"/>
      <c r="Q339" s="45"/>
      <c r="R339" s="45"/>
      <c r="S339" s="45"/>
      <c r="T339" s="45"/>
      <c r="U339" s="45"/>
      <c r="V339" s="45"/>
      <c r="W339" s="45"/>
      <c r="X339" s="45"/>
      <c r="Y339" s="45"/>
      <c r="Z339" s="45"/>
      <c r="AA339" s="45"/>
      <c r="AB339" s="45"/>
      <c r="AC339" s="45"/>
      <c r="AD339" s="45"/>
      <c r="AE339" s="45"/>
      <c r="AF339" s="45"/>
      <c r="AG339" s="45"/>
      <c r="AH339" s="45"/>
      <c r="AI339" s="45"/>
      <c r="AJ339" s="45"/>
      <c r="AK339" s="45"/>
      <c r="AL339" s="45"/>
      <c r="AM339" s="45"/>
      <c r="AN339" s="45"/>
      <c r="AO339" s="45"/>
      <c r="AP339" s="45"/>
      <c r="AQ339" s="45"/>
      <c r="AR339" s="45"/>
      <c r="AS339" s="45"/>
      <c r="AT339" s="45"/>
      <c r="AU339" s="45"/>
    </row>
    <row r="340" spans="1:60" x14ac:dyDescent="0.25">
      <c r="A340" s="54" t="s">
        <v>50</v>
      </c>
      <c r="B340" s="14"/>
      <c r="C340" s="10"/>
      <c r="D340" s="10"/>
      <c r="E340" s="15"/>
      <c r="F340" s="10"/>
      <c r="G340" s="10"/>
      <c r="H340" s="10"/>
      <c r="I340" s="10"/>
      <c r="J340" s="10"/>
      <c r="K340" s="10"/>
      <c r="L340" s="10"/>
      <c r="M340" s="10"/>
      <c r="N340" s="10"/>
      <c r="O340" s="10"/>
      <c r="P340" s="45"/>
      <c r="Q340" s="45"/>
      <c r="R340" s="45"/>
      <c r="S340" s="45"/>
      <c r="T340" s="45"/>
      <c r="U340" s="45"/>
      <c r="V340" s="45"/>
      <c r="W340" s="45"/>
      <c r="X340" s="45"/>
      <c r="Y340" s="45"/>
      <c r="Z340" s="45"/>
      <c r="AA340" s="45"/>
      <c r="AB340" s="45"/>
      <c r="AC340" s="45"/>
      <c r="AD340" s="45"/>
      <c r="AE340" s="45"/>
      <c r="AF340" s="45"/>
      <c r="AG340" s="45"/>
      <c r="AH340" s="45"/>
      <c r="AI340" s="45"/>
      <c r="AJ340" s="45"/>
      <c r="AK340" s="45"/>
      <c r="AL340" s="45"/>
      <c r="AM340" s="45"/>
      <c r="AN340" s="45"/>
      <c r="AO340" s="45"/>
      <c r="AP340" s="45"/>
      <c r="AQ340" s="45"/>
      <c r="AR340" s="45"/>
      <c r="AS340" s="45"/>
      <c r="AT340" s="45"/>
      <c r="AU340" s="45"/>
    </row>
    <row r="341" spans="1:60" x14ac:dyDescent="0.25">
      <c r="A341" s="4"/>
      <c r="B341" s="9" t="s">
        <v>5</v>
      </c>
      <c r="C341" s="9" t="s">
        <v>3</v>
      </c>
      <c r="D341" s="9"/>
      <c r="E341" s="59" t="s">
        <v>2</v>
      </c>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5"/>
      <c r="BH341" s="47"/>
    </row>
    <row r="342" spans="1:60" x14ac:dyDescent="0.25">
      <c r="A342" s="48" t="s">
        <v>1</v>
      </c>
      <c r="B342" s="24">
        <v>0.36799999999999999</v>
      </c>
      <c r="C342" s="10">
        <f>$B$270 * B342</f>
        <v>121648104</v>
      </c>
      <c r="D342" s="16"/>
      <c r="E342" s="16"/>
      <c r="F342" s="16"/>
      <c r="G342" s="16"/>
      <c r="H342" s="16"/>
      <c r="I342" s="16"/>
      <c r="J342" s="16"/>
      <c r="K342" s="16"/>
      <c r="L342" s="16"/>
      <c r="M342" s="16"/>
      <c r="N342" s="16"/>
      <c r="O342" s="16"/>
      <c r="P342" s="18">
        <f t="shared" ref="P342:BG342" si="148">P$287*$B$342</f>
        <v>11.5</v>
      </c>
      <c r="Q342" s="19">
        <f t="shared" si="148"/>
        <v>23</v>
      </c>
      <c r="R342" s="19">
        <f t="shared" si="148"/>
        <v>46</v>
      </c>
      <c r="S342" s="19">
        <f t="shared" si="148"/>
        <v>92</v>
      </c>
      <c r="T342" s="19">
        <f t="shared" si="148"/>
        <v>184</v>
      </c>
      <c r="U342" s="19">
        <f t="shared" si="148"/>
        <v>368</v>
      </c>
      <c r="V342" s="19">
        <f t="shared" si="148"/>
        <v>736</v>
      </c>
      <c r="W342" s="19">
        <f t="shared" si="148"/>
        <v>1472</v>
      </c>
      <c r="X342" s="19">
        <f t="shared" si="148"/>
        <v>2944</v>
      </c>
      <c r="Y342" s="19">
        <f t="shared" si="148"/>
        <v>5888</v>
      </c>
      <c r="Z342" s="19">
        <f t="shared" si="148"/>
        <v>11776</v>
      </c>
      <c r="AA342" s="19">
        <f t="shared" si="148"/>
        <v>23552</v>
      </c>
      <c r="AB342" s="19">
        <f t="shared" si="148"/>
        <v>47104</v>
      </c>
      <c r="AC342" s="19">
        <f t="shared" si="148"/>
        <v>94208</v>
      </c>
      <c r="AD342" s="19">
        <f t="shared" si="148"/>
        <v>188416</v>
      </c>
      <c r="AE342" s="19">
        <f t="shared" si="148"/>
        <v>235520</v>
      </c>
      <c r="AF342" s="19">
        <f t="shared" si="148"/>
        <v>282624</v>
      </c>
      <c r="AG342" s="19">
        <f t="shared" si="148"/>
        <v>329728</v>
      </c>
      <c r="AH342" s="19">
        <f t="shared" si="148"/>
        <v>376832</v>
      </c>
      <c r="AI342" s="19">
        <f t="shared" si="148"/>
        <v>482344.95999999996</v>
      </c>
      <c r="AJ342" s="19">
        <f t="shared" si="148"/>
        <v>565248</v>
      </c>
      <c r="AK342" s="19">
        <f t="shared" si="148"/>
        <v>659456</v>
      </c>
      <c r="AL342" s="19">
        <f t="shared" si="148"/>
        <v>753664</v>
      </c>
      <c r="AM342" s="19">
        <f t="shared" si="148"/>
        <v>904396.79999999993</v>
      </c>
      <c r="AN342" s="19">
        <f t="shared" si="148"/>
        <v>1055129.6000000001</v>
      </c>
      <c r="AO342" s="19">
        <f t="shared" si="148"/>
        <v>1205862.3999999999</v>
      </c>
      <c r="AP342" s="19">
        <f t="shared" si="148"/>
        <v>1356595.2</v>
      </c>
      <c r="AQ342" s="19">
        <f t="shared" si="148"/>
        <v>1507328</v>
      </c>
      <c r="AR342" s="19">
        <f t="shared" si="148"/>
        <v>1808793.5999999999</v>
      </c>
      <c r="AS342" s="19">
        <f t="shared" si="148"/>
        <v>2110259.2000000002</v>
      </c>
      <c r="AT342" s="19">
        <f t="shared" si="148"/>
        <v>2411724.7999999998</v>
      </c>
      <c r="AU342" s="19">
        <f t="shared" si="148"/>
        <v>2713190.3999999999</v>
      </c>
      <c r="AV342" s="19">
        <f t="shared" si="148"/>
        <v>3014656</v>
      </c>
      <c r="AW342" s="19">
        <f t="shared" si="148"/>
        <v>3617587.1999999997</v>
      </c>
      <c r="AX342" s="19">
        <f t="shared" si="148"/>
        <v>4220518.4000000004</v>
      </c>
      <c r="AY342" s="19">
        <f t="shared" si="148"/>
        <v>4823449.5999999996</v>
      </c>
      <c r="AZ342" s="19">
        <f t="shared" si="148"/>
        <v>5426380.7999999998</v>
      </c>
      <c r="BA342" s="19">
        <f t="shared" si="148"/>
        <v>6029312</v>
      </c>
      <c r="BB342" s="18">
        <f t="shared" si="148"/>
        <v>12058624</v>
      </c>
      <c r="BC342" s="19">
        <f t="shared" si="148"/>
        <v>24117248</v>
      </c>
      <c r="BD342" s="19">
        <f t="shared" si="148"/>
        <v>48234496</v>
      </c>
      <c r="BE342" s="19">
        <f t="shared" si="148"/>
        <v>96468992</v>
      </c>
      <c r="BF342" s="19">
        <f t="shared" si="148"/>
        <v>121648104</v>
      </c>
      <c r="BG342" s="60">
        <f t="shared" si="148"/>
        <v>121648104</v>
      </c>
      <c r="BH342" s="45"/>
    </row>
    <row r="343" spans="1:60" x14ac:dyDescent="0.25">
      <c r="A343" s="48"/>
      <c r="B343" s="16"/>
      <c r="C343" s="16"/>
      <c r="D343" s="25"/>
      <c r="E343" s="46">
        <v>0.105</v>
      </c>
      <c r="F343" s="16"/>
      <c r="G343" s="16"/>
      <c r="H343" s="16"/>
      <c r="I343" s="16"/>
      <c r="J343" s="16"/>
      <c r="K343" s="16"/>
      <c r="L343" s="16"/>
      <c r="M343" s="16"/>
      <c r="N343" s="16"/>
      <c r="O343" s="16"/>
      <c r="P343" s="29">
        <f>P342*$E$343</f>
        <v>1.2075</v>
      </c>
      <c r="Q343" s="30">
        <f t="shared" ref="Q343:AP343" si="149">Q342*$E$343</f>
        <v>2.415</v>
      </c>
      <c r="R343" s="30">
        <f t="shared" si="149"/>
        <v>4.83</v>
      </c>
      <c r="S343" s="30">
        <f t="shared" si="149"/>
        <v>9.66</v>
      </c>
      <c r="T343" s="30">
        <f t="shared" si="149"/>
        <v>19.32</v>
      </c>
      <c r="U343" s="30">
        <f t="shared" si="149"/>
        <v>38.64</v>
      </c>
      <c r="V343" s="30">
        <f t="shared" si="149"/>
        <v>77.28</v>
      </c>
      <c r="W343" s="30">
        <f t="shared" si="149"/>
        <v>154.56</v>
      </c>
      <c r="X343" s="30">
        <f t="shared" si="149"/>
        <v>309.12</v>
      </c>
      <c r="Y343" s="30">
        <f t="shared" si="149"/>
        <v>618.24</v>
      </c>
      <c r="Z343" s="30">
        <f t="shared" si="149"/>
        <v>1236.48</v>
      </c>
      <c r="AA343" s="30">
        <f t="shared" si="149"/>
        <v>2472.96</v>
      </c>
      <c r="AB343" s="30">
        <f t="shared" si="149"/>
        <v>4945.92</v>
      </c>
      <c r="AC343" s="30">
        <f t="shared" si="149"/>
        <v>9891.84</v>
      </c>
      <c r="AD343" s="30">
        <f t="shared" si="149"/>
        <v>19783.68</v>
      </c>
      <c r="AE343" s="30">
        <f t="shared" ref="AE343:AG343" si="150">AE342*$E$343</f>
        <v>24729.599999999999</v>
      </c>
      <c r="AF343" s="30">
        <f t="shared" si="150"/>
        <v>29675.52</v>
      </c>
      <c r="AG343" s="30">
        <f t="shared" si="150"/>
        <v>34621.440000000002</v>
      </c>
      <c r="AH343" s="30">
        <f t="shared" si="149"/>
        <v>39567.360000000001</v>
      </c>
      <c r="AI343" s="30">
        <f t="shared" ref="AI343:AK343" si="151">AI342*$E$343</f>
        <v>50646.220799999996</v>
      </c>
      <c r="AJ343" s="30">
        <f t="shared" si="151"/>
        <v>59351.040000000001</v>
      </c>
      <c r="AK343" s="30">
        <f t="shared" si="151"/>
        <v>69242.880000000005</v>
      </c>
      <c r="AL343" s="30">
        <f t="shared" si="149"/>
        <v>79134.720000000001</v>
      </c>
      <c r="AM343" s="30">
        <f t="shared" si="149"/>
        <v>94961.66399999999</v>
      </c>
      <c r="AN343" s="30">
        <f t="shared" si="149"/>
        <v>110788.60800000001</v>
      </c>
      <c r="AO343" s="30">
        <f t="shared" si="149"/>
        <v>126615.55199999998</v>
      </c>
      <c r="AP343" s="30">
        <f t="shared" si="149"/>
        <v>142442.49599999998</v>
      </c>
      <c r="AQ343" s="30">
        <f>AQ342*$E$343</f>
        <v>158269.44</v>
      </c>
      <c r="AR343" s="30">
        <f t="shared" ref="AR343:AU343" si="152">AR342*$E$343</f>
        <v>189923.32799999998</v>
      </c>
      <c r="AS343" s="30">
        <f t="shared" si="152"/>
        <v>221577.21600000001</v>
      </c>
      <c r="AT343" s="30">
        <f t="shared" si="152"/>
        <v>253231.10399999996</v>
      </c>
      <c r="AU343" s="30">
        <f t="shared" si="152"/>
        <v>284884.99199999997</v>
      </c>
      <c r="AV343" s="30">
        <f>AV342*$E$343</f>
        <v>316538.88</v>
      </c>
      <c r="AW343" s="30">
        <f t="shared" ref="AW343:AZ343" si="153">AW342*$E$343</f>
        <v>379846.65599999996</v>
      </c>
      <c r="AX343" s="30">
        <f t="shared" si="153"/>
        <v>443154.43200000003</v>
      </c>
      <c r="AY343" s="30">
        <f t="shared" si="153"/>
        <v>506462.20799999993</v>
      </c>
      <c r="AZ343" s="30">
        <f t="shared" si="153"/>
        <v>569769.98399999994</v>
      </c>
      <c r="BA343" s="30">
        <f>BA342*$E$343</f>
        <v>633077.76000000001</v>
      </c>
      <c r="BB343" s="29">
        <f t="shared" ref="BB343:BG343" si="154">BB342*$E$343</f>
        <v>1266155.52</v>
      </c>
      <c r="BC343" s="30">
        <f t="shared" si="154"/>
        <v>2532311.04</v>
      </c>
      <c r="BD343" s="30">
        <f t="shared" si="154"/>
        <v>5064622.0800000001</v>
      </c>
      <c r="BE343" s="30">
        <f t="shared" si="154"/>
        <v>10129244.16</v>
      </c>
      <c r="BF343" s="30">
        <f t="shared" si="154"/>
        <v>12773050.92</v>
      </c>
      <c r="BG343" s="71">
        <f t="shared" si="154"/>
        <v>12773050.92</v>
      </c>
      <c r="BH343" s="45"/>
    </row>
    <row r="344" spans="1:60" x14ac:dyDescent="0.25">
      <c r="A344" s="48" t="s">
        <v>4</v>
      </c>
      <c r="B344" s="24">
        <v>9.8000000000000004E-2</v>
      </c>
      <c r="C344" s="10">
        <f>$B$270 * B344</f>
        <v>32395419</v>
      </c>
      <c r="D344" s="47"/>
      <c r="E344" s="16"/>
      <c r="F344" s="16"/>
      <c r="G344" s="16"/>
      <c r="H344" s="16"/>
      <c r="I344" s="16"/>
      <c r="J344" s="16"/>
      <c r="K344" s="16"/>
      <c r="L344" s="16"/>
      <c r="M344" s="16"/>
      <c r="N344" s="16"/>
      <c r="O344" s="16"/>
      <c r="P344" s="20">
        <f t="shared" ref="P344:BG344" si="155">P$287*$B$344</f>
        <v>3.0625</v>
      </c>
      <c r="Q344" s="21">
        <f t="shared" si="155"/>
        <v>6.125</v>
      </c>
      <c r="R344" s="21">
        <f t="shared" si="155"/>
        <v>12.25</v>
      </c>
      <c r="S344" s="21">
        <f t="shared" si="155"/>
        <v>24.5</v>
      </c>
      <c r="T344" s="21">
        <f t="shared" si="155"/>
        <v>49</v>
      </c>
      <c r="U344" s="21">
        <f t="shared" si="155"/>
        <v>98</v>
      </c>
      <c r="V344" s="21">
        <f t="shared" si="155"/>
        <v>196</v>
      </c>
      <c r="W344" s="21">
        <f t="shared" si="155"/>
        <v>392</v>
      </c>
      <c r="X344" s="21">
        <f t="shared" si="155"/>
        <v>784</v>
      </c>
      <c r="Y344" s="21">
        <f t="shared" si="155"/>
        <v>1568</v>
      </c>
      <c r="Z344" s="21">
        <f t="shared" si="155"/>
        <v>3136</v>
      </c>
      <c r="AA344" s="21">
        <f t="shared" si="155"/>
        <v>6272</v>
      </c>
      <c r="AB344" s="21">
        <f t="shared" si="155"/>
        <v>12544</v>
      </c>
      <c r="AC344" s="21">
        <f t="shared" si="155"/>
        <v>25088</v>
      </c>
      <c r="AD344" s="21">
        <f t="shared" si="155"/>
        <v>50176</v>
      </c>
      <c r="AE344" s="21">
        <f t="shared" si="155"/>
        <v>62720</v>
      </c>
      <c r="AF344" s="21">
        <f t="shared" si="155"/>
        <v>75264</v>
      </c>
      <c r="AG344" s="21">
        <f t="shared" si="155"/>
        <v>87808</v>
      </c>
      <c r="AH344" s="21">
        <f t="shared" si="155"/>
        <v>100352</v>
      </c>
      <c r="AI344" s="21">
        <f t="shared" si="155"/>
        <v>128450.56</v>
      </c>
      <c r="AJ344" s="21">
        <f t="shared" si="155"/>
        <v>150528</v>
      </c>
      <c r="AK344" s="21">
        <f t="shared" si="155"/>
        <v>175616</v>
      </c>
      <c r="AL344" s="21">
        <f t="shared" si="155"/>
        <v>200704</v>
      </c>
      <c r="AM344" s="21">
        <f t="shared" si="155"/>
        <v>240844.80000000002</v>
      </c>
      <c r="AN344" s="21">
        <f t="shared" si="155"/>
        <v>280985.60000000003</v>
      </c>
      <c r="AO344" s="21">
        <f t="shared" si="155"/>
        <v>321126.40000000002</v>
      </c>
      <c r="AP344" s="21">
        <f t="shared" si="155"/>
        <v>361267.20000000001</v>
      </c>
      <c r="AQ344" s="21">
        <f t="shared" si="155"/>
        <v>401408</v>
      </c>
      <c r="AR344" s="21">
        <f t="shared" si="155"/>
        <v>481689.60000000003</v>
      </c>
      <c r="AS344" s="21">
        <f t="shared" si="155"/>
        <v>561971.20000000007</v>
      </c>
      <c r="AT344" s="21">
        <f t="shared" si="155"/>
        <v>642252.80000000005</v>
      </c>
      <c r="AU344" s="21">
        <f t="shared" si="155"/>
        <v>722534.40000000002</v>
      </c>
      <c r="AV344" s="21">
        <f t="shared" si="155"/>
        <v>802816</v>
      </c>
      <c r="AW344" s="21">
        <f t="shared" si="155"/>
        <v>963379.20000000007</v>
      </c>
      <c r="AX344" s="21">
        <f t="shared" si="155"/>
        <v>1123942.4000000001</v>
      </c>
      <c r="AY344" s="21">
        <f t="shared" si="155"/>
        <v>1284505.6000000001</v>
      </c>
      <c r="AZ344" s="21">
        <f t="shared" si="155"/>
        <v>1445068.8</v>
      </c>
      <c r="BA344" s="21">
        <f t="shared" si="155"/>
        <v>1605632</v>
      </c>
      <c r="BB344" s="20">
        <f t="shared" si="155"/>
        <v>3211264</v>
      </c>
      <c r="BC344" s="21">
        <f t="shared" si="155"/>
        <v>6422528</v>
      </c>
      <c r="BD344" s="21">
        <f t="shared" si="155"/>
        <v>12845056</v>
      </c>
      <c r="BE344" s="21">
        <f t="shared" si="155"/>
        <v>25690112</v>
      </c>
      <c r="BF344" s="21">
        <f t="shared" si="155"/>
        <v>32395419</v>
      </c>
      <c r="BG344" s="72">
        <f t="shared" si="155"/>
        <v>32395419</v>
      </c>
      <c r="BH344" s="45"/>
    </row>
    <row r="345" spans="1:60" x14ac:dyDescent="0.25">
      <c r="A345" s="48"/>
      <c r="B345" s="16"/>
      <c r="C345" s="16"/>
      <c r="D345" s="25"/>
      <c r="E345" s="46">
        <v>7.2999999999999995E-2</v>
      </c>
      <c r="F345" s="16"/>
      <c r="G345" s="16"/>
      <c r="H345" s="16"/>
      <c r="I345" s="16"/>
      <c r="J345" s="16"/>
      <c r="K345" s="16"/>
      <c r="L345" s="16"/>
      <c r="M345" s="16"/>
      <c r="N345" s="16"/>
      <c r="O345" s="16"/>
      <c r="P345" s="29">
        <f t="shared" ref="P345:AP345" si="156">P344*$E$345</f>
        <v>0.2235625</v>
      </c>
      <c r="Q345" s="30">
        <f t="shared" si="156"/>
        <v>0.44712499999999999</v>
      </c>
      <c r="R345" s="30">
        <f t="shared" si="156"/>
        <v>0.89424999999999999</v>
      </c>
      <c r="S345" s="30">
        <f t="shared" si="156"/>
        <v>1.7885</v>
      </c>
      <c r="T345" s="30">
        <f t="shared" si="156"/>
        <v>3.577</v>
      </c>
      <c r="U345" s="30">
        <f t="shared" si="156"/>
        <v>7.1539999999999999</v>
      </c>
      <c r="V345" s="30">
        <f t="shared" si="156"/>
        <v>14.308</v>
      </c>
      <c r="W345" s="30">
        <f t="shared" si="156"/>
        <v>28.616</v>
      </c>
      <c r="X345" s="30">
        <f t="shared" si="156"/>
        <v>57.231999999999999</v>
      </c>
      <c r="Y345" s="30">
        <f t="shared" si="156"/>
        <v>114.464</v>
      </c>
      <c r="Z345" s="30">
        <f t="shared" si="156"/>
        <v>228.928</v>
      </c>
      <c r="AA345" s="30">
        <f t="shared" si="156"/>
        <v>457.85599999999999</v>
      </c>
      <c r="AB345" s="30">
        <f t="shared" si="156"/>
        <v>915.71199999999999</v>
      </c>
      <c r="AC345" s="30">
        <f t="shared" si="156"/>
        <v>1831.424</v>
      </c>
      <c r="AD345" s="30">
        <f t="shared" si="156"/>
        <v>3662.848</v>
      </c>
      <c r="AE345" s="30">
        <f t="shared" ref="AE345:AG345" si="157">AE344*$E$345</f>
        <v>4578.5599999999995</v>
      </c>
      <c r="AF345" s="30">
        <f t="shared" si="157"/>
        <v>5494.2719999999999</v>
      </c>
      <c r="AG345" s="30">
        <f t="shared" si="157"/>
        <v>6409.9839999999995</v>
      </c>
      <c r="AH345" s="30">
        <f t="shared" si="156"/>
        <v>7325.6959999999999</v>
      </c>
      <c r="AI345" s="30">
        <f t="shared" ref="AI345:AK345" si="158">AI344*$E$345</f>
        <v>9376.890879999999</v>
      </c>
      <c r="AJ345" s="30">
        <f t="shared" si="158"/>
        <v>10988.544</v>
      </c>
      <c r="AK345" s="30">
        <f t="shared" si="158"/>
        <v>12819.967999999999</v>
      </c>
      <c r="AL345" s="30">
        <f t="shared" si="156"/>
        <v>14651.392</v>
      </c>
      <c r="AM345" s="30">
        <f t="shared" si="156"/>
        <v>17581.670399999999</v>
      </c>
      <c r="AN345" s="30">
        <f t="shared" si="156"/>
        <v>20511.948800000002</v>
      </c>
      <c r="AO345" s="30">
        <f t="shared" si="156"/>
        <v>23442.227200000001</v>
      </c>
      <c r="AP345" s="30">
        <f t="shared" si="156"/>
        <v>26372.5056</v>
      </c>
      <c r="AQ345" s="30">
        <f>AQ344*$E$345</f>
        <v>29302.784</v>
      </c>
      <c r="AR345" s="30">
        <f t="shared" ref="AR345:AU345" si="159">AR344*$E$345</f>
        <v>35163.340799999998</v>
      </c>
      <c r="AS345" s="30">
        <f t="shared" si="159"/>
        <v>41023.897600000004</v>
      </c>
      <c r="AT345" s="30">
        <f t="shared" si="159"/>
        <v>46884.454400000002</v>
      </c>
      <c r="AU345" s="30">
        <f t="shared" si="159"/>
        <v>52745.011200000001</v>
      </c>
      <c r="AV345" s="30">
        <f>AV344*$E$345</f>
        <v>58605.567999999999</v>
      </c>
      <c r="AW345" s="30">
        <f t="shared" ref="AW345:AZ345" si="160">AW344*$E$345</f>
        <v>70326.681599999996</v>
      </c>
      <c r="AX345" s="30">
        <f t="shared" si="160"/>
        <v>82047.795200000008</v>
      </c>
      <c r="AY345" s="30">
        <f t="shared" si="160"/>
        <v>93768.908800000005</v>
      </c>
      <c r="AZ345" s="30">
        <f t="shared" si="160"/>
        <v>105490.0224</v>
      </c>
      <c r="BA345" s="30">
        <f>BA344*$E$345</f>
        <v>117211.136</v>
      </c>
      <c r="BB345" s="29">
        <f t="shared" ref="BB345:BG345" si="161">BB344*$E$345</f>
        <v>234422.272</v>
      </c>
      <c r="BC345" s="30">
        <f t="shared" si="161"/>
        <v>468844.54399999999</v>
      </c>
      <c r="BD345" s="30">
        <f t="shared" si="161"/>
        <v>937689.08799999999</v>
      </c>
      <c r="BE345" s="30">
        <f t="shared" si="161"/>
        <v>1875378.176</v>
      </c>
      <c r="BF345" s="30">
        <f t="shared" si="161"/>
        <v>2364865.5869999998</v>
      </c>
      <c r="BG345" s="71">
        <f t="shared" si="161"/>
        <v>2364865.5869999998</v>
      </c>
      <c r="BH345" s="45"/>
    </row>
    <row r="346" spans="1:60" x14ac:dyDescent="0.25">
      <c r="A346" s="48" t="s">
        <v>6</v>
      </c>
      <c r="B346" s="24">
        <v>0.13400000000000001</v>
      </c>
      <c r="C346" s="10">
        <f>$B$270 * B346</f>
        <v>44295777</v>
      </c>
      <c r="D346" s="47"/>
      <c r="E346" s="16"/>
      <c r="F346" s="16"/>
      <c r="G346" s="16"/>
      <c r="H346" s="16"/>
      <c r="I346" s="16"/>
      <c r="J346" s="16"/>
      <c r="K346" s="16"/>
      <c r="L346" s="16"/>
      <c r="M346" s="16"/>
      <c r="N346" s="16"/>
      <c r="O346" s="16"/>
      <c r="P346" s="20">
        <f t="shared" ref="P346:BG346" si="162">P$287*$B$346</f>
        <v>4.1875</v>
      </c>
      <c r="Q346" s="21">
        <f t="shared" si="162"/>
        <v>8.375</v>
      </c>
      <c r="R346" s="21">
        <f t="shared" si="162"/>
        <v>16.75</v>
      </c>
      <c r="S346" s="21">
        <f t="shared" si="162"/>
        <v>33.5</v>
      </c>
      <c r="T346" s="21">
        <f t="shared" si="162"/>
        <v>67</v>
      </c>
      <c r="U346" s="21">
        <f t="shared" si="162"/>
        <v>134</v>
      </c>
      <c r="V346" s="21">
        <f t="shared" si="162"/>
        <v>268</v>
      </c>
      <c r="W346" s="21">
        <f t="shared" si="162"/>
        <v>536</v>
      </c>
      <c r="X346" s="21">
        <f t="shared" si="162"/>
        <v>1072</v>
      </c>
      <c r="Y346" s="21">
        <f t="shared" si="162"/>
        <v>2144</v>
      </c>
      <c r="Z346" s="21">
        <f t="shared" si="162"/>
        <v>4288</v>
      </c>
      <c r="AA346" s="21">
        <f t="shared" si="162"/>
        <v>8576</v>
      </c>
      <c r="AB346" s="21">
        <f t="shared" si="162"/>
        <v>17152</v>
      </c>
      <c r="AC346" s="21">
        <f t="shared" si="162"/>
        <v>34304</v>
      </c>
      <c r="AD346" s="21">
        <f t="shared" si="162"/>
        <v>68608</v>
      </c>
      <c r="AE346" s="21">
        <f t="shared" si="162"/>
        <v>85760</v>
      </c>
      <c r="AF346" s="21">
        <f t="shared" si="162"/>
        <v>102912</v>
      </c>
      <c r="AG346" s="21">
        <f t="shared" si="162"/>
        <v>120064</v>
      </c>
      <c r="AH346" s="21">
        <f t="shared" si="162"/>
        <v>137216</v>
      </c>
      <c r="AI346" s="21">
        <f t="shared" si="162"/>
        <v>175636.48000000001</v>
      </c>
      <c r="AJ346" s="21">
        <f t="shared" si="162"/>
        <v>205824</v>
      </c>
      <c r="AK346" s="21">
        <f t="shared" si="162"/>
        <v>240128</v>
      </c>
      <c r="AL346" s="21">
        <f t="shared" si="162"/>
        <v>274432</v>
      </c>
      <c r="AM346" s="21">
        <f t="shared" si="162"/>
        <v>329318.40000000002</v>
      </c>
      <c r="AN346" s="21">
        <f t="shared" si="162"/>
        <v>384204.80000000005</v>
      </c>
      <c r="AO346" s="21">
        <f t="shared" si="162"/>
        <v>439091.20000000001</v>
      </c>
      <c r="AP346" s="21">
        <f t="shared" si="162"/>
        <v>493977.60000000003</v>
      </c>
      <c r="AQ346" s="21">
        <f t="shared" si="162"/>
        <v>548864</v>
      </c>
      <c r="AR346" s="21">
        <f t="shared" si="162"/>
        <v>658636.80000000005</v>
      </c>
      <c r="AS346" s="21">
        <f t="shared" si="162"/>
        <v>768409.60000000009</v>
      </c>
      <c r="AT346" s="21">
        <f t="shared" si="162"/>
        <v>878182.40000000002</v>
      </c>
      <c r="AU346" s="21">
        <f t="shared" si="162"/>
        <v>987955.20000000007</v>
      </c>
      <c r="AV346" s="21">
        <f t="shared" si="162"/>
        <v>1097728</v>
      </c>
      <c r="AW346" s="21">
        <f t="shared" si="162"/>
        <v>1317273.6000000001</v>
      </c>
      <c r="AX346" s="21">
        <f t="shared" si="162"/>
        <v>1536819.2000000002</v>
      </c>
      <c r="AY346" s="21">
        <f t="shared" si="162"/>
        <v>1756364.8</v>
      </c>
      <c r="AZ346" s="21">
        <f t="shared" si="162"/>
        <v>1975910.4000000001</v>
      </c>
      <c r="BA346" s="21">
        <f t="shared" si="162"/>
        <v>2195456</v>
      </c>
      <c r="BB346" s="20">
        <f t="shared" si="162"/>
        <v>4390912</v>
      </c>
      <c r="BC346" s="21">
        <f t="shared" si="162"/>
        <v>8781824</v>
      </c>
      <c r="BD346" s="21">
        <f t="shared" si="162"/>
        <v>17563648</v>
      </c>
      <c r="BE346" s="21">
        <f t="shared" si="162"/>
        <v>35127296</v>
      </c>
      <c r="BF346" s="21">
        <f t="shared" si="162"/>
        <v>44295777</v>
      </c>
      <c r="BG346" s="72">
        <f t="shared" si="162"/>
        <v>44295777</v>
      </c>
      <c r="BH346" s="45"/>
    </row>
    <row r="347" spans="1:60" x14ac:dyDescent="0.25">
      <c r="A347" s="48"/>
      <c r="B347" s="16"/>
      <c r="C347" s="16"/>
      <c r="D347" s="25"/>
      <c r="E347" s="46">
        <v>6.3E-2</v>
      </c>
      <c r="F347" s="16"/>
      <c r="G347" s="16"/>
      <c r="H347" s="16"/>
      <c r="I347" s="16"/>
      <c r="J347" s="16"/>
      <c r="K347" s="16"/>
      <c r="L347" s="16"/>
      <c r="M347" s="16"/>
      <c r="N347" s="16"/>
      <c r="O347" s="16"/>
      <c r="P347" s="29">
        <f t="shared" ref="P347:AP347" si="163">P346*$E$347</f>
        <v>0.26381250000000001</v>
      </c>
      <c r="Q347" s="30">
        <f t="shared" si="163"/>
        <v>0.52762500000000001</v>
      </c>
      <c r="R347" s="30">
        <f t="shared" si="163"/>
        <v>1.05525</v>
      </c>
      <c r="S347" s="30">
        <f t="shared" si="163"/>
        <v>2.1105</v>
      </c>
      <c r="T347" s="30">
        <f t="shared" si="163"/>
        <v>4.2210000000000001</v>
      </c>
      <c r="U347" s="30">
        <f t="shared" si="163"/>
        <v>8.4420000000000002</v>
      </c>
      <c r="V347" s="30">
        <f t="shared" si="163"/>
        <v>16.884</v>
      </c>
      <c r="W347" s="30">
        <f t="shared" si="163"/>
        <v>33.768000000000001</v>
      </c>
      <c r="X347" s="30">
        <f t="shared" si="163"/>
        <v>67.536000000000001</v>
      </c>
      <c r="Y347" s="30">
        <f t="shared" si="163"/>
        <v>135.072</v>
      </c>
      <c r="Z347" s="30">
        <f t="shared" si="163"/>
        <v>270.14400000000001</v>
      </c>
      <c r="AA347" s="30">
        <f t="shared" si="163"/>
        <v>540.28800000000001</v>
      </c>
      <c r="AB347" s="30">
        <f t="shared" si="163"/>
        <v>1080.576</v>
      </c>
      <c r="AC347" s="30">
        <f t="shared" si="163"/>
        <v>2161.152</v>
      </c>
      <c r="AD347" s="30">
        <f t="shared" si="163"/>
        <v>4322.3040000000001</v>
      </c>
      <c r="AE347" s="30">
        <f t="shared" ref="AE347:AG347" si="164">AE346*$E$347</f>
        <v>5402.88</v>
      </c>
      <c r="AF347" s="30">
        <f t="shared" si="164"/>
        <v>6483.4560000000001</v>
      </c>
      <c r="AG347" s="30">
        <f t="shared" si="164"/>
        <v>7564.0320000000002</v>
      </c>
      <c r="AH347" s="30">
        <f t="shared" si="163"/>
        <v>8644.6080000000002</v>
      </c>
      <c r="AI347" s="30">
        <f t="shared" ref="AI347:AK347" si="165">AI346*$E$347</f>
        <v>11065.098240000001</v>
      </c>
      <c r="AJ347" s="30">
        <f t="shared" si="165"/>
        <v>12966.912</v>
      </c>
      <c r="AK347" s="30">
        <f t="shared" si="165"/>
        <v>15128.064</v>
      </c>
      <c r="AL347" s="30">
        <f t="shared" si="163"/>
        <v>17289.216</v>
      </c>
      <c r="AM347" s="30">
        <f t="shared" si="163"/>
        <v>20747.059200000003</v>
      </c>
      <c r="AN347" s="30">
        <f t="shared" si="163"/>
        <v>24204.902400000003</v>
      </c>
      <c r="AO347" s="30">
        <f t="shared" si="163"/>
        <v>27662.745600000002</v>
      </c>
      <c r="AP347" s="30">
        <f t="shared" si="163"/>
        <v>31120.588800000001</v>
      </c>
      <c r="AQ347" s="30">
        <f>AQ346*$E$347</f>
        <v>34578.432000000001</v>
      </c>
      <c r="AR347" s="30">
        <f t="shared" ref="AR347:AU347" si="166">AR346*$E$347</f>
        <v>41494.118400000007</v>
      </c>
      <c r="AS347" s="30">
        <f t="shared" si="166"/>
        <v>48409.804800000005</v>
      </c>
      <c r="AT347" s="30">
        <f t="shared" si="166"/>
        <v>55325.491200000004</v>
      </c>
      <c r="AU347" s="30">
        <f t="shared" si="166"/>
        <v>62241.177600000003</v>
      </c>
      <c r="AV347" s="30">
        <f>AV346*$E$347</f>
        <v>69156.864000000001</v>
      </c>
      <c r="AW347" s="30">
        <f t="shared" ref="AW347:AZ347" si="167">AW346*$E$347</f>
        <v>82988.236800000013</v>
      </c>
      <c r="AX347" s="30">
        <f t="shared" si="167"/>
        <v>96819.609600000011</v>
      </c>
      <c r="AY347" s="30">
        <f t="shared" si="167"/>
        <v>110650.98240000001</v>
      </c>
      <c r="AZ347" s="30">
        <f t="shared" si="167"/>
        <v>124482.35520000001</v>
      </c>
      <c r="BA347" s="30">
        <f>BA346*$E$347</f>
        <v>138313.728</v>
      </c>
      <c r="BB347" s="29">
        <f t="shared" ref="BB347:BG347" si="168">BB346*$E$347</f>
        <v>276627.45600000001</v>
      </c>
      <c r="BC347" s="30">
        <f t="shared" si="168"/>
        <v>553254.91200000001</v>
      </c>
      <c r="BD347" s="30">
        <f t="shared" si="168"/>
        <v>1106509.824</v>
      </c>
      <c r="BE347" s="30">
        <f t="shared" si="168"/>
        <v>2213019.648</v>
      </c>
      <c r="BF347" s="30">
        <f t="shared" si="168"/>
        <v>2790633.9509999999</v>
      </c>
      <c r="BG347" s="71">
        <f t="shared" si="168"/>
        <v>2790633.9509999999</v>
      </c>
      <c r="BH347" s="45"/>
    </row>
    <row r="348" spans="1:60" x14ac:dyDescent="0.25">
      <c r="A348" s="48" t="s">
        <v>7</v>
      </c>
      <c r="B348" s="24">
        <v>0.46</v>
      </c>
      <c r="C348" s="10">
        <f>$B$270 * B348</f>
        <v>152060130</v>
      </c>
      <c r="D348" s="47"/>
      <c r="E348" s="16"/>
      <c r="F348" s="16"/>
      <c r="G348" s="16"/>
      <c r="H348" s="16"/>
      <c r="I348" s="16"/>
      <c r="J348" s="16"/>
      <c r="K348" s="16"/>
      <c r="L348" s="16"/>
      <c r="M348" s="16"/>
      <c r="N348" s="16"/>
      <c r="O348" s="16"/>
      <c r="P348" s="20">
        <f t="shared" ref="P348:BG348" si="169">P$287*$B$348</f>
        <v>14.375</v>
      </c>
      <c r="Q348" s="21">
        <f t="shared" si="169"/>
        <v>28.75</v>
      </c>
      <c r="R348" s="21">
        <f t="shared" si="169"/>
        <v>57.5</v>
      </c>
      <c r="S348" s="21">
        <f t="shared" si="169"/>
        <v>115</v>
      </c>
      <c r="T348" s="21">
        <f t="shared" si="169"/>
        <v>230</v>
      </c>
      <c r="U348" s="21">
        <f t="shared" si="169"/>
        <v>460</v>
      </c>
      <c r="V348" s="21">
        <f t="shared" si="169"/>
        <v>920</v>
      </c>
      <c r="W348" s="21">
        <f t="shared" si="169"/>
        <v>1840</v>
      </c>
      <c r="X348" s="21">
        <f t="shared" si="169"/>
        <v>3680</v>
      </c>
      <c r="Y348" s="21">
        <f t="shared" si="169"/>
        <v>7360</v>
      </c>
      <c r="Z348" s="21">
        <f t="shared" si="169"/>
        <v>14720</v>
      </c>
      <c r="AA348" s="21">
        <f t="shared" si="169"/>
        <v>29440</v>
      </c>
      <c r="AB348" s="21">
        <f t="shared" si="169"/>
        <v>58880</v>
      </c>
      <c r="AC348" s="21">
        <f t="shared" si="169"/>
        <v>117760</v>
      </c>
      <c r="AD348" s="21">
        <f t="shared" si="169"/>
        <v>235520</v>
      </c>
      <c r="AE348" s="21">
        <f t="shared" si="169"/>
        <v>294400</v>
      </c>
      <c r="AF348" s="21">
        <f t="shared" si="169"/>
        <v>353280</v>
      </c>
      <c r="AG348" s="21">
        <f t="shared" si="169"/>
        <v>412160</v>
      </c>
      <c r="AH348" s="21">
        <f t="shared" si="169"/>
        <v>471040</v>
      </c>
      <c r="AI348" s="21">
        <f t="shared" si="169"/>
        <v>602931.20000000007</v>
      </c>
      <c r="AJ348" s="21">
        <f t="shared" si="169"/>
        <v>706560</v>
      </c>
      <c r="AK348" s="21">
        <f t="shared" si="169"/>
        <v>824320</v>
      </c>
      <c r="AL348" s="21">
        <f t="shared" si="169"/>
        <v>942080</v>
      </c>
      <c r="AM348" s="21">
        <f t="shared" si="169"/>
        <v>1130496</v>
      </c>
      <c r="AN348" s="21">
        <f t="shared" si="169"/>
        <v>1318912</v>
      </c>
      <c r="AO348" s="21">
        <f t="shared" si="169"/>
        <v>1507328</v>
      </c>
      <c r="AP348" s="21">
        <f t="shared" si="169"/>
        <v>1695744</v>
      </c>
      <c r="AQ348" s="21">
        <f t="shared" si="169"/>
        <v>1884160</v>
      </c>
      <c r="AR348" s="21">
        <f t="shared" si="169"/>
        <v>2260992</v>
      </c>
      <c r="AS348" s="21">
        <f t="shared" si="169"/>
        <v>2637824</v>
      </c>
      <c r="AT348" s="21">
        <f t="shared" si="169"/>
        <v>3014656</v>
      </c>
      <c r="AU348" s="21">
        <f t="shared" si="169"/>
        <v>3391488</v>
      </c>
      <c r="AV348" s="21">
        <f t="shared" si="169"/>
        <v>3768320</v>
      </c>
      <c r="AW348" s="21">
        <f t="shared" si="169"/>
        <v>4521984</v>
      </c>
      <c r="AX348" s="21">
        <f t="shared" si="169"/>
        <v>5275648</v>
      </c>
      <c r="AY348" s="21">
        <f t="shared" si="169"/>
        <v>6029312</v>
      </c>
      <c r="AZ348" s="21">
        <f t="shared" si="169"/>
        <v>6782976</v>
      </c>
      <c r="BA348" s="21">
        <f t="shared" si="169"/>
        <v>7536640</v>
      </c>
      <c r="BB348" s="20">
        <f t="shared" si="169"/>
        <v>15073280</v>
      </c>
      <c r="BC348" s="21">
        <f t="shared" si="169"/>
        <v>30146560</v>
      </c>
      <c r="BD348" s="21">
        <f t="shared" si="169"/>
        <v>60293120</v>
      </c>
      <c r="BE348" s="21">
        <f t="shared" si="169"/>
        <v>120586240</v>
      </c>
      <c r="BF348" s="21">
        <f t="shared" si="169"/>
        <v>152060130</v>
      </c>
      <c r="BG348" s="72">
        <f t="shared" si="169"/>
        <v>152060130</v>
      </c>
      <c r="BH348" s="45"/>
    </row>
    <row r="349" spans="1:60" x14ac:dyDescent="0.25">
      <c r="A349" s="48"/>
      <c r="B349" s="16"/>
      <c r="C349" s="16"/>
      <c r="D349" s="25"/>
      <c r="E349" s="46">
        <v>0.06</v>
      </c>
      <c r="F349" s="16"/>
      <c r="G349" s="16"/>
      <c r="H349" s="16"/>
      <c r="I349" s="16"/>
      <c r="J349" s="16"/>
      <c r="K349" s="16"/>
      <c r="L349" s="16"/>
      <c r="M349" s="16"/>
      <c r="N349" s="16"/>
      <c r="O349" s="16"/>
      <c r="P349" s="29">
        <f t="shared" ref="P349:AP349" si="170">P348*$E$349</f>
        <v>0.86249999999999993</v>
      </c>
      <c r="Q349" s="30">
        <f t="shared" si="170"/>
        <v>1.7249999999999999</v>
      </c>
      <c r="R349" s="30">
        <f t="shared" si="170"/>
        <v>3.4499999999999997</v>
      </c>
      <c r="S349" s="30">
        <f t="shared" si="170"/>
        <v>6.8999999999999995</v>
      </c>
      <c r="T349" s="30">
        <f t="shared" si="170"/>
        <v>13.799999999999999</v>
      </c>
      <c r="U349" s="30">
        <f t="shared" si="170"/>
        <v>27.599999999999998</v>
      </c>
      <c r="V349" s="30">
        <f t="shared" si="170"/>
        <v>55.199999999999996</v>
      </c>
      <c r="W349" s="30">
        <f t="shared" si="170"/>
        <v>110.39999999999999</v>
      </c>
      <c r="X349" s="30">
        <f t="shared" si="170"/>
        <v>220.79999999999998</v>
      </c>
      <c r="Y349" s="30">
        <f t="shared" si="170"/>
        <v>441.59999999999997</v>
      </c>
      <c r="Z349" s="30">
        <f t="shared" si="170"/>
        <v>883.19999999999993</v>
      </c>
      <c r="AA349" s="30">
        <f t="shared" si="170"/>
        <v>1766.3999999999999</v>
      </c>
      <c r="AB349" s="30">
        <f t="shared" si="170"/>
        <v>3532.7999999999997</v>
      </c>
      <c r="AC349" s="30">
        <f t="shared" si="170"/>
        <v>7065.5999999999995</v>
      </c>
      <c r="AD349" s="30">
        <f t="shared" si="170"/>
        <v>14131.199999999999</v>
      </c>
      <c r="AE349" s="30">
        <f t="shared" ref="AE349:AG349" si="171">AE348*$E$349</f>
        <v>17664</v>
      </c>
      <c r="AF349" s="30">
        <f t="shared" si="171"/>
        <v>21196.799999999999</v>
      </c>
      <c r="AG349" s="30">
        <f t="shared" si="171"/>
        <v>24729.599999999999</v>
      </c>
      <c r="AH349" s="30">
        <f t="shared" si="170"/>
        <v>28262.399999999998</v>
      </c>
      <c r="AI349" s="30">
        <f t="shared" ref="AI349:AK349" si="172">AI348*$E$349</f>
        <v>36175.872000000003</v>
      </c>
      <c r="AJ349" s="30">
        <f t="shared" si="172"/>
        <v>42393.599999999999</v>
      </c>
      <c r="AK349" s="30">
        <f t="shared" si="172"/>
        <v>49459.199999999997</v>
      </c>
      <c r="AL349" s="30">
        <f t="shared" si="170"/>
        <v>56524.799999999996</v>
      </c>
      <c r="AM349" s="30">
        <f t="shared" si="170"/>
        <v>67829.759999999995</v>
      </c>
      <c r="AN349" s="30">
        <f t="shared" si="170"/>
        <v>79134.720000000001</v>
      </c>
      <c r="AO349" s="30">
        <f t="shared" si="170"/>
        <v>90439.679999999993</v>
      </c>
      <c r="AP349" s="30">
        <f t="shared" si="170"/>
        <v>101744.64</v>
      </c>
      <c r="AQ349" s="30">
        <f>AQ348*$E$349</f>
        <v>113049.59999999999</v>
      </c>
      <c r="AR349" s="30">
        <f t="shared" ref="AR349:AU349" si="173">AR348*$E$349</f>
        <v>135659.51999999999</v>
      </c>
      <c r="AS349" s="30">
        <f t="shared" si="173"/>
        <v>158269.44</v>
      </c>
      <c r="AT349" s="30">
        <f t="shared" si="173"/>
        <v>180879.35999999999</v>
      </c>
      <c r="AU349" s="30">
        <f t="shared" si="173"/>
        <v>203489.28</v>
      </c>
      <c r="AV349" s="30">
        <f>AV348*$E$349</f>
        <v>226099.19999999998</v>
      </c>
      <c r="AW349" s="30">
        <f t="shared" ref="AW349:AZ349" si="174">AW348*$E$349</f>
        <v>271319.03999999998</v>
      </c>
      <c r="AX349" s="30">
        <f t="shared" si="174"/>
        <v>316538.88</v>
      </c>
      <c r="AY349" s="30">
        <f t="shared" si="174"/>
        <v>361758.71999999997</v>
      </c>
      <c r="AZ349" s="30">
        <f t="shared" si="174"/>
        <v>406978.56</v>
      </c>
      <c r="BA349" s="30">
        <f>BA348*$E$349</f>
        <v>452198.39999999997</v>
      </c>
      <c r="BB349" s="29">
        <f t="shared" ref="BB349:BG349" si="175">BB348*$E$349</f>
        <v>904396.79999999993</v>
      </c>
      <c r="BC349" s="30">
        <f t="shared" si="175"/>
        <v>1808793.5999999999</v>
      </c>
      <c r="BD349" s="30">
        <f t="shared" si="175"/>
        <v>3617587.1999999997</v>
      </c>
      <c r="BE349" s="30">
        <f t="shared" si="175"/>
        <v>7235174.3999999994</v>
      </c>
      <c r="BF349" s="30">
        <f t="shared" si="175"/>
        <v>9123607.7999999989</v>
      </c>
      <c r="BG349" s="71">
        <f t="shared" si="175"/>
        <v>9123607.7999999989</v>
      </c>
      <c r="BH349" s="45"/>
    </row>
    <row r="350" spans="1:60" x14ac:dyDescent="0.25">
      <c r="A350" s="48" t="s">
        <v>8</v>
      </c>
      <c r="B350" s="24">
        <v>4.3899999999999998E-3</v>
      </c>
      <c r="C350" s="10">
        <f>$B$270 * B350</f>
        <v>1451182.5449999999</v>
      </c>
      <c r="D350" s="47"/>
      <c r="E350" s="16"/>
      <c r="F350" s="16"/>
      <c r="G350" s="16"/>
      <c r="H350" s="16"/>
      <c r="I350" s="16"/>
      <c r="J350" s="16"/>
      <c r="K350" s="16"/>
      <c r="L350" s="16"/>
      <c r="M350" s="16"/>
      <c r="N350" s="16"/>
      <c r="O350" s="16"/>
      <c r="P350" s="20">
        <f t="shared" ref="P350:BG350" si="176">P$287*$B$350</f>
        <v>0.13718749999999999</v>
      </c>
      <c r="Q350" s="21">
        <f t="shared" si="176"/>
        <v>0.27437499999999998</v>
      </c>
      <c r="R350" s="21">
        <f t="shared" si="176"/>
        <v>0.54874999999999996</v>
      </c>
      <c r="S350" s="21">
        <f t="shared" si="176"/>
        <v>1.0974999999999999</v>
      </c>
      <c r="T350" s="21">
        <f t="shared" si="176"/>
        <v>2.1949999999999998</v>
      </c>
      <c r="U350" s="21">
        <f t="shared" si="176"/>
        <v>4.3899999999999997</v>
      </c>
      <c r="V350" s="21">
        <f t="shared" si="176"/>
        <v>8.7799999999999994</v>
      </c>
      <c r="W350" s="21">
        <f t="shared" si="176"/>
        <v>17.559999999999999</v>
      </c>
      <c r="X350" s="21">
        <f t="shared" si="176"/>
        <v>35.119999999999997</v>
      </c>
      <c r="Y350" s="21">
        <f t="shared" si="176"/>
        <v>70.239999999999995</v>
      </c>
      <c r="Z350" s="21">
        <f t="shared" si="176"/>
        <v>140.47999999999999</v>
      </c>
      <c r="AA350" s="21">
        <f t="shared" si="176"/>
        <v>280.95999999999998</v>
      </c>
      <c r="AB350" s="21">
        <f t="shared" si="176"/>
        <v>561.91999999999996</v>
      </c>
      <c r="AC350" s="21">
        <f t="shared" si="176"/>
        <v>1123.8399999999999</v>
      </c>
      <c r="AD350" s="21">
        <f t="shared" si="176"/>
        <v>2247.6799999999998</v>
      </c>
      <c r="AE350" s="21">
        <f t="shared" si="176"/>
        <v>2809.6</v>
      </c>
      <c r="AF350" s="21">
        <f t="shared" si="176"/>
        <v>3371.52</v>
      </c>
      <c r="AG350" s="21">
        <f t="shared" si="176"/>
        <v>3933.4399999999996</v>
      </c>
      <c r="AH350" s="21">
        <f t="shared" si="176"/>
        <v>4495.3599999999997</v>
      </c>
      <c r="AI350" s="21">
        <f t="shared" si="176"/>
        <v>5754.0607999999993</v>
      </c>
      <c r="AJ350" s="21">
        <f t="shared" si="176"/>
        <v>6743.04</v>
      </c>
      <c r="AK350" s="21">
        <f t="shared" si="176"/>
        <v>7866.8799999999992</v>
      </c>
      <c r="AL350" s="21">
        <f t="shared" si="176"/>
        <v>8990.7199999999993</v>
      </c>
      <c r="AM350" s="21">
        <f t="shared" si="176"/>
        <v>10788.864</v>
      </c>
      <c r="AN350" s="21">
        <f t="shared" si="176"/>
        <v>12587.008</v>
      </c>
      <c r="AO350" s="21">
        <f t="shared" si="176"/>
        <v>14385.152</v>
      </c>
      <c r="AP350" s="21">
        <f t="shared" si="176"/>
        <v>16183.295999999998</v>
      </c>
      <c r="AQ350" s="21">
        <f t="shared" si="176"/>
        <v>17981.439999999999</v>
      </c>
      <c r="AR350" s="21">
        <f t="shared" si="176"/>
        <v>21577.727999999999</v>
      </c>
      <c r="AS350" s="21">
        <f t="shared" si="176"/>
        <v>25174.016</v>
      </c>
      <c r="AT350" s="21">
        <f t="shared" si="176"/>
        <v>28770.304</v>
      </c>
      <c r="AU350" s="21">
        <f t="shared" si="176"/>
        <v>32366.591999999997</v>
      </c>
      <c r="AV350" s="21">
        <f t="shared" si="176"/>
        <v>35962.879999999997</v>
      </c>
      <c r="AW350" s="21">
        <f t="shared" si="176"/>
        <v>43155.455999999998</v>
      </c>
      <c r="AX350" s="21">
        <f t="shared" si="176"/>
        <v>50348.031999999999</v>
      </c>
      <c r="AY350" s="21">
        <f t="shared" si="176"/>
        <v>57540.608</v>
      </c>
      <c r="AZ350" s="21">
        <f t="shared" si="176"/>
        <v>64733.183999999994</v>
      </c>
      <c r="BA350" s="21">
        <f t="shared" si="176"/>
        <v>71925.759999999995</v>
      </c>
      <c r="BB350" s="20">
        <f t="shared" si="176"/>
        <v>143851.51999999999</v>
      </c>
      <c r="BC350" s="21">
        <f t="shared" si="176"/>
        <v>287703.03999999998</v>
      </c>
      <c r="BD350" s="21">
        <f t="shared" si="176"/>
        <v>575406.07999999996</v>
      </c>
      <c r="BE350" s="21">
        <f t="shared" si="176"/>
        <v>1150812.1599999999</v>
      </c>
      <c r="BF350" s="21">
        <f t="shared" si="176"/>
        <v>1451182.5449999999</v>
      </c>
      <c r="BG350" s="72">
        <f t="shared" si="176"/>
        <v>1451182.5449999999</v>
      </c>
      <c r="BH350" s="45"/>
    </row>
    <row r="351" spans="1:60" x14ac:dyDescent="0.25">
      <c r="A351" s="48"/>
      <c r="B351" s="16"/>
      <c r="C351" s="16"/>
      <c r="D351" s="25"/>
      <c r="E351" s="46">
        <v>5.6000000000000001E-2</v>
      </c>
      <c r="F351" s="16"/>
      <c r="G351" s="16"/>
      <c r="H351" s="16"/>
      <c r="I351" s="16"/>
      <c r="J351" s="16"/>
      <c r="K351" s="16"/>
      <c r="L351" s="16"/>
      <c r="M351" s="16"/>
      <c r="N351" s="16"/>
      <c r="O351" s="16"/>
      <c r="P351" s="29">
        <f t="shared" ref="P351:AP351" si="177">P350*$E$351</f>
        <v>7.6824999999999992E-3</v>
      </c>
      <c r="Q351" s="30">
        <f t="shared" si="177"/>
        <v>1.5364999999999998E-2</v>
      </c>
      <c r="R351" s="30">
        <f t="shared" si="177"/>
        <v>3.0729999999999997E-2</v>
      </c>
      <c r="S351" s="30">
        <f t="shared" si="177"/>
        <v>6.1459999999999994E-2</v>
      </c>
      <c r="T351" s="30">
        <f t="shared" si="177"/>
        <v>0.12291999999999999</v>
      </c>
      <c r="U351" s="30">
        <f t="shared" si="177"/>
        <v>0.24583999999999998</v>
      </c>
      <c r="V351" s="30">
        <f t="shared" si="177"/>
        <v>0.49167999999999995</v>
      </c>
      <c r="W351" s="30">
        <f t="shared" si="177"/>
        <v>0.9833599999999999</v>
      </c>
      <c r="X351" s="30">
        <f t="shared" si="177"/>
        <v>1.9667199999999998</v>
      </c>
      <c r="Y351" s="30">
        <f t="shared" si="177"/>
        <v>3.9334399999999996</v>
      </c>
      <c r="Z351" s="30">
        <f t="shared" si="177"/>
        <v>7.8668799999999992</v>
      </c>
      <c r="AA351" s="30">
        <f t="shared" si="177"/>
        <v>15.733759999999998</v>
      </c>
      <c r="AB351" s="30">
        <f t="shared" si="177"/>
        <v>31.467519999999997</v>
      </c>
      <c r="AC351" s="30">
        <f t="shared" si="177"/>
        <v>62.935039999999994</v>
      </c>
      <c r="AD351" s="30">
        <f t="shared" si="177"/>
        <v>125.87007999999999</v>
      </c>
      <c r="AE351" s="30">
        <f t="shared" ref="AE351:AG351" si="178">AE350*$E$351</f>
        <v>157.33760000000001</v>
      </c>
      <c r="AF351" s="30">
        <f t="shared" si="178"/>
        <v>188.80512000000002</v>
      </c>
      <c r="AG351" s="30">
        <f t="shared" si="178"/>
        <v>220.27264</v>
      </c>
      <c r="AH351" s="30">
        <f t="shared" si="177"/>
        <v>251.74015999999997</v>
      </c>
      <c r="AI351" s="30">
        <f t="shared" ref="AI351:AK351" si="179">AI350*$E$351</f>
        <v>322.22740479999999</v>
      </c>
      <c r="AJ351" s="30">
        <f t="shared" si="179"/>
        <v>377.61024000000003</v>
      </c>
      <c r="AK351" s="30">
        <f t="shared" si="179"/>
        <v>440.54527999999999</v>
      </c>
      <c r="AL351" s="30">
        <f t="shared" si="177"/>
        <v>503.48031999999995</v>
      </c>
      <c r="AM351" s="30">
        <f t="shared" si="177"/>
        <v>604.17638399999998</v>
      </c>
      <c r="AN351" s="30">
        <f t="shared" si="177"/>
        <v>704.87244799999996</v>
      </c>
      <c r="AO351" s="30">
        <f t="shared" si="177"/>
        <v>805.56851200000006</v>
      </c>
      <c r="AP351" s="30">
        <f t="shared" si="177"/>
        <v>906.26457599999992</v>
      </c>
      <c r="AQ351" s="30">
        <f>AQ350*$E$351</f>
        <v>1006.9606399999999</v>
      </c>
      <c r="AR351" s="30">
        <f t="shared" ref="AR351:AU351" si="180">AR350*$E$351</f>
        <v>1208.352768</v>
      </c>
      <c r="AS351" s="30">
        <f t="shared" si="180"/>
        <v>1409.7448959999999</v>
      </c>
      <c r="AT351" s="30">
        <f t="shared" si="180"/>
        <v>1611.1370240000001</v>
      </c>
      <c r="AU351" s="30">
        <f t="shared" si="180"/>
        <v>1812.5291519999998</v>
      </c>
      <c r="AV351" s="30">
        <f>AV350*$E$351</f>
        <v>2013.9212799999998</v>
      </c>
      <c r="AW351" s="30">
        <f t="shared" ref="AW351:AZ351" si="181">AW350*$E$351</f>
        <v>2416.7055359999999</v>
      </c>
      <c r="AX351" s="30">
        <f t="shared" si="181"/>
        <v>2819.4897919999999</v>
      </c>
      <c r="AY351" s="30">
        <f t="shared" si="181"/>
        <v>3222.2740480000002</v>
      </c>
      <c r="AZ351" s="30">
        <f t="shared" si="181"/>
        <v>3625.0583039999997</v>
      </c>
      <c r="BA351" s="30">
        <f>BA350*$E$351</f>
        <v>4027.8425599999996</v>
      </c>
      <c r="BB351" s="29">
        <f t="shared" ref="BB351:BG351" si="182">BB350*$E$351</f>
        <v>8055.6851199999992</v>
      </c>
      <c r="BC351" s="30">
        <f t="shared" si="182"/>
        <v>16111.370239999998</v>
      </c>
      <c r="BD351" s="30">
        <f t="shared" si="182"/>
        <v>32222.740479999997</v>
      </c>
      <c r="BE351" s="30">
        <f t="shared" si="182"/>
        <v>64445.480959999994</v>
      </c>
      <c r="BF351" s="30">
        <f t="shared" si="182"/>
        <v>81266.222519999996</v>
      </c>
      <c r="BG351" s="71">
        <f t="shared" si="182"/>
        <v>81266.222519999996</v>
      </c>
      <c r="BH351" s="45"/>
    </row>
    <row r="352" spans="1:60" x14ac:dyDescent="0.25">
      <c r="A352" s="48" t="s">
        <v>9</v>
      </c>
      <c r="B352" s="24">
        <v>0.155</v>
      </c>
      <c r="C352" s="10">
        <f>$B$270 * B352</f>
        <v>51237652.5</v>
      </c>
      <c r="D352" s="47"/>
      <c r="E352" s="16"/>
      <c r="F352" s="16"/>
      <c r="G352" s="16"/>
      <c r="H352" s="16"/>
      <c r="I352" s="16"/>
      <c r="J352" s="16"/>
      <c r="K352" s="16"/>
      <c r="L352" s="16"/>
      <c r="M352" s="16"/>
      <c r="N352" s="16"/>
      <c r="O352" s="16"/>
      <c r="P352" s="20">
        <f t="shared" ref="P352:BG352" si="183">P$287*$B$352</f>
        <v>4.84375</v>
      </c>
      <c r="Q352" s="21">
        <f t="shared" si="183"/>
        <v>9.6875</v>
      </c>
      <c r="R352" s="21">
        <f t="shared" si="183"/>
        <v>19.375</v>
      </c>
      <c r="S352" s="21">
        <f t="shared" si="183"/>
        <v>38.75</v>
      </c>
      <c r="T352" s="21">
        <f t="shared" si="183"/>
        <v>77.5</v>
      </c>
      <c r="U352" s="21">
        <f t="shared" si="183"/>
        <v>155</v>
      </c>
      <c r="V352" s="21">
        <f t="shared" si="183"/>
        <v>310</v>
      </c>
      <c r="W352" s="21">
        <f t="shared" si="183"/>
        <v>620</v>
      </c>
      <c r="X352" s="21">
        <f t="shared" si="183"/>
        <v>1240</v>
      </c>
      <c r="Y352" s="21">
        <f t="shared" si="183"/>
        <v>2480</v>
      </c>
      <c r="Z352" s="21">
        <f t="shared" si="183"/>
        <v>4960</v>
      </c>
      <c r="AA352" s="21">
        <f t="shared" si="183"/>
        <v>9920</v>
      </c>
      <c r="AB352" s="21">
        <f t="shared" si="183"/>
        <v>19840</v>
      </c>
      <c r="AC352" s="21">
        <f t="shared" si="183"/>
        <v>39680</v>
      </c>
      <c r="AD352" s="21">
        <f t="shared" si="183"/>
        <v>79360</v>
      </c>
      <c r="AE352" s="21">
        <f t="shared" si="183"/>
        <v>99200</v>
      </c>
      <c r="AF352" s="21">
        <f t="shared" si="183"/>
        <v>119040</v>
      </c>
      <c r="AG352" s="21">
        <f t="shared" si="183"/>
        <v>138880</v>
      </c>
      <c r="AH352" s="21">
        <f t="shared" si="183"/>
        <v>158720</v>
      </c>
      <c r="AI352" s="21">
        <f t="shared" si="183"/>
        <v>203161.60000000001</v>
      </c>
      <c r="AJ352" s="21">
        <f t="shared" si="183"/>
        <v>238080</v>
      </c>
      <c r="AK352" s="21">
        <f t="shared" si="183"/>
        <v>277760</v>
      </c>
      <c r="AL352" s="21">
        <f t="shared" si="183"/>
        <v>317440</v>
      </c>
      <c r="AM352" s="21">
        <f t="shared" si="183"/>
        <v>380928</v>
      </c>
      <c r="AN352" s="21">
        <f t="shared" si="183"/>
        <v>444416</v>
      </c>
      <c r="AO352" s="21">
        <f t="shared" si="183"/>
        <v>507904</v>
      </c>
      <c r="AP352" s="21">
        <f t="shared" si="183"/>
        <v>571392</v>
      </c>
      <c r="AQ352" s="21">
        <f t="shared" si="183"/>
        <v>634880</v>
      </c>
      <c r="AR352" s="21">
        <f t="shared" si="183"/>
        <v>761856</v>
      </c>
      <c r="AS352" s="21">
        <f t="shared" si="183"/>
        <v>888832</v>
      </c>
      <c r="AT352" s="21">
        <f t="shared" si="183"/>
        <v>1015808</v>
      </c>
      <c r="AU352" s="21">
        <f t="shared" si="183"/>
        <v>1142784</v>
      </c>
      <c r="AV352" s="21">
        <f t="shared" si="183"/>
        <v>1269760</v>
      </c>
      <c r="AW352" s="21">
        <f t="shared" si="183"/>
        <v>1523712</v>
      </c>
      <c r="AX352" s="21">
        <f t="shared" si="183"/>
        <v>1777664</v>
      </c>
      <c r="AY352" s="21">
        <f t="shared" si="183"/>
        <v>2031616</v>
      </c>
      <c r="AZ352" s="21">
        <f t="shared" si="183"/>
        <v>2285568</v>
      </c>
      <c r="BA352" s="21">
        <f t="shared" si="183"/>
        <v>2539520</v>
      </c>
      <c r="BB352" s="20">
        <f t="shared" si="183"/>
        <v>5079040</v>
      </c>
      <c r="BC352" s="21">
        <f t="shared" si="183"/>
        <v>10158080</v>
      </c>
      <c r="BD352" s="21">
        <f t="shared" si="183"/>
        <v>20316160</v>
      </c>
      <c r="BE352" s="21">
        <f t="shared" si="183"/>
        <v>40632320</v>
      </c>
      <c r="BF352" s="21">
        <f t="shared" si="183"/>
        <v>51237652.5</v>
      </c>
      <c r="BG352" s="72">
        <f t="shared" si="183"/>
        <v>51237652.5</v>
      </c>
      <c r="BH352" s="45"/>
    </row>
    <row r="353" spans="1:60" x14ac:dyDescent="0.25">
      <c r="A353" s="37"/>
      <c r="B353" s="39"/>
      <c r="C353" s="39"/>
      <c r="D353" s="55"/>
      <c r="E353" s="56" t="s">
        <v>10</v>
      </c>
      <c r="F353" s="39"/>
      <c r="G353" s="39"/>
      <c r="H353" s="39"/>
      <c r="I353" s="39"/>
      <c r="J353" s="39"/>
      <c r="K353" s="39"/>
      <c r="L353" s="39"/>
      <c r="M353" s="39"/>
      <c r="N353" s="39"/>
      <c r="O353" s="39"/>
      <c r="P353" s="31" t="s">
        <v>10</v>
      </c>
      <c r="Q353" s="32" t="s">
        <v>10</v>
      </c>
      <c r="R353" s="32" t="s">
        <v>10</v>
      </c>
      <c r="S353" s="32" t="s">
        <v>10</v>
      </c>
      <c r="T353" s="32" t="s">
        <v>10</v>
      </c>
      <c r="U353" s="32" t="s">
        <v>10</v>
      </c>
      <c r="V353" s="32" t="s">
        <v>10</v>
      </c>
      <c r="W353" s="32" t="s">
        <v>10</v>
      </c>
      <c r="X353" s="32" t="s">
        <v>10</v>
      </c>
      <c r="Y353" s="32" t="s">
        <v>10</v>
      </c>
      <c r="Z353" s="32" t="s">
        <v>10</v>
      </c>
      <c r="AA353" s="32" t="s">
        <v>10</v>
      </c>
      <c r="AB353" s="32" t="s">
        <v>10</v>
      </c>
      <c r="AC353" s="32" t="s">
        <v>10</v>
      </c>
      <c r="AD353" s="32" t="s">
        <v>10</v>
      </c>
      <c r="AE353" s="32" t="s">
        <v>10</v>
      </c>
      <c r="AF353" s="32" t="s">
        <v>10</v>
      </c>
      <c r="AG353" s="32" t="s">
        <v>10</v>
      </c>
      <c r="AH353" s="32" t="s">
        <v>10</v>
      </c>
      <c r="AI353" s="32" t="s">
        <v>10</v>
      </c>
      <c r="AJ353" s="32" t="s">
        <v>10</v>
      </c>
      <c r="AK353" s="32" t="s">
        <v>10</v>
      </c>
      <c r="AL353" s="32" t="s">
        <v>10</v>
      </c>
      <c r="AM353" s="32" t="s">
        <v>10</v>
      </c>
      <c r="AN353" s="32" t="s">
        <v>10</v>
      </c>
      <c r="AO353" s="32" t="s">
        <v>10</v>
      </c>
      <c r="AP353" s="32" t="s">
        <v>10</v>
      </c>
      <c r="AQ353" s="32" t="s">
        <v>10</v>
      </c>
      <c r="AR353" s="32" t="s">
        <v>10</v>
      </c>
      <c r="AS353" s="32" t="s">
        <v>10</v>
      </c>
      <c r="AT353" s="32" t="s">
        <v>10</v>
      </c>
      <c r="AU353" s="32" t="s">
        <v>10</v>
      </c>
      <c r="AV353" s="32" t="s">
        <v>10</v>
      </c>
      <c r="AW353" s="32" t="s">
        <v>10</v>
      </c>
      <c r="AX353" s="32" t="s">
        <v>10</v>
      </c>
      <c r="AY353" s="32" t="s">
        <v>10</v>
      </c>
      <c r="AZ353" s="32" t="s">
        <v>10</v>
      </c>
      <c r="BA353" s="32" t="s">
        <v>10</v>
      </c>
      <c r="BB353" s="29" t="s">
        <v>10</v>
      </c>
      <c r="BC353" s="30" t="s">
        <v>10</v>
      </c>
      <c r="BD353" s="30" t="s">
        <v>10</v>
      </c>
      <c r="BE353" s="30" t="s">
        <v>10</v>
      </c>
      <c r="BF353" s="30" t="s">
        <v>10</v>
      </c>
      <c r="BG353" s="71" t="s">
        <v>10</v>
      </c>
      <c r="BH353" s="45"/>
    </row>
    <row r="354" spans="1:60" x14ac:dyDescent="0.25">
      <c r="A354" s="41"/>
      <c r="B354" s="16"/>
      <c r="C354" s="16"/>
      <c r="D354" s="47"/>
      <c r="E354" s="16"/>
      <c r="F354" s="16"/>
      <c r="G354" s="16"/>
      <c r="H354" s="16"/>
      <c r="I354" s="16"/>
      <c r="J354" s="16"/>
      <c r="K354" s="16"/>
      <c r="L354" s="16"/>
      <c r="M354" s="16"/>
      <c r="N354" s="16"/>
      <c r="O354" s="16"/>
      <c r="P354" s="20">
        <f>SUM(P342,P344,P346,P348,P350,P352)</f>
        <v>38.105937500000003</v>
      </c>
      <c r="Q354" s="21">
        <f t="shared" ref="Q354:AP354" si="184">SUM(Q342,Q344,Q346,Q348,Q350,Q352)</f>
        <v>76.211875000000006</v>
      </c>
      <c r="R354" s="21">
        <f t="shared" si="184"/>
        <v>152.42375000000001</v>
      </c>
      <c r="S354" s="21">
        <f t="shared" si="184"/>
        <v>304.84750000000003</v>
      </c>
      <c r="T354" s="21">
        <f t="shared" si="184"/>
        <v>609.69500000000005</v>
      </c>
      <c r="U354" s="21">
        <f t="shared" si="184"/>
        <v>1219.3900000000001</v>
      </c>
      <c r="V354" s="21">
        <f>SUM(V342,V344,V346,V348,V350,V352)</f>
        <v>2438.7800000000002</v>
      </c>
      <c r="W354" s="21">
        <f t="shared" si="184"/>
        <v>4877.5600000000004</v>
      </c>
      <c r="X354" s="21">
        <f t="shared" si="184"/>
        <v>9755.1200000000008</v>
      </c>
      <c r="Y354" s="21">
        <f t="shared" si="184"/>
        <v>19510.240000000002</v>
      </c>
      <c r="Z354" s="21">
        <f t="shared" si="184"/>
        <v>39020.480000000003</v>
      </c>
      <c r="AA354" s="21">
        <f t="shared" si="184"/>
        <v>78040.960000000006</v>
      </c>
      <c r="AB354" s="21">
        <f t="shared" si="184"/>
        <v>156081.92000000001</v>
      </c>
      <c r="AC354" s="21">
        <f t="shared" si="184"/>
        <v>312163.84000000003</v>
      </c>
      <c r="AD354" s="21">
        <f t="shared" si="184"/>
        <v>624327.68000000005</v>
      </c>
      <c r="AE354" s="21">
        <f t="shared" ref="AE354:AG354" si="185">SUM(AE342,AE344,AE346,AE348,AE350,AE352)</f>
        <v>780409.6</v>
      </c>
      <c r="AF354" s="21">
        <f t="shared" si="185"/>
        <v>936491.52000000002</v>
      </c>
      <c r="AG354" s="21">
        <f t="shared" si="185"/>
        <v>1092573.44</v>
      </c>
      <c r="AH354" s="21">
        <f t="shared" si="184"/>
        <v>1248655.3600000001</v>
      </c>
      <c r="AI354" s="21">
        <f t="shared" ref="AI354:AK354" si="186">SUM(AI342,AI344,AI346,AI348,AI350,AI352)</f>
        <v>1598278.8608000004</v>
      </c>
      <c r="AJ354" s="21">
        <f t="shared" si="186"/>
        <v>1872983.04</v>
      </c>
      <c r="AK354" s="21">
        <f t="shared" si="186"/>
        <v>2185146.88</v>
      </c>
      <c r="AL354" s="21">
        <f t="shared" si="184"/>
        <v>2497310.7200000002</v>
      </c>
      <c r="AM354" s="21">
        <f t="shared" si="184"/>
        <v>2996772.8640000001</v>
      </c>
      <c r="AN354" s="21">
        <f t="shared" si="184"/>
        <v>3496235.0079999999</v>
      </c>
      <c r="AO354" s="21">
        <f t="shared" si="184"/>
        <v>3995697.1519999998</v>
      </c>
      <c r="AP354" s="21">
        <f t="shared" si="184"/>
        <v>4495159.2960000001</v>
      </c>
      <c r="AQ354" s="21">
        <f t="shared" ref="AQ354:BA355" si="187">SUM(AQ342,AQ344,AQ346,AQ348,AQ350,AQ352)</f>
        <v>4994621.4400000004</v>
      </c>
      <c r="AR354" s="21">
        <f t="shared" ref="AR354:AU354" si="188">SUM(AR342,AR344,AR346,AR348,AR350,AR352)</f>
        <v>5993545.7280000001</v>
      </c>
      <c r="AS354" s="21">
        <f t="shared" si="188"/>
        <v>6992470.0159999998</v>
      </c>
      <c r="AT354" s="21">
        <f t="shared" si="188"/>
        <v>7991394.3039999995</v>
      </c>
      <c r="AU354" s="21">
        <f t="shared" si="188"/>
        <v>8990318.5920000002</v>
      </c>
      <c r="AV354" s="21">
        <f t="shared" si="187"/>
        <v>9989242.8800000008</v>
      </c>
      <c r="AW354" s="21">
        <f t="shared" ref="AW354:AZ354" si="189">SUM(AW342,AW344,AW346,AW348,AW350,AW352)</f>
        <v>11987091.456</v>
      </c>
      <c r="AX354" s="21">
        <f t="shared" si="189"/>
        <v>13984940.032</v>
      </c>
      <c r="AY354" s="21">
        <f t="shared" si="189"/>
        <v>15982788.607999999</v>
      </c>
      <c r="AZ354" s="21">
        <f t="shared" si="189"/>
        <v>17980637.184</v>
      </c>
      <c r="BA354" s="21">
        <f t="shared" si="187"/>
        <v>19978485.760000002</v>
      </c>
      <c r="BB354" s="18">
        <f t="shared" ref="BB354:BG354" si="190">SUM(BB342,BB344,BB346,BB348,BB350,BB352)</f>
        <v>39956971.520000003</v>
      </c>
      <c r="BC354" s="19">
        <f t="shared" si="190"/>
        <v>79913943.040000007</v>
      </c>
      <c r="BD354" s="19">
        <f t="shared" si="190"/>
        <v>159827886.08000001</v>
      </c>
      <c r="BE354" s="19">
        <f t="shared" si="190"/>
        <v>319655772.16000003</v>
      </c>
      <c r="BF354" s="19">
        <f t="shared" si="190"/>
        <v>403088265.04500002</v>
      </c>
      <c r="BG354" s="60">
        <f t="shared" si="190"/>
        <v>403088265.04500002</v>
      </c>
      <c r="BH354" s="45"/>
    </row>
    <row r="355" spans="1:60" x14ac:dyDescent="0.25">
      <c r="A355" s="37" t="s">
        <v>40</v>
      </c>
      <c r="B355" s="39"/>
      <c r="C355" s="39"/>
      <c r="D355" s="39"/>
      <c r="E355" s="39"/>
      <c r="F355" s="39"/>
      <c r="G355" s="39"/>
      <c r="H355" s="39"/>
      <c r="I355" s="39"/>
      <c r="J355" s="39"/>
      <c r="K355" s="39"/>
      <c r="L355" s="39"/>
      <c r="M355" s="39"/>
      <c r="N355" s="39"/>
      <c r="O355" s="39"/>
      <c r="P355" s="31">
        <f>SUM(P343,P345,P347,P349,P351,P353)</f>
        <v>2.5650575</v>
      </c>
      <c r="Q355" s="32">
        <f t="shared" ref="Q355:AP355" si="191">SUM(Q343,Q345,Q347,Q349,Q351,Q353)</f>
        <v>5.130115</v>
      </c>
      <c r="R355" s="32">
        <f t="shared" si="191"/>
        <v>10.26023</v>
      </c>
      <c r="S355" s="32">
        <f t="shared" si="191"/>
        <v>20.52046</v>
      </c>
      <c r="T355" s="32">
        <f t="shared" si="191"/>
        <v>41.04092</v>
      </c>
      <c r="U355" s="32">
        <f t="shared" si="191"/>
        <v>82.08184</v>
      </c>
      <c r="V355" s="32">
        <f t="shared" si="191"/>
        <v>164.16368</v>
      </c>
      <c r="W355" s="32">
        <f t="shared" si="191"/>
        <v>328.32736</v>
      </c>
      <c r="X355" s="32">
        <f t="shared" si="191"/>
        <v>656.65472</v>
      </c>
      <c r="Y355" s="32">
        <f t="shared" si="191"/>
        <v>1313.30944</v>
      </c>
      <c r="Z355" s="32">
        <f t="shared" si="191"/>
        <v>2626.61888</v>
      </c>
      <c r="AA355" s="32">
        <f t="shared" si="191"/>
        <v>5253.23776</v>
      </c>
      <c r="AB355" s="32">
        <f t="shared" si="191"/>
        <v>10506.47552</v>
      </c>
      <c r="AC355" s="32">
        <f t="shared" si="191"/>
        <v>21012.95104</v>
      </c>
      <c r="AD355" s="32">
        <f t="shared" si="191"/>
        <v>42025.90208</v>
      </c>
      <c r="AE355" s="32">
        <f t="shared" ref="AE355:AG355" si="192">SUM(AE343,AE345,AE347,AE349,AE351,AE353)</f>
        <v>52532.377599999993</v>
      </c>
      <c r="AF355" s="32">
        <f t="shared" si="192"/>
        <v>63038.853119999992</v>
      </c>
      <c r="AG355" s="32">
        <f t="shared" si="192"/>
        <v>73545.328639999992</v>
      </c>
      <c r="AH355" s="32">
        <f t="shared" si="191"/>
        <v>84051.80416</v>
      </c>
      <c r="AI355" s="32">
        <f t="shared" ref="AI355:AK355" si="193">SUM(AI343,AI345,AI347,AI349,AI351,AI353)</f>
        <v>107586.30932479999</v>
      </c>
      <c r="AJ355" s="32">
        <f t="shared" si="193"/>
        <v>126077.70623999998</v>
      </c>
      <c r="AK355" s="32">
        <f t="shared" si="193"/>
        <v>147090.65727999998</v>
      </c>
      <c r="AL355" s="32">
        <f t="shared" si="191"/>
        <v>168103.60832</v>
      </c>
      <c r="AM355" s="32">
        <f t="shared" si="191"/>
        <v>201724.32998400001</v>
      </c>
      <c r="AN355" s="32">
        <f t="shared" si="191"/>
        <v>235345.05164800002</v>
      </c>
      <c r="AO355" s="32">
        <f t="shared" si="191"/>
        <v>268965.77331199998</v>
      </c>
      <c r="AP355" s="32">
        <f t="shared" si="191"/>
        <v>302586.49497599999</v>
      </c>
      <c r="AQ355" s="32">
        <f t="shared" si="187"/>
        <v>336207.21664</v>
      </c>
      <c r="AR355" s="32">
        <f t="shared" ref="AR355:AU355" si="194">SUM(AR343,AR345,AR347,AR349,AR351,AR353)</f>
        <v>403448.65996800002</v>
      </c>
      <c r="AS355" s="32">
        <f t="shared" si="194"/>
        <v>470690.10329600004</v>
      </c>
      <c r="AT355" s="32">
        <f t="shared" si="194"/>
        <v>537931.54662399995</v>
      </c>
      <c r="AU355" s="32">
        <f t="shared" si="194"/>
        <v>605172.98995199997</v>
      </c>
      <c r="AV355" s="32">
        <f t="shared" si="187"/>
        <v>672414.43328</v>
      </c>
      <c r="AW355" s="32">
        <f t="shared" ref="AW355:AZ355" si="195">SUM(AW343,AW345,AW347,AW349,AW351,AW353)</f>
        <v>806897.31993600004</v>
      </c>
      <c r="AX355" s="32">
        <f t="shared" si="195"/>
        <v>941380.20659200009</v>
      </c>
      <c r="AY355" s="32">
        <f t="shared" si="195"/>
        <v>1075863.0932479999</v>
      </c>
      <c r="AZ355" s="32">
        <f t="shared" si="195"/>
        <v>1210345.9799039999</v>
      </c>
      <c r="BA355" s="32">
        <f t="shared" si="187"/>
        <v>1344828.86656</v>
      </c>
      <c r="BB355" s="31">
        <f t="shared" ref="BB355:BG355" si="196">SUM(BB343,BB345,BB347,BB349,BB351,BB353)</f>
        <v>2689657.73312</v>
      </c>
      <c r="BC355" s="32">
        <f t="shared" si="196"/>
        <v>5379315.46624</v>
      </c>
      <c r="BD355" s="32">
        <f t="shared" si="196"/>
        <v>10758630.93248</v>
      </c>
      <c r="BE355" s="32">
        <f t="shared" si="196"/>
        <v>21517261.86496</v>
      </c>
      <c r="BF355" s="32">
        <f t="shared" si="196"/>
        <v>27133424.480520003</v>
      </c>
      <c r="BG355" s="73">
        <f t="shared" si="196"/>
        <v>27133424.480520003</v>
      </c>
      <c r="BH355" s="45"/>
    </row>
  </sheetData>
  <conditionalFormatting sqref="BH298 P298:BF298">
    <cfRule type="cellIs" dxfId="21" priority="31" operator="greaterThan">
      <formula>$C$276</formula>
    </cfRule>
  </conditionalFormatting>
  <conditionalFormatting sqref="P300:BF300">
    <cfRule type="cellIs" dxfId="20" priority="30" operator="greaterThan">
      <formula>$C$277</formula>
    </cfRule>
  </conditionalFormatting>
  <conditionalFormatting sqref="P319:BG319">
    <cfRule type="cellIs" dxfId="19" priority="29" operator="greaterThan">
      <formula>$C$319</formula>
    </cfRule>
  </conditionalFormatting>
  <conditionalFormatting sqref="P321:BG321">
    <cfRule type="cellIs" dxfId="18" priority="28" operator="greaterThan">
      <formula>$C$321</formula>
    </cfRule>
  </conditionalFormatting>
  <conditionalFormatting sqref="P323:BG323">
    <cfRule type="cellIs" dxfId="17" priority="27" operator="greaterThan">
      <formula>$C$323</formula>
    </cfRule>
  </conditionalFormatting>
  <conditionalFormatting sqref="P325:BG325">
    <cfRule type="cellIs" dxfId="16" priority="19" operator="greaterThan">
      <formula>$C$325</formula>
    </cfRule>
  </conditionalFormatting>
  <conditionalFormatting sqref="P327:BG327">
    <cfRule type="cellIs" dxfId="15" priority="18" operator="greaterThan">
      <formula>$C$327</formula>
    </cfRule>
  </conditionalFormatting>
  <conditionalFormatting sqref="P329:BG329">
    <cfRule type="cellIs" dxfId="14" priority="17" operator="greaterThan">
      <formula>$C$329</formula>
    </cfRule>
  </conditionalFormatting>
  <conditionalFormatting sqref="P331:BG331">
    <cfRule type="cellIs" dxfId="13" priority="16" operator="greaterThan">
      <formula>$C$331</formula>
    </cfRule>
  </conditionalFormatting>
  <conditionalFormatting sqref="P333:BG333">
    <cfRule type="cellIs" dxfId="12" priority="15" operator="greaterThan">
      <formula>$C$333</formula>
    </cfRule>
  </conditionalFormatting>
  <conditionalFormatting sqref="P335:BG335">
    <cfRule type="cellIs" dxfId="11" priority="14" operator="greaterThan">
      <formula>$C$335</formula>
    </cfRule>
  </conditionalFormatting>
  <conditionalFormatting sqref="P289:BG289">
    <cfRule type="cellIs" dxfId="10" priority="13" operator="equal">
      <formula>0</formula>
    </cfRule>
  </conditionalFormatting>
  <conditionalFormatting sqref="P296:BF296 P298:BF298 Q300:BF300">
    <cfRule type="cellIs" dxfId="9" priority="12" operator="equal">
      <formula>0</formula>
    </cfRule>
  </conditionalFormatting>
  <conditionalFormatting sqref="D319">
    <cfRule type="cellIs" dxfId="8" priority="9" operator="greaterThan">
      <formula>$B$319</formula>
    </cfRule>
  </conditionalFormatting>
  <conditionalFormatting sqref="D321">
    <cfRule type="cellIs" dxfId="7" priority="8" operator="greaterThan">
      <formula>$B$321</formula>
    </cfRule>
  </conditionalFormatting>
  <conditionalFormatting sqref="D323">
    <cfRule type="cellIs" dxfId="6" priority="7" operator="greaterThan">
      <formula>$B$323</formula>
    </cfRule>
  </conditionalFormatting>
  <conditionalFormatting sqref="D325">
    <cfRule type="cellIs" dxfId="5" priority="6" operator="greaterThan">
      <formula>$B$325</formula>
    </cfRule>
  </conditionalFormatting>
  <conditionalFormatting sqref="D327">
    <cfRule type="cellIs" dxfId="4" priority="5" operator="greaterThan">
      <formula>$B$327</formula>
    </cfRule>
  </conditionalFormatting>
  <conditionalFormatting sqref="D329">
    <cfRule type="cellIs" dxfId="3" priority="4" operator="greaterThan">
      <formula>$B$329</formula>
    </cfRule>
  </conditionalFormatting>
  <conditionalFormatting sqref="D331">
    <cfRule type="cellIs" dxfId="2" priority="3" operator="greaterThan">
      <formula>$B$331</formula>
    </cfRule>
  </conditionalFormatting>
  <conditionalFormatting sqref="D333">
    <cfRule type="cellIs" dxfId="1" priority="2" operator="greaterThan">
      <formula>$B$333</formula>
    </cfRule>
  </conditionalFormatting>
  <conditionalFormatting sqref="D335">
    <cfRule type="cellIs" dxfId="0" priority="1" operator="greaterThan">
      <formula>$B$335</formula>
    </cfRule>
  </conditionalFormatting>
  <hyperlinks>
    <hyperlink ref="E318" r:id="rId1" location="case-fatality-rate-of-covid-19-by-age" xr:uid="{0058192C-B05A-45D2-8597-C1F9B3D9241E}"/>
    <hyperlink ref="E341" r:id="rId2" location="case-fatality-rate-of-covid-19-by-preexisting-health-conditions" xr:uid="{110A2613-24A6-4768-B90C-571B307D13E2}"/>
    <hyperlink ref="B274" r:id="rId3" display="https://cmmid.github.io/topics/covid19/severity/global_cfr_estimates.html" xr:uid="{478D393B-144B-447C-BE80-8DB4A6AAAE87}"/>
    <hyperlink ref="A272" r:id="rId4" xr:uid="{F8C3DB32-759B-4C5A-975C-9AA8316EE6B0}"/>
  </hyperlinks>
  <pageMargins left="0.7" right="0.7" top="0.75" bottom="0.75" header="0.3" footer="0.3"/>
  <pageSetup paperSize="9"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115</v>
      </c>
      <c r="C3" s="163">
        <f>Projections!B270</f>
        <v>330565500</v>
      </c>
      <c r="J3" s="2"/>
    </row>
    <row r="4" spans="2:10" x14ac:dyDescent="0.25">
      <c r="B4" s="180" t="s">
        <v>132</v>
      </c>
      <c r="C4" s="163">
        <f>Projections!P287</f>
        <v>31.25</v>
      </c>
      <c r="J4" s="2"/>
    </row>
    <row r="5" spans="2:10" x14ac:dyDescent="0.25">
      <c r="B5" s="180" t="s">
        <v>133</v>
      </c>
      <c r="C5" s="161">
        <f>Projections!P286</f>
        <v>43882</v>
      </c>
      <c r="J5" s="2"/>
    </row>
    <row r="6" spans="2:10" x14ac:dyDescent="0.25">
      <c r="B6" s="180" t="s">
        <v>116</v>
      </c>
      <c r="C6" s="163">
        <v>2045549</v>
      </c>
    </row>
    <row r="7" spans="2:10" x14ac:dyDescent="0.25">
      <c r="B7" s="180" t="s">
        <v>118</v>
      </c>
      <c r="C7" s="161">
        <f ca="1">NOW()</f>
        <v>43992.615477430554</v>
      </c>
    </row>
    <row r="8" spans="2:10" x14ac:dyDescent="0.25">
      <c r="B8" s="180" t="s">
        <v>134</v>
      </c>
      <c r="C8" s="162">
        <f ca="1">C7-C5</f>
        <v>110.61547743055417</v>
      </c>
    </row>
    <row r="9" spans="2:10" x14ac:dyDescent="0.25">
      <c r="B9" s="180" t="s">
        <v>117</v>
      </c>
      <c r="C9" s="164">
        <f ca="1">C8/(LOG(C6/C4)/LOG(2))</f>
        <v>6.9142139097516511</v>
      </c>
      <c r="D9" t="s">
        <v>97</v>
      </c>
      <c r="F9" t="s">
        <v>135</v>
      </c>
    </row>
    <row r="10" spans="2:10" x14ac:dyDescent="0.25">
      <c r="B10" s="180" t="s">
        <v>122</v>
      </c>
      <c r="C10" s="163">
        <f>Projections!C276</f>
        <v>793357.2</v>
      </c>
    </row>
    <row r="11" spans="2:10" x14ac:dyDescent="0.25">
      <c r="B11" s="181" t="s">
        <v>123</v>
      </c>
      <c r="C11" s="168">
        <f>Projections!C277</f>
        <v>114706.22850000001</v>
      </c>
    </row>
    <row r="12" spans="2:10" s="69" customFormat="1" x14ac:dyDescent="0.25">
      <c r="B12" s="62" t="s">
        <v>163</v>
      </c>
      <c r="C12" s="169">
        <f>C6/Projections!B274</f>
        <v>8182196</v>
      </c>
    </row>
    <row r="13" spans="2:10" s="69" customFormat="1" x14ac:dyDescent="0.25">
      <c r="B13" s="48" t="s">
        <v>164</v>
      </c>
      <c r="C13" s="170">
        <f ca="1">(C4/Projections!B274)*(2^(((C7-21)-C5)/C9))</f>
        <v>996724.34549895034</v>
      </c>
    </row>
    <row r="14" spans="2:10" s="69" customFormat="1" x14ac:dyDescent="0.25">
      <c r="B14" s="49" t="s">
        <v>165</v>
      </c>
      <c r="C14" s="151">
        <f ca="1">C12-C13</f>
        <v>7185471.6545010498</v>
      </c>
      <c r="E14" s="166"/>
      <c r="F14" s="167" t="s">
        <v>139</v>
      </c>
      <c r="G14" s="165"/>
    </row>
    <row r="15" spans="2:10" x14ac:dyDescent="0.25">
      <c r="B15" s="4" t="s">
        <v>136</v>
      </c>
      <c r="C15" s="64">
        <f>C6*Projections!B279</f>
        <v>1656894.6900000002</v>
      </c>
      <c r="I15" s="160"/>
    </row>
    <row r="16" spans="2:10" x14ac:dyDescent="0.25">
      <c r="B16" s="41" t="s">
        <v>146</v>
      </c>
      <c r="C16" s="83">
        <f ca="1">(C4*Projections!B279)*(2^(((C7-21)-C5)/C9))</f>
        <v>201836.67996353743</v>
      </c>
      <c r="I16" s="160"/>
    </row>
    <row r="17" spans="2:9" x14ac:dyDescent="0.25">
      <c r="B17" s="41" t="s">
        <v>137</v>
      </c>
      <c r="C17" s="83">
        <f ca="1">C15-C16</f>
        <v>1455058.0100364627</v>
      </c>
      <c r="F17" t="s">
        <v>140</v>
      </c>
      <c r="I17" s="160"/>
    </row>
    <row r="18" spans="2:9" x14ac:dyDescent="0.25">
      <c r="B18" s="4" t="s">
        <v>142</v>
      </c>
      <c r="C18" s="64">
        <f>C6*Projections!B280</f>
        <v>286376.86000000004</v>
      </c>
    </row>
    <row r="19" spans="2:9" x14ac:dyDescent="0.25">
      <c r="B19" s="41" t="s">
        <v>147</v>
      </c>
      <c r="C19" s="83">
        <f ca="1">(C4*Projections!B280)*(2^(((C7-49)-C5)/C9))</f>
        <v>2106.6062136503488</v>
      </c>
    </row>
    <row r="20" spans="2:9" x14ac:dyDescent="0.25">
      <c r="B20" s="41" t="s">
        <v>141</v>
      </c>
      <c r="C20" s="83">
        <f ca="1">C18-C19</f>
        <v>284270.25378634967</v>
      </c>
      <c r="F20" t="s">
        <v>145</v>
      </c>
    </row>
    <row r="21" spans="2:9" x14ac:dyDescent="0.25">
      <c r="B21" s="4" t="s">
        <v>143</v>
      </c>
      <c r="C21" s="64">
        <f>C6*Projections!B281</f>
        <v>102277.45000000001</v>
      </c>
      <c r="I21" s="160"/>
    </row>
    <row r="22" spans="2:9" x14ac:dyDescent="0.25">
      <c r="B22" s="41" t="s">
        <v>148</v>
      </c>
      <c r="C22" s="83">
        <f ca="1">(C4*Projections!B281)*(2^(((C7-49)-C5)/C9))</f>
        <v>752.35936201798177</v>
      </c>
      <c r="I22" s="160"/>
    </row>
    <row r="23" spans="2:9" x14ac:dyDescent="0.25">
      <c r="B23" s="41" t="s">
        <v>144</v>
      </c>
      <c r="C23" s="83">
        <f ca="1">C21-C22</f>
        <v>101525.09063798204</v>
      </c>
      <c r="I23" s="160"/>
    </row>
    <row r="24" spans="2:9" x14ac:dyDescent="0.25">
      <c r="B24" s="4" t="s">
        <v>149</v>
      </c>
      <c r="C24" s="64">
        <f>C6*Projections!B282</f>
        <v>114550.74400000001</v>
      </c>
    </row>
    <row r="25" spans="2:9" x14ac:dyDescent="0.25">
      <c r="B25" s="37" t="s">
        <v>150</v>
      </c>
      <c r="C25" s="61">
        <f ca="1">(C4*Projections!B282)*(2^(((C7-42)-C5)/C9))</f>
        <v>1699.8409586795945</v>
      </c>
      <c r="F25" t="s">
        <v>151</v>
      </c>
    </row>
    <row r="26" spans="2:9" x14ac:dyDescent="0.25">
      <c r="B26" s="41" t="s">
        <v>127</v>
      </c>
      <c r="C26" s="173">
        <f ca="1">C9*(LOG(C10/C21)/LOG(2))</f>
        <v>20.434838021576532</v>
      </c>
      <c r="D26" t="s">
        <v>97</v>
      </c>
      <c r="F26" s="69" t="s">
        <v>152</v>
      </c>
    </row>
    <row r="27" spans="2:9" x14ac:dyDescent="0.25">
      <c r="B27" s="37" t="s">
        <v>124</v>
      </c>
      <c r="C27" s="172">
        <f ca="1">C7+C26</f>
        <v>44013.050315452128</v>
      </c>
      <c r="F27" t="s">
        <v>153</v>
      </c>
    </row>
    <row r="28" spans="2:9" x14ac:dyDescent="0.25">
      <c r="B28" s="4" t="s">
        <v>128</v>
      </c>
      <c r="C28" s="171">
        <f ca="1">C9*(LOG(C11/C21)/LOG(2))</f>
        <v>1.1439956502661097</v>
      </c>
      <c r="D28" t="s">
        <v>97</v>
      </c>
    </row>
    <row r="29" spans="2:9" x14ac:dyDescent="0.25">
      <c r="B29" s="37" t="s">
        <v>125</v>
      </c>
      <c r="C29" s="172">
        <f ca="1">C7+C28</f>
        <v>43993.75947308082</v>
      </c>
      <c r="F29" t="s">
        <v>153</v>
      </c>
    </row>
    <row r="30" spans="2:9" x14ac:dyDescent="0.25">
      <c r="B30" s="4" t="s">
        <v>129</v>
      </c>
      <c r="C30" s="171">
        <f ca="1">C9*(LOG((C3*0.6)/C12)/LOG(2))</f>
        <v>31.800811354548284</v>
      </c>
      <c r="D30" t="s">
        <v>97</v>
      </c>
    </row>
    <row r="31" spans="2:9" x14ac:dyDescent="0.25">
      <c r="B31" s="37" t="s">
        <v>126</v>
      </c>
      <c r="C31" s="172">
        <f ca="1">C7+C30</f>
        <v>44024.416288785105</v>
      </c>
    </row>
    <row r="34" spans="2:6" x14ac:dyDescent="0.25">
      <c r="B34" s="4" t="s">
        <v>130</v>
      </c>
      <c r="C34" s="161">
        <f ca="1">C7+30</f>
        <v>44022.615477430554</v>
      </c>
      <c r="F34" t="s">
        <v>166</v>
      </c>
    </row>
    <row r="35" spans="2:6" x14ac:dyDescent="0.25">
      <c r="B35" s="41" t="s">
        <v>131</v>
      </c>
      <c r="C35" s="83">
        <f ca="1">C6*(2^((C34-C7)/C9))</f>
        <v>41394756.611033715</v>
      </c>
      <c r="F35" t="s">
        <v>138</v>
      </c>
    </row>
    <row r="36" spans="2:6" x14ac:dyDescent="0.25">
      <c r="B36" s="41" t="s">
        <v>185</v>
      </c>
      <c r="C36" s="83">
        <f ca="1">C35/Projections!B274</f>
        <v>165579026.44413486</v>
      </c>
    </row>
    <row r="37" spans="2:6" x14ac:dyDescent="0.25">
      <c r="B37" s="41" t="s">
        <v>73</v>
      </c>
      <c r="C37" s="83">
        <f ca="1">C35*Projections!B279</f>
        <v>33529752.854937311</v>
      </c>
    </row>
    <row r="38" spans="2:6" x14ac:dyDescent="0.25">
      <c r="B38" s="41" t="s">
        <v>119</v>
      </c>
      <c r="C38" s="83">
        <f ca="1">C35*Projections!B280</f>
        <v>5795265.9255447211</v>
      </c>
    </row>
    <row r="39" spans="2:6" x14ac:dyDescent="0.25">
      <c r="B39" s="41" t="s">
        <v>120</v>
      </c>
      <c r="C39" s="83">
        <f ca="1">C35*Projections!B281</f>
        <v>2069737.8305516858</v>
      </c>
    </row>
    <row r="40" spans="2:6" x14ac:dyDescent="0.25">
      <c r="B40" s="37" t="s">
        <v>121</v>
      </c>
      <c r="C40" s="61">
        <f ca="1">C35*Projections!B282</f>
        <v>2318106.3702178882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358" t="s">
        <v>180</v>
      </c>
      <c r="B2" s="229"/>
      <c r="C2" s="76"/>
    </row>
    <row r="3" spans="1:4" x14ac:dyDescent="0.25">
      <c r="A3" s="358"/>
      <c r="B3" s="229" t="s">
        <v>181</v>
      </c>
      <c r="C3" s="76"/>
    </row>
    <row r="4" spans="1:4" x14ac:dyDescent="0.25">
      <c r="A4" s="357" t="s">
        <v>47</v>
      </c>
      <c r="B4" s="232">
        <v>308745538</v>
      </c>
      <c r="C4" s="76"/>
    </row>
    <row r="5" spans="1:4" x14ac:dyDescent="0.25">
      <c r="A5" s="357"/>
      <c r="B5" s="230">
        <v>1</v>
      </c>
      <c r="C5" s="76"/>
    </row>
    <row r="6" spans="1:4" x14ac:dyDescent="0.25">
      <c r="A6" s="357" t="s">
        <v>21</v>
      </c>
      <c r="B6" s="232">
        <v>20201362</v>
      </c>
      <c r="C6" s="76"/>
    </row>
    <row r="7" spans="1:4" x14ac:dyDescent="0.25">
      <c r="A7" s="357"/>
      <c r="B7" s="231">
        <f>B6/$B$4</f>
        <v>6.5430458139932701E-2</v>
      </c>
      <c r="C7" s="77"/>
    </row>
    <row r="8" spans="1:4" x14ac:dyDescent="0.25">
      <c r="A8" s="357" t="s">
        <v>22</v>
      </c>
      <c r="B8" s="232">
        <v>20348657</v>
      </c>
      <c r="C8" s="76"/>
    </row>
    <row r="9" spans="1:4" x14ac:dyDescent="0.25">
      <c r="A9" s="357"/>
      <c r="B9" s="231">
        <f>B8/$B$4</f>
        <v>6.590753386045696E-2</v>
      </c>
      <c r="C9" s="232">
        <f>B6+B8</f>
        <v>40550019</v>
      </c>
      <c r="D9" s="1">
        <f>C9/$B$4</f>
        <v>0.13133799200038965</v>
      </c>
    </row>
    <row r="10" spans="1:4" x14ac:dyDescent="0.25">
      <c r="A10" s="357" t="s">
        <v>23</v>
      </c>
      <c r="B10" s="232">
        <v>20677194</v>
      </c>
      <c r="C10" s="76"/>
    </row>
    <row r="11" spans="1:4" x14ac:dyDescent="0.25">
      <c r="A11" s="357"/>
      <c r="B11" s="231">
        <f>B10/$B$4</f>
        <v>6.6971636688074182E-2</v>
      </c>
      <c r="C11" s="76"/>
    </row>
    <row r="12" spans="1:4" x14ac:dyDescent="0.25">
      <c r="A12" s="357" t="s">
        <v>24</v>
      </c>
      <c r="B12" s="232">
        <v>22040343</v>
      </c>
      <c r="C12" s="76"/>
    </row>
    <row r="13" spans="1:4" x14ac:dyDescent="0.25">
      <c r="A13" s="357"/>
      <c r="B13" s="231">
        <f>B12/$B$4</f>
        <v>7.13867579844992E-2</v>
      </c>
      <c r="C13" s="232">
        <f>B10+B12</f>
        <v>42717537</v>
      </c>
      <c r="D13" s="1">
        <f>C13/$B$4</f>
        <v>0.13835839467257338</v>
      </c>
    </row>
    <row r="14" spans="1:4" x14ac:dyDescent="0.25">
      <c r="A14" s="357" t="s">
        <v>25</v>
      </c>
      <c r="B14" s="232">
        <v>21585999</v>
      </c>
      <c r="C14" s="76"/>
    </row>
    <row r="15" spans="1:4" x14ac:dyDescent="0.25">
      <c r="A15" s="357"/>
      <c r="B15" s="231">
        <f>B14/$B$4</f>
        <v>6.9915177203305853E-2</v>
      </c>
      <c r="C15" s="76"/>
    </row>
    <row r="16" spans="1:4" x14ac:dyDescent="0.25">
      <c r="A16" s="357" t="s">
        <v>26</v>
      </c>
      <c r="B16" s="232">
        <v>21101849</v>
      </c>
      <c r="C16" s="76"/>
    </row>
    <row r="17" spans="1:4" x14ac:dyDescent="0.25">
      <c r="A17" s="357"/>
      <c r="B17" s="231">
        <f>B16/$B$4</f>
        <v>6.8347057375125531E-2</v>
      </c>
      <c r="C17" s="232">
        <f>B14+B16</f>
        <v>42687848</v>
      </c>
      <c r="D17" s="1">
        <f>C17/$B$4</f>
        <v>0.13826223457843137</v>
      </c>
    </row>
    <row r="18" spans="1:4" x14ac:dyDescent="0.25">
      <c r="A18" s="357" t="s">
        <v>27</v>
      </c>
      <c r="B18" s="232">
        <v>19962099</v>
      </c>
      <c r="C18" s="76"/>
    </row>
    <row r="19" spans="1:4" x14ac:dyDescent="0.25">
      <c r="A19" s="357"/>
      <c r="B19" s="231">
        <f>B18/$B$4</f>
        <v>6.465550604977488E-2</v>
      </c>
      <c r="C19" s="77"/>
    </row>
    <row r="20" spans="1:4" x14ac:dyDescent="0.25">
      <c r="A20" s="357" t="s">
        <v>28</v>
      </c>
      <c r="B20" s="232">
        <v>20179642</v>
      </c>
      <c r="C20" s="76"/>
    </row>
    <row r="21" spans="1:4" x14ac:dyDescent="0.25">
      <c r="A21" s="357"/>
      <c r="B21" s="231">
        <f>B20/$B$4</f>
        <v>6.5360108945121009E-2</v>
      </c>
      <c r="C21" s="232">
        <f>B18+B20</f>
        <v>40141741</v>
      </c>
      <c r="D21" s="1">
        <f>C21/$B$4</f>
        <v>0.13001561499489589</v>
      </c>
    </row>
    <row r="22" spans="1:4" x14ac:dyDescent="0.25">
      <c r="A22" s="357" t="s">
        <v>29</v>
      </c>
      <c r="B22" s="232">
        <v>20890964</v>
      </c>
      <c r="C22" s="76"/>
    </row>
    <row r="23" spans="1:4" x14ac:dyDescent="0.25">
      <c r="A23" s="357"/>
      <c r="B23" s="231">
        <f>B22/$B$4</f>
        <v>6.7664019163898012E-2</v>
      </c>
      <c r="C23" s="76"/>
    </row>
    <row r="24" spans="1:4" x14ac:dyDescent="0.25">
      <c r="A24" s="357" t="s">
        <v>30</v>
      </c>
      <c r="B24" s="232">
        <v>22708591</v>
      </c>
      <c r="C24" s="76"/>
    </row>
    <row r="25" spans="1:4" x14ac:dyDescent="0.25">
      <c r="A25" s="357"/>
      <c r="B25" s="231">
        <f>B24/$B$4</f>
        <v>7.3551155255885833E-2</v>
      </c>
      <c r="C25" s="232">
        <f>B22+B24</f>
        <v>43599555</v>
      </c>
      <c r="D25" s="1">
        <f>C25/$B$4</f>
        <v>0.14121517441978385</v>
      </c>
    </row>
    <row r="26" spans="1:4" x14ac:dyDescent="0.25">
      <c r="A26" s="357" t="s">
        <v>31</v>
      </c>
      <c r="B26" s="232">
        <v>22298125</v>
      </c>
      <c r="C26" s="76"/>
    </row>
    <row r="27" spans="1:4" x14ac:dyDescent="0.25">
      <c r="A27" s="357"/>
      <c r="B27" s="231">
        <f>B26/$B$4</f>
        <v>7.2221691508299629E-2</v>
      </c>
      <c r="C27" s="76"/>
    </row>
    <row r="28" spans="1:4" x14ac:dyDescent="0.25">
      <c r="A28" s="357" t="s">
        <v>32</v>
      </c>
      <c r="B28" s="232">
        <v>19664805</v>
      </c>
      <c r="C28" s="76"/>
    </row>
    <row r="29" spans="1:4" x14ac:dyDescent="0.25">
      <c r="A29" s="357"/>
      <c r="B29" s="231">
        <f>B28/$B$4</f>
        <v>6.3692596587420158E-2</v>
      </c>
      <c r="C29" s="232">
        <f>B26+B28</f>
        <v>41962930</v>
      </c>
      <c r="D29" s="1">
        <f>C29/$B$4</f>
        <v>0.13591428809571979</v>
      </c>
    </row>
    <row r="30" spans="1:4" x14ac:dyDescent="0.25">
      <c r="A30" s="357" t="s">
        <v>33</v>
      </c>
      <c r="B30" s="232">
        <v>16817924</v>
      </c>
      <c r="C30" s="76"/>
    </row>
    <row r="31" spans="1:4" x14ac:dyDescent="0.25">
      <c r="A31" s="357"/>
      <c r="B31" s="231">
        <f>B30/$B$4</f>
        <v>5.4471796123576693E-2</v>
      </c>
      <c r="C31" s="77"/>
    </row>
    <row r="32" spans="1:4" x14ac:dyDescent="0.25">
      <c r="A32" s="357" t="s">
        <v>34</v>
      </c>
      <c r="B32" s="232">
        <v>12435263</v>
      </c>
      <c r="C32" s="76"/>
    </row>
    <row r="33" spans="1:4" x14ac:dyDescent="0.25">
      <c r="A33" s="357"/>
      <c r="B33" s="231">
        <f>B32/$B$4</f>
        <v>4.027673753782314E-2</v>
      </c>
      <c r="C33" s="232">
        <f>B30+B32</f>
        <v>29253187</v>
      </c>
      <c r="D33" s="1">
        <f>C33/$B$4</f>
        <v>9.4748533661399834E-2</v>
      </c>
    </row>
    <row r="34" spans="1:4" x14ac:dyDescent="0.25">
      <c r="A34" s="357" t="s">
        <v>35</v>
      </c>
      <c r="B34" s="232">
        <v>9278166</v>
      </c>
      <c r="C34" s="76"/>
    </row>
    <row r="35" spans="1:4" x14ac:dyDescent="0.25">
      <c r="A35" s="357"/>
      <c r="B35" s="231">
        <f>B34/$B$4</f>
        <v>3.0051174375190486E-2</v>
      </c>
      <c r="C35" s="76"/>
    </row>
    <row r="36" spans="1:4" x14ac:dyDescent="0.25">
      <c r="A36" s="357" t="s">
        <v>36</v>
      </c>
      <c r="B36" s="232">
        <v>7317795</v>
      </c>
      <c r="C36" s="76"/>
    </row>
    <row r="37" spans="1:4" x14ac:dyDescent="0.25">
      <c r="A37" s="357"/>
      <c r="B37" s="231">
        <f>B36/$B$4</f>
        <v>2.370170285667416E-2</v>
      </c>
      <c r="C37" s="232">
        <f>B34+B36</f>
        <v>16595961</v>
      </c>
      <c r="D37" s="1">
        <f>C37/$B$4</f>
        <v>5.3752877231864643E-2</v>
      </c>
    </row>
    <row r="38" spans="1:4" x14ac:dyDescent="0.25">
      <c r="A38" s="357" t="s">
        <v>37</v>
      </c>
      <c r="B38" s="232">
        <v>5743327</v>
      </c>
      <c r="C38" s="76"/>
    </row>
    <row r="39" spans="1:4" x14ac:dyDescent="0.25">
      <c r="A39" s="357"/>
      <c r="B39" s="231">
        <f>B38/$B$4</f>
        <v>1.8602137660690663E-2</v>
      </c>
      <c r="C39" s="76"/>
    </row>
    <row r="40" spans="1:4" x14ac:dyDescent="0.25">
      <c r="A40" s="357" t="s">
        <v>179</v>
      </c>
      <c r="B40" s="232">
        <v>5493433</v>
      </c>
      <c r="C40" s="76"/>
    </row>
    <row r="41" spans="1:4" x14ac:dyDescent="0.25">
      <c r="A41" s="357"/>
      <c r="B41" s="231">
        <f>B40/$B$4</f>
        <v>1.7792752684250939E-2</v>
      </c>
      <c r="C41" s="23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38:A39"/>
    <mergeCell ref="A40:A41"/>
    <mergeCell ref="A26:A27"/>
    <mergeCell ref="A28:A29"/>
    <mergeCell ref="A30:A31"/>
    <mergeCell ref="A32:A33"/>
    <mergeCell ref="A34:A35"/>
    <mergeCell ref="A36:A37"/>
    <mergeCell ref="A24:A25"/>
    <mergeCell ref="A2:A3"/>
    <mergeCell ref="A4:A5"/>
    <mergeCell ref="A6:A7"/>
    <mergeCell ref="A8:A9"/>
    <mergeCell ref="A10:A11"/>
    <mergeCell ref="A12:A13"/>
    <mergeCell ref="A14:A15"/>
    <mergeCell ref="A16:A17"/>
    <mergeCell ref="A18:A19"/>
    <mergeCell ref="A20:A21"/>
    <mergeCell ref="A22:A23"/>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182</v>
      </c>
    </row>
    <row r="2" spans="1:3" x14ac:dyDescent="0.25">
      <c r="A2" t="s">
        <v>183</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62E7-8606-4A3D-9E4F-B90089708D67}">
  <dimension ref="A1:AE68"/>
  <sheetViews>
    <sheetView workbookViewId="0">
      <selection activeCell="R13" sqref="R13"/>
    </sheetView>
  </sheetViews>
  <sheetFormatPr defaultRowHeight="15" x14ac:dyDescent="0.25"/>
  <cols>
    <col min="1" max="1" width="57.85546875" bestFit="1" customWidth="1"/>
    <col min="2" max="2" width="12.85546875" bestFit="1" customWidth="1"/>
    <col min="3" max="3" width="11.7109375" customWidth="1"/>
    <col min="4" max="4" width="12" customWidth="1"/>
    <col min="5" max="5" width="21" customWidth="1"/>
    <col min="7" max="7" width="21" customWidth="1"/>
    <col min="8" max="8" width="12.28515625" bestFit="1" customWidth="1"/>
    <col min="11" max="11" width="9.7109375" bestFit="1" customWidth="1"/>
    <col min="12" max="12" width="10.7109375" bestFit="1" customWidth="1"/>
    <col min="14" max="14" width="19.42578125" bestFit="1" customWidth="1"/>
    <col min="15" max="16" width="10.7109375" bestFit="1" customWidth="1"/>
    <col min="17" max="17" width="14.42578125" bestFit="1" customWidth="1"/>
    <col min="18" max="18" width="16" bestFit="1" customWidth="1"/>
    <col min="19" max="19" width="19" bestFit="1" customWidth="1"/>
    <col min="20" max="20" width="14.85546875" bestFit="1" customWidth="1"/>
  </cols>
  <sheetData>
    <row r="1" spans="1:20" x14ac:dyDescent="0.25">
      <c r="A1" s="299" t="s">
        <v>445</v>
      </c>
      <c r="O1" s="300" t="s">
        <v>442</v>
      </c>
    </row>
    <row r="2" spans="1:20" s="329" customFormat="1" ht="45" x14ac:dyDescent="0.25">
      <c r="A2" s="328" t="s">
        <v>431</v>
      </c>
      <c r="B2" s="328" t="s">
        <v>432</v>
      </c>
      <c r="C2" s="328" t="s">
        <v>501</v>
      </c>
      <c r="D2" s="328" t="s">
        <v>455</v>
      </c>
      <c r="E2" s="328" t="s">
        <v>443</v>
      </c>
      <c r="F2" s="328" t="s">
        <v>487</v>
      </c>
      <c r="G2" s="328" t="s">
        <v>498</v>
      </c>
      <c r="H2" s="328" t="s">
        <v>500</v>
      </c>
      <c r="O2" s="331" t="s">
        <v>488</v>
      </c>
      <c r="P2" s="332" t="s">
        <v>489</v>
      </c>
      <c r="Q2" s="332" t="s">
        <v>97</v>
      </c>
      <c r="R2" s="332" t="s">
        <v>490</v>
      </c>
      <c r="S2" s="332" t="s">
        <v>491</v>
      </c>
      <c r="T2" s="333" t="s">
        <v>492</v>
      </c>
    </row>
    <row r="3" spans="1:20" s="329" customFormat="1" x14ac:dyDescent="0.25">
      <c r="A3" s="345" t="s">
        <v>556</v>
      </c>
      <c r="B3" s="317">
        <v>10000000</v>
      </c>
      <c r="C3" s="345" t="s">
        <v>555</v>
      </c>
      <c r="D3" s="274">
        <v>700</v>
      </c>
      <c r="E3" s="345"/>
      <c r="F3" s="345"/>
      <c r="G3" s="345"/>
      <c r="H3" s="345"/>
      <c r="I3" s="346" t="s">
        <v>554</v>
      </c>
      <c r="O3" s="343"/>
      <c r="P3" s="342"/>
      <c r="Q3" s="342"/>
      <c r="R3" s="332"/>
      <c r="S3" s="342"/>
      <c r="T3" s="344"/>
    </row>
    <row r="4" spans="1:20" x14ac:dyDescent="0.25">
      <c r="A4" t="s">
        <v>440</v>
      </c>
      <c r="B4" s="317">
        <v>755000</v>
      </c>
      <c r="C4" s="1">
        <v>2.385E-2</v>
      </c>
      <c r="D4" s="274">
        <v>520</v>
      </c>
      <c r="F4" s="2"/>
      <c r="G4" s="268">
        <v>43918</v>
      </c>
      <c r="H4" s="274">
        <v>644</v>
      </c>
      <c r="O4" s="334">
        <v>43890</v>
      </c>
      <c r="P4" s="257">
        <f ca="1">NOW()</f>
        <v>43992.615477430554</v>
      </c>
      <c r="Q4" s="136">
        <f ca="1">P4-O4</f>
        <v>102.61547743055417</v>
      </c>
      <c r="R4" s="324">
        <v>114148</v>
      </c>
      <c r="S4" s="10">
        <f ca="1">R4/Q4</f>
        <v>1112.385800448578</v>
      </c>
      <c r="T4" s="83">
        <f ca="1">("31/12/2020"-O4)*S4</f>
        <v>340390.05493726488</v>
      </c>
    </row>
    <row r="5" spans="1:20" x14ac:dyDescent="0.25">
      <c r="A5" t="s">
        <v>426</v>
      </c>
      <c r="B5" s="317">
        <v>405399</v>
      </c>
      <c r="C5" s="1">
        <v>3.7000000000000002E-3</v>
      </c>
      <c r="D5" s="274">
        <v>297</v>
      </c>
      <c r="F5" s="2"/>
      <c r="G5" s="268">
        <v>43915</v>
      </c>
      <c r="H5" s="274">
        <v>303</v>
      </c>
      <c r="O5" s="41"/>
      <c r="P5" s="16"/>
      <c r="Q5" s="16"/>
      <c r="R5" s="14">
        <f>R4/Projections!B270</f>
        <v>3.4531129231574377E-4</v>
      </c>
      <c r="S5" s="16" t="s">
        <v>536</v>
      </c>
      <c r="T5" s="17"/>
    </row>
    <row r="6" spans="1:20" x14ac:dyDescent="0.25">
      <c r="A6" s="39" t="s">
        <v>427</v>
      </c>
      <c r="B6" s="318">
        <v>116516</v>
      </c>
      <c r="C6" s="44">
        <v>1.1000000000000001E-3</v>
      </c>
      <c r="D6" s="302">
        <v>279</v>
      </c>
      <c r="E6" s="39"/>
      <c r="F6" s="11"/>
      <c r="G6" s="303">
        <v>43915</v>
      </c>
      <c r="H6" s="302">
        <v>303</v>
      </c>
      <c r="O6" s="41"/>
      <c r="P6" s="335" t="s">
        <v>96</v>
      </c>
      <c r="Q6" s="335"/>
      <c r="R6" s="335" t="s">
        <v>493</v>
      </c>
      <c r="S6" s="16"/>
      <c r="T6" s="17"/>
    </row>
    <row r="7" spans="1:20" x14ac:dyDescent="0.25">
      <c r="A7" s="92" t="s">
        <v>429</v>
      </c>
      <c r="B7" s="314">
        <v>58209</v>
      </c>
      <c r="C7" s="307">
        <v>3.2000000000000003E-4</v>
      </c>
      <c r="D7" s="274">
        <v>11</v>
      </c>
      <c r="E7" s="305">
        <v>43949</v>
      </c>
      <c r="F7" s="304">
        <v>59265</v>
      </c>
      <c r="G7" s="268">
        <v>43905</v>
      </c>
      <c r="H7" s="274">
        <v>15</v>
      </c>
      <c r="O7" s="336" t="s">
        <v>481</v>
      </c>
      <c r="P7" s="257">
        <v>43942</v>
      </c>
      <c r="Q7" s="16"/>
      <c r="R7" s="324">
        <v>2683</v>
      </c>
      <c r="S7" s="16"/>
      <c r="T7" s="17"/>
    </row>
    <row r="8" spans="1:20" x14ac:dyDescent="0.25">
      <c r="A8" s="92" t="s">
        <v>550</v>
      </c>
      <c r="B8" s="314">
        <v>39457</v>
      </c>
      <c r="C8" s="337">
        <f>B8/Projections!B270</f>
        <v>1.19362123391582E-4</v>
      </c>
      <c r="D8" s="340">
        <f>B8/365</f>
        <v>108.1013698630137</v>
      </c>
      <c r="E8" s="305">
        <v>43940</v>
      </c>
      <c r="F8" s="304">
        <v>40901</v>
      </c>
      <c r="G8" s="268">
        <v>43912</v>
      </c>
      <c r="H8" s="274">
        <v>135</v>
      </c>
      <c r="I8" t="s">
        <v>540</v>
      </c>
      <c r="O8" s="37"/>
      <c r="P8" s="39"/>
      <c r="Q8" s="39"/>
      <c r="R8" s="39"/>
      <c r="S8" s="39"/>
      <c r="T8" s="63"/>
    </row>
    <row r="9" spans="1:20" x14ac:dyDescent="0.25">
      <c r="A9" s="92" t="s">
        <v>428</v>
      </c>
      <c r="B9" s="314">
        <v>36516</v>
      </c>
      <c r="C9" s="307">
        <v>2.4000000000000001E-4</v>
      </c>
      <c r="D9" s="274">
        <v>30</v>
      </c>
      <c r="E9" s="305">
        <v>43938</v>
      </c>
      <c r="F9" s="304">
        <v>37448</v>
      </c>
      <c r="G9" s="268">
        <v>43908</v>
      </c>
      <c r="H9" s="274">
        <v>50</v>
      </c>
    </row>
    <row r="10" spans="1:20" x14ac:dyDescent="0.25">
      <c r="A10" s="92" t="s">
        <v>438</v>
      </c>
      <c r="B10" s="314">
        <v>25000</v>
      </c>
      <c r="C10" s="307">
        <v>0.01</v>
      </c>
      <c r="D10" s="274">
        <v>11</v>
      </c>
      <c r="E10" s="305">
        <v>43933</v>
      </c>
      <c r="F10" s="304">
        <v>25789</v>
      </c>
      <c r="G10" s="268">
        <v>43905</v>
      </c>
      <c r="H10" s="274">
        <v>15</v>
      </c>
    </row>
    <row r="11" spans="1:20" x14ac:dyDescent="0.25">
      <c r="A11" s="92" t="s">
        <v>439</v>
      </c>
      <c r="B11" s="314">
        <v>15000</v>
      </c>
      <c r="C11" s="307">
        <v>2.0699999999999998E-3</v>
      </c>
      <c r="D11" s="274">
        <v>15</v>
      </c>
      <c r="E11" s="305">
        <v>375933</v>
      </c>
      <c r="F11" s="304">
        <v>15526</v>
      </c>
      <c r="G11" s="268">
        <v>43905</v>
      </c>
      <c r="H11" s="274">
        <v>15</v>
      </c>
    </row>
    <row r="12" spans="1:20" x14ac:dyDescent="0.25">
      <c r="A12" s="92" t="s">
        <v>441</v>
      </c>
      <c r="B12" s="314">
        <v>13282</v>
      </c>
      <c r="C12" s="307">
        <v>5.6999999999999998E-4</v>
      </c>
      <c r="D12" s="274">
        <v>29</v>
      </c>
      <c r="E12" s="305">
        <v>43927</v>
      </c>
      <c r="F12" s="304">
        <v>13298</v>
      </c>
      <c r="G12" s="268">
        <v>43908</v>
      </c>
      <c r="H12" s="274">
        <v>50</v>
      </c>
    </row>
    <row r="13" spans="1:20" x14ac:dyDescent="0.25">
      <c r="A13" s="92" t="s">
        <v>561</v>
      </c>
      <c r="B13" s="314">
        <v>6000</v>
      </c>
      <c r="C13" s="337">
        <f>B13/Projections!B270</f>
        <v>1.8150714457497833E-5</v>
      </c>
      <c r="D13" s="340">
        <f>B13/365</f>
        <v>16.438356164383563</v>
      </c>
      <c r="E13" s="305">
        <v>43922</v>
      </c>
      <c r="F13" s="304">
        <v>6407</v>
      </c>
      <c r="G13" s="268">
        <v>43906</v>
      </c>
      <c r="H13" s="274">
        <v>22</v>
      </c>
    </row>
    <row r="14" spans="1:20" x14ac:dyDescent="0.25">
      <c r="A14" s="92" t="s">
        <v>437</v>
      </c>
      <c r="B14" s="314">
        <v>4576</v>
      </c>
      <c r="C14" s="337">
        <v>2.0000000000000002E-5</v>
      </c>
      <c r="D14" s="274">
        <v>2</v>
      </c>
      <c r="E14" s="305">
        <v>43921</v>
      </c>
      <c r="F14" s="304">
        <v>5151</v>
      </c>
      <c r="G14" s="268">
        <v>43892</v>
      </c>
      <c r="H14" s="274">
        <v>5</v>
      </c>
    </row>
    <row r="15" spans="1:20" x14ac:dyDescent="0.25">
      <c r="A15" s="92" t="s">
        <v>435</v>
      </c>
      <c r="B15" s="314">
        <v>4196</v>
      </c>
      <c r="C15" s="337">
        <v>6.0000000000000002E-5</v>
      </c>
      <c r="D15" s="274">
        <v>3.8</v>
      </c>
      <c r="E15" s="305">
        <v>43921</v>
      </c>
      <c r="F15" s="304">
        <v>5151</v>
      </c>
      <c r="G15" s="268">
        <v>43892</v>
      </c>
      <c r="H15" s="274">
        <v>5</v>
      </c>
    </row>
    <row r="16" spans="1:20" x14ac:dyDescent="0.25">
      <c r="A16" s="92" t="s">
        <v>434</v>
      </c>
      <c r="B16" s="314">
        <v>2446</v>
      </c>
      <c r="C16" s="337">
        <v>4.0000000000000003E-5</v>
      </c>
      <c r="D16" s="274">
        <v>8.9</v>
      </c>
      <c r="E16" s="305">
        <v>43918</v>
      </c>
      <c r="F16" s="304">
        <v>2754</v>
      </c>
      <c r="G16" s="268">
        <v>43904</v>
      </c>
      <c r="H16" s="274">
        <v>10</v>
      </c>
    </row>
    <row r="17" spans="1:19" x14ac:dyDescent="0.25">
      <c r="A17" s="92" t="s">
        <v>436</v>
      </c>
      <c r="B17" s="314">
        <v>2216</v>
      </c>
      <c r="C17" s="337">
        <v>4.0000000000000003E-5</v>
      </c>
      <c r="D17" s="274">
        <v>0.36</v>
      </c>
      <c r="E17" s="305">
        <v>43918</v>
      </c>
      <c r="F17" s="304">
        <v>2754</v>
      </c>
      <c r="G17" s="268">
        <v>43890</v>
      </c>
      <c r="H17" s="274">
        <v>1</v>
      </c>
    </row>
    <row r="18" spans="1:19" x14ac:dyDescent="0.25">
      <c r="A18" s="92" t="s">
        <v>552</v>
      </c>
      <c r="B18" s="314">
        <v>1146</v>
      </c>
      <c r="C18" s="339">
        <f>1000/322762018</f>
        <v>3.0982579864772068E-6</v>
      </c>
      <c r="D18" s="338">
        <f>1000/365</f>
        <v>2.7397260273972601</v>
      </c>
      <c r="E18" s="305">
        <v>43915</v>
      </c>
      <c r="F18" s="304">
        <v>1260</v>
      </c>
      <c r="G18" s="268">
        <v>43892</v>
      </c>
      <c r="H18" s="274">
        <v>5</v>
      </c>
      <c r="I18" t="s">
        <v>562</v>
      </c>
    </row>
    <row r="19" spans="1:19" x14ac:dyDescent="0.25">
      <c r="A19" s="92" t="s">
        <v>551</v>
      </c>
      <c r="B19" s="314">
        <v>417</v>
      </c>
      <c r="C19" s="339">
        <f>1000/Projections!B270</f>
        <v>3.025119076249639E-6</v>
      </c>
      <c r="D19" s="338">
        <f>B19/365</f>
        <v>1.1424657534246576</v>
      </c>
      <c r="E19" s="305">
        <v>43912</v>
      </c>
      <c r="F19" s="304">
        <v>509</v>
      </c>
      <c r="G19" s="268">
        <v>43892</v>
      </c>
      <c r="H19" s="274">
        <v>5</v>
      </c>
      <c r="I19" t="s">
        <v>540</v>
      </c>
    </row>
    <row r="20" spans="1:19" x14ac:dyDescent="0.25">
      <c r="A20" s="92" t="s">
        <v>430</v>
      </c>
      <c r="B20" s="314">
        <v>294</v>
      </c>
      <c r="C20" s="307"/>
      <c r="D20" s="274">
        <f>B20/210</f>
        <v>1.4</v>
      </c>
      <c r="E20" s="305">
        <v>43910</v>
      </c>
      <c r="F20" s="304">
        <v>309</v>
      </c>
      <c r="G20" s="268">
        <v>43892</v>
      </c>
      <c r="H20" s="274">
        <v>5</v>
      </c>
      <c r="K20" s="217"/>
      <c r="L20" s="217"/>
    </row>
    <row r="21" spans="1:19" x14ac:dyDescent="0.25">
      <c r="B21" s="2"/>
    </row>
    <row r="22" spans="1:19" x14ac:dyDescent="0.25">
      <c r="A22" s="299" t="s">
        <v>444</v>
      </c>
      <c r="B22" s="2"/>
      <c r="N22" s="329"/>
      <c r="O22" s="329"/>
      <c r="P22" s="329"/>
      <c r="Q22" s="329"/>
      <c r="R22" s="329"/>
      <c r="S22" s="329"/>
    </row>
    <row r="23" spans="1:19" s="329" customFormat="1" ht="45" x14ac:dyDescent="0.25">
      <c r="A23" s="328" t="s">
        <v>453</v>
      </c>
      <c r="B23" s="328" t="s">
        <v>432</v>
      </c>
      <c r="C23" s="328" t="s">
        <v>433</v>
      </c>
      <c r="D23" s="328" t="s">
        <v>455</v>
      </c>
      <c r="E23" s="328" t="s">
        <v>443</v>
      </c>
      <c r="F23" s="328" t="s">
        <v>487</v>
      </c>
      <c r="G23" s="328" t="s">
        <v>498</v>
      </c>
      <c r="H23" s="328" t="s">
        <v>500</v>
      </c>
      <c r="N23"/>
      <c r="O23"/>
      <c r="P23"/>
      <c r="Q23"/>
      <c r="R23"/>
      <c r="S23"/>
    </row>
    <row r="24" spans="1:19" x14ac:dyDescent="0.25">
      <c r="A24" t="s">
        <v>446</v>
      </c>
      <c r="B24" s="317">
        <v>647457</v>
      </c>
      <c r="C24" s="1">
        <f>B24/Projections!$B$270</f>
        <v>1.9586345217513625E-3</v>
      </c>
      <c r="D24" s="301">
        <f t="shared" ref="D24:D34" si="0">B24/365.25</f>
        <v>1772.6406570841889</v>
      </c>
      <c r="E24" s="69"/>
      <c r="F24" s="69"/>
      <c r="G24" s="268">
        <v>43928</v>
      </c>
      <c r="H24" s="301">
        <v>2228</v>
      </c>
    </row>
    <row r="25" spans="1:19" x14ac:dyDescent="0.25">
      <c r="A25" t="s">
        <v>8</v>
      </c>
      <c r="B25" s="317">
        <v>599108</v>
      </c>
      <c r="C25" s="1">
        <f>B25/Projections!$B$270</f>
        <v>1.8123730395337686E-3</v>
      </c>
      <c r="D25" s="301">
        <f t="shared" si="0"/>
        <v>1640.2683093771388</v>
      </c>
      <c r="E25" s="69"/>
      <c r="F25" s="35"/>
      <c r="G25" s="268">
        <v>43928</v>
      </c>
      <c r="H25" s="301">
        <v>2228</v>
      </c>
    </row>
    <row r="26" spans="1:19" x14ac:dyDescent="0.25">
      <c r="A26" t="s">
        <v>447</v>
      </c>
      <c r="B26" s="317">
        <v>169936</v>
      </c>
      <c r="C26" s="1">
        <f>B26/Projections!$B$270</f>
        <v>5.1407663534155858E-4</v>
      </c>
      <c r="D26" s="301">
        <f t="shared" si="0"/>
        <v>465.25941136208075</v>
      </c>
      <c r="E26" s="69"/>
      <c r="F26" s="35"/>
      <c r="G26" s="268">
        <v>412811</v>
      </c>
      <c r="H26" s="301">
        <v>496</v>
      </c>
    </row>
    <row r="27" spans="1:19" x14ac:dyDescent="0.25">
      <c r="A27" s="341" t="s">
        <v>510</v>
      </c>
      <c r="B27" s="314">
        <v>38000</v>
      </c>
      <c r="C27" s="307">
        <f>B27/Projections!$B$270</f>
        <v>1.1495452489748627E-4</v>
      </c>
      <c r="D27" s="301">
        <f t="shared" si="0"/>
        <v>104.03832991101984</v>
      </c>
      <c r="E27" s="305">
        <v>43939</v>
      </c>
      <c r="F27" s="304">
        <v>39331</v>
      </c>
      <c r="G27" s="268">
        <v>43912</v>
      </c>
      <c r="H27" s="301">
        <v>135</v>
      </c>
    </row>
    <row r="28" spans="1:19" x14ac:dyDescent="0.25">
      <c r="A28" t="s">
        <v>448</v>
      </c>
      <c r="B28" s="317">
        <v>160201</v>
      </c>
      <c r="C28" s="1">
        <f>B28/Projections!$B$270</f>
        <v>4.8462710113426839E-4</v>
      </c>
      <c r="D28" s="301">
        <f t="shared" si="0"/>
        <v>438.60643394934976</v>
      </c>
      <c r="E28" s="69"/>
      <c r="F28" s="35"/>
      <c r="G28" s="268">
        <v>43917</v>
      </c>
      <c r="H28" s="301">
        <v>496</v>
      </c>
    </row>
    <row r="29" spans="1:19" x14ac:dyDescent="0.25">
      <c r="A29" t="s">
        <v>449</v>
      </c>
      <c r="B29" s="317">
        <v>146383</v>
      </c>
      <c r="C29" s="1">
        <f>B29/Projections!$B$270</f>
        <v>4.4282600573865088E-4</v>
      </c>
      <c r="D29" s="301">
        <f t="shared" si="0"/>
        <v>400.77481177275837</v>
      </c>
      <c r="E29" s="69"/>
      <c r="F29" s="35"/>
      <c r="G29" s="268">
        <v>43917</v>
      </c>
      <c r="H29" s="301">
        <v>496</v>
      </c>
    </row>
    <row r="30" spans="1:19" x14ac:dyDescent="0.25">
      <c r="A30" s="39" t="s">
        <v>450</v>
      </c>
      <c r="B30" s="318">
        <v>121404</v>
      </c>
      <c r="C30" s="44">
        <f>B30/Projections!$B$270</f>
        <v>3.6726155633301115E-4</v>
      </c>
      <c r="D30" s="32">
        <f t="shared" si="0"/>
        <v>332.38603696098562</v>
      </c>
      <c r="E30" s="312"/>
      <c r="F30" s="311"/>
      <c r="G30" s="303">
        <v>43916</v>
      </c>
      <c r="H30" s="32">
        <v>354</v>
      </c>
    </row>
    <row r="31" spans="1:19" x14ac:dyDescent="0.25">
      <c r="A31" s="92" t="s">
        <v>4</v>
      </c>
      <c r="B31" s="314">
        <v>83564</v>
      </c>
      <c r="C31" s="307">
        <f>B31/Projections!$B$270</f>
        <v>2.5279105048772483E-4</v>
      </c>
      <c r="D31" s="301">
        <f t="shared" si="0"/>
        <v>228.78576317590691</v>
      </c>
      <c r="E31" s="305">
        <v>43963</v>
      </c>
      <c r="F31" s="304">
        <v>83718</v>
      </c>
      <c r="G31" s="268">
        <v>43914</v>
      </c>
      <c r="H31" s="301">
        <v>268</v>
      </c>
    </row>
    <row r="32" spans="1:19" x14ac:dyDescent="0.25">
      <c r="A32" s="92" t="s">
        <v>451</v>
      </c>
      <c r="B32" s="314">
        <v>55672</v>
      </c>
      <c r="C32" s="307">
        <f>B32/Projections!$B$270</f>
        <v>1.6841442921296988E-4</v>
      </c>
      <c r="D32" s="301">
        <f t="shared" si="0"/>
        <v>152.42162902121834</v>
      </c>
      <c r="E32" s="305">
        <v>43948</v>
      </c>
      <c r="F32" s="304">
        <v>56795</v>
      </c>
      <c r="G32" s="268">
        <v>43913</v>
      </c>
      <c r="H32" s="301">
        <v>180</v>
      </c>
    </row>
    <row r="33" spans="1:31" x14ac:dyDescent="0.25">
      <c r="A33" s="92" t="s">
        <v>454</v>
      </c>
      <c r="B33" s="314">
        <v>50633</v>
      </c>
      <c r="C33" s="307">
        <f>B33/Projections!$B$270</f>
        <v>1.5317085418774796E-4</v>
      </c>
      <c r="D33" s="301">
        <f t="shared" si="0"/>
        <v>138.62559890485969</v>
      </c>
      <c r="E33" s="305">
        <v>43945</v>
      </c>
      <c r="F33" s="304">
        <v>52191</v>
      </c>
      <c r="G33" s="268">
        <v>43913</v>
      </c>
      <c r="H33" s="301">
        <v>180</v>
      </c>
    </row>
    <row r="34" spans="1:31" x14ac:dyDescent="0.25">
      <c r="A34" s="92" t="s">
        <v>452</v>
      </c>
      <c r="B34" s="314">
        <v>47173</v>
      </c>
      <c r="C34" s="307">
        <f>B34/Projections!$B$270</f>
        <v>1.4270394218392421E-4</v>
      </c>
      <c r="D34" s="301">
        <f t="shared" si="0"/>
        <v>129.15263518138261</v>
      </c>
      <c r="E34" s="305">
        <v>43943</v>
      </c>
      <c r="F34" s="304">
        <v>47894</v>
      </c>
      <c r="G34" s="268">
        <v>43912</v>
      </c>
      <c r="H34" s="301">
        <v>135</v>
      </c>
    </row>
    <row r="35" spans="1:31" x14ac:dyDescent="0.25">
      <c r="B35" s="2"/>
    </row>
    <row r="36" spans="1:31" x14ac:dyDescent="0.25">
      <c r="A36" s="299" t="s">
        <v>456</v>
      </c>
      <c r="B36" s="2"/>
      <c r="N36" s="329"/>
      <c r="O36" s="329"/>
      <c r="P36" s="329"/>
      <c r="Q36" s="329"/>
      <c r="R36" s="329"/>
      <c r="S36" s="329"/>
    </row>
    <row r="37" spans="1:31" s="329" customFormat="1" ht="45" x14ac:dyDescent="0.25">
      <c r="A37" s="328" t="s">
        <v>462</v>
      </c>
      <c r="B37" s="328" t="s">
        <v>432</v>
      </c>
      <c r="C37" s="330"/>
      <c r="D37" s="328" t="s">
        <v>455</v>
      </c>
      <c r="E37" s="328" t="s">
        <v>443</v>
      </c>
      <c r="F37" s="328" t="s">
        <v>487</v>
      </c>
      <c r="G37" s="328" t="s">
        <v>498</v>
      </c>
      <c r="H37" s="328" t="s">
        <v>500</v>
      </c>
      <c r="N37"/>
      <c r="O37"/>
      <c r="P37"/>
      <c r="Q37"/>
      <c r="R37"/>
      <c r="S37"/>
    </row>
    <row r="38" spans="1:31" x14ac:dyDescent="0.25">
      <c r="A38" s="16" t="s">
        <v>494</v>
      </c>
      <c r="B38" s="319">
        <v>675000</v>
      </c>
      <c r="C38" s="16"/>
      <c r="D38" s="30">
        <f t="shared" ref="D38:D47" si="1">B38/365</f>
        <v>1849.3150684931506</v>
      </c>
      <c r="E38" s="16"/>
      <c r="F38" s="16"/>
      <c r="G38" s="325">
        <v>43928</v>
      </c>
      <c r="H38" s="30">
        <v>2228</v>
      </c>
      <c r="I38" t="s">
        <v>495</v>
      </c>
      <c r="N38" s="310"/>
      <c r="O38" s="310"/>
      <c r="P38" s="310"/>
      <c r="Q38" s="310"/>
      <c r="R38" s="310"/>
      <c r="S38" s="310"/>
    </row>
    <row r="39" spans="1:31" s="310" customFormat="1" x14ac:dyDescent="0.25">
      <c r="A39" s="320" t="s">
        <v>482</v>
      </c>
      <c r="B39" s="321">
        <v>116000</v>
      </c>
      <c r="C39" s="320"/>
      <c r="D39" s="32">
        <f t="shared" si="1"/>
        <v>317.8082191780822</v>
      </c>
      <c r="E39" s="320"/>
      <c r="F39" s="320"/>
      <c r="G39" s="326">
        <v>43916</v>
      </c>
      <c r="H39" s="327">
        <v>354</v>
      </c>
      <c r="I39" s="310" t="s">
        <v>503</v>
      </c>
      <c r="N39"/>
      <c r="O39"/>
      <c r="P39"/>
      <c r="Q39"/>
      <c r="R39"/>
      <c r="S39"/>
    </row>
    <row r="40" spans="1:31" x14ac:dyDescent="0.25">
      <c r="A40" s="322" t="s">
        <v>497</v>
      </c>
      <c r="B40" s="323">
        <v>100000</v>
      </c>
      <c r="C40" s="92"/>
      <c r="D40" s="301">
        <f t="shared" si="1"/>
        <v>273.97260273972603</v>
      </c>
      <c r="E40" s="305">
        <v>43916</v>
      </c>
      <c r="F40" s="304">
        <v>100572</v>
      </c>
      <c r="G40" s="268">
        <v>43915</v>
      </c>
      <c r="H40" s="301">
        <v>303</v>
      </c>
      <c r="I40" t="s">
        <v>543</v>
      </c>
      <c r="Q40" s="293"/>
    </row>
    <row r="41" spans="1:31" x14ac:dyDescent="0.25">
      <c r="A41" s="322" t="s">
        <v>485</v>
      </c>
      <c r="B41" s="323">
        <v>61000</v>
      </c>
      <c r="C41" s="92"/>
      <c r="D41" s="301">
        <f t="shared" si="1"/>
        <v>167.12328767123287</v>
      </c>
      <c r="E41" s="305">
        <v>43950</v>
      </c>
      <c r="F41" s="304">
        <v>61655</v>
      </c>
      <c r="G41" s="268">
        <v>43913</v>
      </c>
      <c r="H41" s="301">
        <v>180</v>
      </c>
      <c r="V41" s="69"/>
      <c r="W41" s="69"/>
      <c r="AE41" s="69"/>
    </row>
    <row r="42" spans="1:31" x14ac:dyDescent="0.25">
      <c r="A42" s="322" t="s">
        <v>484</v>
      </c>
      <c r="B42" s="323">
        <v>50000</v>
      </c>
      <c r="C42" s="92"/>
      <c r="D42" s="301">
        <f>50000/365</f>
        <v>136.98630136986301</v>
      </c>
      <c r="E42" s="305">
        <v>43944</v>
      </c>
      <c r="F42" s="304">
        <v>50234</v>
      </c>
      <c r="G42" s="268">
        <v>43913</v>
      </c>
      <c r="H42" s="301">
        <v>180</v>
      </c>
      <c r="I42" t="s">
        <v>483</v>
      </c>
    </row>
    <row r="43" spans="1:31" x14ac:dyDescent="0.25">
      <c r="A43" s="92" t="s">
        <v>459</v>
      </c>
      <c r="B43" s="314">
        <v>15520</v>
      </c>
      <c r="C43" s="92"/>
      <c r="D43" s="301">
        <f>B43/(365*4)</f>
        <v>10.63013698630137</v>
      </c>
      <c r="E43" s="305">
        <v>43928</v>
      </c>
      <c r="F43" s="304">
        <v>15526</v>
      </c>
      <c r="G43" s="268">
        <v>43905</v>
      </c>
      <c r="H43" s="301">
        <v>15</v>
      </c>
    </row>
    <row r="44" spans="1:31" x14ac:dyDescent="0.25">
      <c r="A44" s="92" t="s">
        <v>496</v>
      </c>
      <c r="B44" s="314">
        <v>12469</v>
      </c>
      <c r="C44" s="92"/>
      <c r="D44" s="301">
        <f t="shared" si="1"/>
        <v>34.161643835616438</v>
      </c>
      <c r="E44" s="305">
        <v>43927</v>
      </c>
      <c r="F44" s="304">
        <v>13298</v>
      </c>
      <c r="G44" s="268">
        <v>43908</v>
      </c>
      <c r="H44" s="301">
        <v>50</v>
      </c>
      <c r="I44" t="s">
        <v>502</v>
      </c>
    </row>
    <row r="45" spans="1:31" x14ac:dyDescent="0.25">
      <c r="A45" s="92" t="s">
        <v>457</v>
      </c>
      <c r="B45" s="314">
        <v>10771</v>
      </c>
      <c r="C45" s="92"/>
      <c r="D45" s="301">
        <f t="shared" si="1"/>
        <v>29.509589041095889</v>
      </c>
      <c r="E45" s="305">
        <v>43926</v>
      </c>
      <c r="F45" s="304">
        <v>11793</v>
      </c>
      <c r="G45" s="268">
        <v>43908</v>
      </c>
      <c r="H45" s="301">
        <v>50</v>
      </c>
    </row>
    <row r="46" spans="1:31" x14ac:dyDescent="0.25">
      <c r="A46" s="92" t="s">
        <v>460</v>
      </c>
      <c r="B46" s="314">
        <v>10000</v>
      </c>
      <c r="C46" s="92"/>
      <c r="D46" s="301">
        <f>10000/(365*10)</f>
        <v>2.7397260273972601</v>
      </c>
      <c r="E46" s="305">
        <v>43925</v>
      </c>
      <c r="F46" s="304">
        <v>10384</v>
      </c>
      <c r="G46" s="268">
        <v>43892</v>
      </c>
      <c r="H46" s="301">
        <v>5</v>
      </c>
      <c r="I46" t="s">
        <v>461</v>
      </c>
    </row>
    <row r="47" spans="1:31" x14ac:dyDescent="0.25">
      <c r="A47" s="92" t="s">
        <v>458</v>
      </c>
      <c r="B47" s="314">
        <v>5000</v>
      </c>
      <c r="C47" s="92"/>
      <c r="D47" s="301">
        <f t="shared" si="1"/>
        <v>13.698630136986301</v>
      </c>
      <c r="E47" s="305">
        <v>43921</v>
      </c>
      <c r="F47" s="304">
        <v>5151</v>
      </c>
      <c r="G47" s="268">
        <v>43905</v>
      </c>
      <c r="H47" s="301">
        <v>15</v>
      </c>
    </row>
    <row r="48" spans="1:31" x14ac:dyDescent="0.25">
      <c r="A48" s="92" t="s">
        <v>486</v>
      </c>
      <c r="B48" s="314">
        <v>3145</v>
      </c>
      <c r="C48" s="92"/>
      <c r="D48" s="301">
        <f>B48/365</f>
        <v>8.6164383561643838</v>
      </c>
      <c r="E48" s="305">
        <v>43919</v>
      </c>
      <c r="F48" s="304">
        <v>3251</v>
      </c>
      <c r="G48" s="268">
        <v>43904</v>
      </c>
      <c r="H48" s="301">
        <v>10</v>
      </c>
    </row>
    <row r="50" spans="1:19" x14ac:dyDescent="0.25">
      <c r="A50" s="299" t="s">
        <v>463</v>
      </c>
      <c r="N50" s="329"/>
      <c r="O50" s="329"/>
      <c r="P50" s="329"/>
      <c r="Q50" s="329"/>
      <c r="R50" s="329"/>
      <c r="S50" s="329"/>
    </row>
    <row r="51" spans="1:19" s="329" customFormat="1" ht="45" x14ac:dyDescent="0.25">
      <c r="A51" s="328" t="s">
        <v>463</v>
      </c>
      <c r="B51" s="328" t="s">
        <v>432</v>
      </c>
      <c r="C51" s="330"/>
      <c r="D51" s="330"/>
      <c r="E51" s="328" t="s">
        <v>443</v>
      </c>
      <c r="F51" s="328" t="s">
        <v>487</v>
      </c>
      <c r="G51" s="328" t="s">
        <v>499</v>
      </c>
      <c r="H51" s="328" t="s">
        <v>500</v>
      </c>
      <c r="N51"/>
      <c r="O51"/>
      <c r="P51"/>
      <c r="Q51"/>
      <c r="R51"/>
      <c r="S51"/>
    </row>
    <row r="52" spans="1:19" x14ac:dyDescent="0.25">
      <c r="A52" s="92" t="s">
        <v>464</v>
      </c>
      <c r="B52" s="314">
        <v>12000</v>
      </c>
      <c r="C52" s="92"/>
      <c r="D52" s="92"/>
      <c r="E52" s="305">
        <v>43927</v>
      </c>
      <c r="F52" s="304">
        <v>13298</v>
      </c>
      <c r="G52" s="217"/>
    </row>
    <row r="53" spans="1:19" x14ac:dyDescent="0.25">
      <c r="A53" s="92" t="s">
        <v>465</v>
      </c>
      <c r="B53" s="314">
        <v>3389</v>
      </c>
      <c r="C53" s="92"/>
      <c r="D53" s="92"/>
      <c r="E53" s="305">
        <v>43920</v>
      </c>
      <c r="F53" s="304">
        <v>4066</v>
      </c>
    </row>
    <row r="54" spans="1:19" x14ac:dyDescent="0.25">
      <c r="A54" s="92" t="s">
        <v>466</v>
      </c>
      <c r="B54" s="315">
        <v>3000</v>
      </c>
      <c r="C54" s="92"/>
      <c r="D54" s="92"/>
      <c r="E54" s="305">
        <v>43919</v>
      </c>
      <c r="F54" s="304">
        <v>3251</v>
      </c>
    </row>
    <row r="55" spans="1:19" x14ac:dyDescent="0.25">
      <c r="A55" s="92" t="s">
        <v>467</v>
      </c>
      <c r="B55" s="314">
        <v>2996</v>
      </c>
      <c r="C55" s="92"/>
      <c r="D55" s="92"/>
      <c r="E55" s="305">
        <v>43919</v>
      </c>
      <c r="F55" s="304">
        <v>2996</v>
      </c>
    </row>
    <row r="56" spans="1:19" x14ac:dyDescent="0.25">
      <c r="A56" s="92" t="s">
        <v>468</v>
      </c>
      <c r="B56" s="314">
        <v>2982</v>
      </c>
      <c r="C56" s="92"/>
      <c r="D56" s="92"/>
      <c r="E56" s="305">
        <v>43919</v>
      </c>
      <c r="F56" s="304">
        <v>2996</v>
      </c>
    </row>
    <row r="57" spans="1:19" x14ac:dyDescent="0.25">
      <c r="A57" s="309" t="s">
        <v>469</v>
      </c>
      <c r="B57" s="316">
        <v>2823</v>
      </c>
      <c r="C57" s="309"/>
      <c r="D57" s="309"/>
      <c r="E57" s="308">
        <v>43919</v>
      </c>
      <c r="F57" s="313">
        <v>2996</v>
      </c>
      <c r="G57" s="39"/>
      <c r="H57" s="39"/>
    </row>
    <row r="58" spans="1:19" x14ac:dyDescent="0.25">
      <c r="A58" s="92" t="s">
        <v>474</v>
      </c>
      <c r="B58" s="314">
        <v>2500</v>
      </c>
      <c r="C58" s="92"/>
      <c r="D58" s="92"/>
      <c r="E58" s="305">
        <v>43918</v>
      </c>
      <c r="F58" s="306">
        <v>2754</v>
      </c>
      <c r="G58" s="268">
        <v>43935</v>
      </c>
      <c r="H58" s="301">
        <v>2566</v>
      </c>
    </row>
    <row r="59" spans="1:19" x14ac:dyDescent="0.25">
      <c r="A59" s="92" t="s">
        <v>470</v>
      </c>
      <c r="B59" s="314">
        <v>2467</v>
      </c>
      <c r="C59" s="92"/>
      <c r="D59" s="92"/>
      <c r="E59" s="305">
        <v>43918</v>
      </c>
      <c r="F59" s="306">
        <v>2754</v>
      </c>
      <c r="G59" s="268">
        <v>43935</v>
      </c>
      <c r="H59" s="301">
        <v>2566</v>
      </c>
    </row>
    <row r="60" spans="1:19" x14ac:dyDescent="0.25">
      <c r="A60" s="92" t="s">
        <v>471</v>
      </c>
      <c r="B60" s="314">
        <v>2209</v>
      </c>
      <c r="C60" s="92"/>
      <c r="D60" s="92"/>
      <c r="E60" s="305">
        <v>43918</v>
      </c>
      <c r="F60" s="306">
        <v>2754</v>
      </c>
      <c r="G60" s="268">
        <v>43928</v>
      </c>
      <c r="H60" s="301">
        <v>2228</v>
      </c>
    </row>
    <row r="61" spans="1:19" x14ac:dyDescent="0.25">
      <c r="A61" s="92" t="s">
        <v>472</v>
      </c>
      <c r="B61" s="314">
        <v>2000</v>
      </c>
      <c r="C61" s="92"/>
      <c r="D61" s="92"/>
      <c r="E61" s="305">
        <v>43917</v>
      </c>
      <c r="F61" s="306">
        <v>2110</v>
      </c>
      <c r="G61" s="268">
        <v>43928</v>
      </c>
      <c r="H61" s="301">
        <v>2228</v>
      </c>
    </row>
    <row r="62" spans="1:19" x14ac:dyDescent="0.25">
      <c r="A62" s="92" t="s">
        <v>478</v>
      </c>
      <c r="B62" s="314">
        <v>2000</v>
      </c>
      <c r="C62" s="92"/>
      <c r="D62" s="92"/>
      <c r="E62" s="305">
        <v>43917</v>
      </c>
      <c r="F62" s="306">
        <v>2110</v>
      </c>
      <c r="G62" s="268">
        <v>43928</v>
      </c>
      <c r="H62" s="301">
        <v>2228</v>
      </c>
    </row>
    <row r="63" spans="1:19" x14ac:dyDescent="0.25">
      <c r="A63" s="92" t="s">
        <v>475</v>
      </c>
      <c r="B63" s="314">
        <v>1836</v>
      </c>
      <c r="C63" s="92"/>
      <c r="D63" s="92"/>
      <c r="E63" s="305">
        <v>43917</v>
      </c>
      <c r="F63" s="306">
        <v>2110</v>
      </c>
      <c r="G63" s="268">
        <v>43928</v>
      </c>
      <c r="H63" s="301">
        <v>2228</v>
      </c>
    </row>
    <row r="64" spans="1:19" x14ac:dyDescent="0.25">
      <c r="A64" s="92" t="s">
        <v>473</v>
      </c>
      <c r="B64" s="314">
        <v>1700</v>
      </c>
      <c r="C64" s="92"/>
      <c r="D64" s="92"/>
      <c r="E64" s="305">
        <v>43917</v>
      </c>
      <c r="F64" s="306">
        <v>2110</v>
      </c>
      <c r="G64" s="268">
        <v>43928</v>
      </c>
      <c r="H64" s="301">
        <v>2228</v>
      </c>
    </row>
    <row r="65" spans="1:8" x14ac:dyDescent="0.25">
      <c r="A65" s="92" t="s">
        <v>477</v>
      </c>
      <c r="B65" s="314">
        <v>1173</v>
      </c>
      <c r="C65" s="92"/>
      <c r="D65" s="92"/>
      <c r="E65" s="305">
        <v>43915</v>
      </c>
      <c r="F65" s="306">
        <v>1260</v>
      </c>
      <c r="G65" s="268">
        <v>43922</v>
      </c>
      <c r="H65" s="301">
        <v>1243</v>
      </c>
    </row>
    <row r="66" spans="1:8" x14ac:dyDescent="0.25">
      <c r="A66" s="92" t="s">
        <v>476</v>
      </c>
      <c r="B66" s="314">
        <v>1021</v>
      </c>
      <c r="C66" s="92"/>
      <c r="D66" s="92"/>
      <c r="E66" s="305">
        <v>43915</v>
      </c>
      <c r="F66" s="306">
        <v>1260</v>
      </c>
      <c r="G66" s="268">
        <v>43921</v>
      </c>
      <c r="H66" s="301">
        <v>1085</v>
      </c>
    </row>
    <row r="67" spans="1:8" x14ac:dyDescent="0.25">
      <c r="A67" s="92" t="s">
        <v>479</v>
      </c>
      <c r="B67" s="314">
        <v>1000</v>
      </c>
      <c r="C67" s="92"/>
      <c r="D67" s="92"/>
      <c r="E67" s="305">
        <v>43915</v>
      </c>
      <c r="F67" s="306">
        <v>1260</v>
      </c>
      <c r="G67" s="268">
        <v>43921</v>
      </c>
      <c r="H67" s="301">
        <v>1085</v>
      </c>
    </row>
    <row r="68" spans="1:8" x14ac:dyDescent="0.25">
      <c r="A68" s="92" t="s">
        <v>480</v>
      </c>
      <c r="B68" s="314">
        <v>918</v>
      </c>
      <c r="C68" s="92"/>
      <c r="D68" s="92"/>
      <c r="E68" s="305">
        <v>43914</v>
      </c>
      <c r="F68" s="304">
        <v>957</v>
      </c>
      <c r="G68" s="268">
        <v>43921</v>
      </c>
      <c r="H68" s="301">
        <v>1085</v>
      </c>
    </row>
  </sheetData>
  <sortState xmlns:xlrd2="http://schemas.microsoft.com/office/spreadsheetml/2017/richdata2" ref="A4:C19">
    <sortCondition descending="1" ref="B4:B19"/>
  </sortState>
  <hyperlinks>
    <hyperlink ref="A1" r:id="rId1" display="Major Conflicts" xr:uid="{83A0AE55-AFF8-446B-883E-C6E61E1C5C13}"/>
    <hyperlink ref="A22" r:id="rId2" xr:uid="{891243FE-E7B2-4F24-8F65-AD6D6ABE7E97}"/>
    <hyperlink ref="A36" r:id="rId3" xr:uid="{D75C70CF-9224-4A14-BFD5-EA9846096D44}"/>
    <hyperlink ref="A50" r:id="rId4" location="Over_400_deaths" xr:uid="{57DB3A83-257F-4226-9034-56E0E6EEB0DD}"/>
  </hyperlinks>
  <pageMargins left="0.7" right="0.7" top="0.75" bottom="0.75" header="0.3" footer="0.3"/>
  <pageSetup paperSize="9"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Projections</vt:lpstr>
      <vt:lpstr>What if</vt:lpstr>
      <vt:lpstr>Population by Age - Wikipedia</vt:lpstr>
      <vt:lpstr>AU Infection Rate by Age</vt:lpstr>
      <vt:lpstr>US Deaths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2020-06-10T04:46:18Z</dcterms:modified>
</cp:coreProperties>
</file>