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AF2D30B8-0F84-42DD-8DC9-982EA2A76E9A}" xr6:coauthVersionLast="45" xr6:coauthVersionMax="45" xr10:uidLastSave="{00000000-0000-0000-0000-000000000000}"/>
  <bookViews>
    <workbookView xWindow="555" yWindow="0" windowWidth="37605" windowHeight="2100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6" i="1" l="1"/>
  <c r="AA96" i="1"/>
  <c r="Z68" i="1"/>
  <c r="Y68" i="1"/>
  <c r="X68" i="1"/>
  <c r="W68" i="1"/>
  <c r="W69" i="1"/>
  <c r="Z69" i="1"/>
  <c r="Z70" i="1" s="1"/>
  <c r="Y69" i="1"/>
  <c r="X69" i="1"/>
  <c r="AA70" i="1"/>
  <c r="X96" i="1"/>
  <c r="Y96" i="1"/>
  <c r="W96" i="1" l="1"/>
  <c r="V96" i="1" l="1"/>
  <c r="U96" i="1" l="1"/>
  <c r="T96" i="1" l="1"/>
  <c r="S96" i="1" l="1"/>
  <c r="B57" i="1" l="1"/>
  <c r="D7" i="3" l="1"/>
  <c r="D8" i="3"/>
  <c r="D9" i="3"/>
  <c r="D10" i="3"/>
  <c r="D11" i="3"/>
  <c r="D12" i="3"/>
  <c r="D13" i="3"/>
  <c r="F27" i="3" s="1"/>
  <c r="G116" i="1" s="1"/>
  <c r="D14" i="3"/>
  <c r="F28" i="3" s="1"/>
  <c r="G118" i="1" s="1"/>
  <c r="D6" i="3"/>
  <c r="B30" i="3"/>
  <c r="C30" i="3"/>
  <c r="D21" i="3"/>
  <c r="D22" i="3"/>
  <c r="D23" i="3"/>
  <c r="D24" i="3"/>
  <c r="D25" i="3"/>
  <c r="D26" i="3"/>
  <c r="D27" i="3"/>
  <c r="D28" i="3"/>
  <c r="D20" i="3"/>
  <c r="F26" i="3" l="1"/>
  <c r="G114" i="1" s="1"/>
  <c r="F24" i="3"/>
  <c r="G110" i="1" s="1"/>
  <c r="F23" i="3"/>
  <c r="F22" i="3"/>
  <c r="G106" i="1" s="1"/>
  <c r="F25" i="3"/>
  <c r="G112" i="1" s="1"/>
  <c r="F20" i="3"/>
  <c r="G102" i="1" s="1"/>
  <c r="D30" i="3"/>
  <c r="E25" i="3" s="1"/>
  <c r="G108" i="1"/>
  <c r="F21" i="3"/>
  <c r="G104" i="1" s="1"/>
  <c r="R96" i="1"/>
  <c r="E28" i="3" l="1"/>
  <c r="E27" i="3"/>
  <c r="E26" i="3"/>
  <c r="E22" i="3"/>
  <c r="E23" i="3"/>
  <c r="E24" i="3"/>
  <c r="C31" i="3"/>
  <c r="E21" i="3"/>
  <c r="B31" i="3"/>
  <c r="E20" i="3"/>
  <c r="Q96" i="1"/>
  <c r="N96" i="1" l="1"/>
  <c r="O96" i="1"/>
  <c r="P96" i="1"/>
  <c r="M96" i="1"/>
  <c r="K96" i="1"/>
  <c r="L96" i="1"/>
  <c r="J96" i="1"/>
  <c r="I96" i="1"/>
  <c r="E34" i="4" l="1"/>
  <c r="C45" i="4"/>
  <c r="J68" i="1" l="1"/>
  <c r="K68" i="1" l="1"/>
  <c r="I94" i="1"/>
  <c r="I79" i="1" s="1"/>
  <c r="P7" i="1"/>
  <c r="P6" i="1"/>
  <c r="O5" i="1"/>
  <c r="M4" i="1"/>
  <c r="L3" i="1"/>
  <c r="I2" i="1"/>
  <c r="R14" i="1"/>
  <c r="Q13" i="1"/>
  <c r="P10" i="1"/>
  <c r="P9" i="1"/>
  <c r="I92" i="1"/>
  <c r="I91" i="1"/>
  <c r="L68" i="1" l="1"/>
  <c r="I80" i="1"/>
  <c r="I81" i="1"/>
  <c r="I82" i="1" s="1"/>
  <c r="M68" i="1" l="1"/>
  <c r="I77" i="1"/>
  <c r="I78" i="1" s="1"/>
  <c r="I73" i="1"/>
  <c r="I75" i="1" s="1"/>
  <c r="I76" i="1" s="1"/>
  <c r="C12" i="5"/>
  <c r="C7" i="5"/>
  <c r="C8" i="5" s="1"/>
  <c r="C9" i="5" s="1"/>
  <c r="C21" i="5"/>
  <c r="C18" i="5"/>
  <c r="C15" i="5"/>
  <c r="C24" i="5"/>
  <c r="C3" i="5"/>
  <c r="N68" i="1" l="1"/>
  <c r="C30" i="5"/>
  <c r="I71" i="1"/>
  <c r="I72" i="1" s="1"/>
  <c r="C34" i="5"/>
  <c r="O68" i="1" l="1"/>
  <c r="C13" i="5"/>
  <c r="C14" i="5" s="1"/>
  <c r="I74" i="1"/>
  <c r="AM70" i="1"/>
  <c r="AM69" i="1" s="1"/>
  <c r="AM73" i="1"/>
  <c r="AL69" i="1"/>
  <c r="AL70" i="1" s="1"/>
  <c r="I87" i="1"/>
  <c r="I85" i="1"/>
  <c r="I88" i="1"/>
  <c r="I86" i="1"/>
  <c r="P68" i="1" l="1"/>
  <c r="AM74" i="1"/>
  <c r="AM75" i="1"/>
  <c r="AM83" i="1"/>
  <c r="AM77" i="1"/>
  <c r="AM81" i="1"/>
  <c r="AM79" i="1"/>
  <c r="AL93" i="1"/>
  <c r="AM93" i="1" s="1"/>
  <c r="AL77" i="1"/>
  <c r="AL73" i="1"/>
  <c r="AL75" i="1" s="1"/>
  <c r="C22" i="5"/>
  <c r="C23" i="5" s="1"/>
  <c r="C35" i="5"/>
  <c r="C40" i="5" s="1"/>
  <c r="C25" i="5"/>
  <c r="C19" i="5"/>
  <c r="C20" i="5" s="1"/>
  <c r="C16" i="5"/>
  <c r="C17" i="5" s="1"/>
  <c r="C31" i="5"/>
  <c r="AP25" i="4"/>
  <c r="E31" i="4"/>
  <c r="B17" i="4" s="1"/>
  <c r="B18" i="4" l="1"/>
  <c r="H21" i="4" s="1"/>
  <c r="V24" i="4" s="1"/>
  <c r="K20" i="4"/>
  <c r="V68"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Q68" i="1" l="1"/>
  <c r="R68" i="1"/>
  <c r="R94" i="1" s="1"/>
  <c r="S68" i="1"/>
  <c r="T68" i="1"/>
  <c r="T91" i="1" s="1"/>
  <c r="U68" i="1"/>
  <c r="U91" i="1" s="1"/>
  <c r="T92" i="1"/>
  <c r="T84" i="1"/>
  <c r="AA68" i="1"/>
  <c r="Z91" i="1" s="1"/>
  <c r="E18" i="4"/>
  <c r="E19" i="4" s="1"/>
  <c r="H17" i="4"/>
  <c r="B19" i="4"/>
  <c r="I124" i="1"/>
  <c r="I125" i="1" s="1"/>
  <c r="Y91" i="1" l="1"/>
  <c r="W91" i="1"/>
  <c r="X91" i="1"/>
  <c r="Z92" i="1"/>
  <c r="U92" i="1"/>
  <c r="U84" i="1"/>
  <c r="S91" i="1"/>
  <c r="S94" i="1"/>
  <c r="S92" i="1"/>
  <c r="S84" i="1"/>
  <c r="Q91" i="1"/>
  <c r="Q84" i="1"/>
  <c r="Q94" i="1"/>
  <c r="Q92" i="1"/>
  <c r="R91" i="1"/>
  <c r="R84" i="1"/>
  <c r="R92" i="1"/>
  <c r="AB68" i="1"/>
  <c r="H18" i="4"/>
  <c r="H19" i="4" s="1"/>
  <c r="Q20" i="4"/>
  <c r="K17" i="4"/>
  <c r="T20" i="4" s="1"/>
  <c r="K21" i="4"/>
  <c r="Y24" i="4" s="1"/>
  <c r="D16" i="3"/>
  <c r="Y92" i="1" l="1"/>
  <c r="W92" i="1"/>
  <c r="X92" i="1"/>
  <c r="AC68" i="1"/>
  <c r="K18" i="4"/>
  <c r="K19" i="4" s="1"/>
  <c r="N22" i="4"/>
  <c r="N17" i="4"/>
  <c r="W20" i="4" s="1"/>
  <c r="N21" i="4"/>
  <c r="AB24" i="4" s="1"/>
  <c r="AD68" i="1" l="1"/>
  <c r="Q17" i="4"/>
  <c r="T17" i="4" s="1"/>
  <c r="N18" i="4"/>
  <c r="N19" i="4" s="1"/>
  <c r="Q21" i="4"/>
  <c r="AE24" i="4" s="1"/>
  <c r="Q22" i="4"/>
  <c r="B117" i="1"/>
  <c r="B115" i="1"/>
  <c r="B113" i="1"/>
  <c r="B111" i="1"/>
  <c r="B109" i="1"/>
  <c r="B107" i="1"/>
  <c r="B105" i="1"/>
  <c r="B103" i="1"/>
  <c r="B101" i="1"/>
  <c r="AE68" i="1" l="1"/>
  <c r="T18" i="4"/>
  <c r="T19" i="4" s="1"/>
  <c r="AC20" i="4"/>
  <c r="Q18" i="4"/>
  <c r="Q19" i="4" s="1"/>
  <c r="Z20" i="4"/>
  <c r="T21" i="4"/>
  <c r="AH24" i="4" s="1"/>
  <c r="T22" i="4"/>
  <c r="T23" i="4"/>
  <c r="W17" i="4"/>
  <c r="W22" i="4" l="1"/>
  <c r="W23" i="4"/>
  <c r="W21" i="4"/>
  <c r="AK24" i="4" s="1"/>
  <c r="AF68" i="1"/>
  <c r="W18" i="4"/>
  <c r="W19" i="4" s="1"/>
  <c r="AF20" i="4"/>
  <c r="Z21" i="4"/>
  <c r="AN24" i="4" s="1"/>
  <c r="Z23" i="4"/>
  <c r="Z22" i="4"/>
  <c r="Z17" i="4"/>
  <c r="C134" i="1"/>
  <c r="C132" i="1"/>
  <c r="C130" i="1"/>
  <c r="C128" i="1"/>
  <c r="C126" i="1"/>
  <c r="C124" i="1"/>
  <c r="I83" i="1"/>
  <c r="E7" i="3"/>
  <c r="D103" i="1" s="1"/>
  <c r="AG68" i="1" l="1"/>
  <c r="Z18" i="4"/>
  <c r="Z19" i="4" s="1"/>
  <c r="AI20" i="4"/>
  <c r="AC21" i="4"/>
  <c r="AC22" i="4"/>
  <c r="AC23" i="4"/>
  <c r="AC17" i="4"/>
  <c r="AL128" i="1"/>
  <c r="AL129" i="1" s="1"/>
  <c r="AL83" i="1"/>
  <c r="AL124" i="1"/>
  <c r="AL125" i="1" s="1"/>
  <c r="AL130" i="1"/>
  <c r="AL131" i="1" s="1"/>
  <c r="AL126" i="1"/>
  <c r="AL127" i="1" s="1"/>
  <c r="AL134" i="1"/>
  <c r="AL132" i="1"/>
  <c r="AL133" i="1" s="1"/>
  <c r="AL103" i="1"/>
  <c r="AL104" i="1"/>
  <c r="E9" i="3"/>
  <c r="D107" i="1" s="1"/>
  <c r="E6" i="3"/>
  <c r="D101" i="1" s="1"/>
  <c r="E14" i="3"/>
  <c r="D117" i="1" s="1"/>
  <c r="E13" i="3"/>
  <c r="D115" i="1" s="1"/>
  <c r="E12" i="3"/>
  <c r="D113" i="1" s="1"/>
  <c r="E11" i="3"/>
  <c r="D111" i="1" s="1"/>
  <c r="E10" i="3"/>
  <c r="D109" i="1" s="1"/>
  <c r="E8" i="3"/>
  <c r="D105" i="1" s="1"/>
  <c r="C59" i="1"/>
  <c r="C10" i="5" s="1"/>
  <c r="C26" i="5" s="1"/>
  <c r="C27" i="5" s="1"/>
  <c r="C60" i="1"/>
  <c r="C11" i="5" s="1"/>
  <c r="C28" i="5" s="1"/>
  <c r="C29" i="5" s="1"/>
  <c r="I104" i="1"/>
  <c r="I134" i="1"/>
  <c r="I132" i="1"/>
  <c r="I130" i="1"/>
  <c r="I131" i="1" s="1"/>
  <c r="I128" i="1"/>
  <c r="I129" i="1" s="1"/>
  <c r="I126" i="1"/>
  <c r="I127" i="1" s="1"/>
  <c r="C103" i="1"/>
  <c r="C105" i="1"/>
  <c r="C107" i="1"/>
  <c r="C109" i="1"/>
  <c r="C111" i="1"/>
  <c r="C113" i="1"/>
  <c r="C115" i="1"/>
  <c r="C117" i="1"/>
  <c r="C101" i="1"/>
  <c r="C13" i="2"/>
  <c r="D13" i="2" s="1"/>
  <c r="C25" i="2"/>
  <c r="D25" i="2" s="1"/>
  <c r="C37" i="2"/>
  <c r="D37" i="2" s="1"/>
  <c r="D49" i="2"/>
  <c r="C49" i="2"/>
  <c r="C61" i="2"/>
  <c r="D61" i="2" s="1"/>
  <c r="D73" i="2"/>
  <c r="C73" i="2"/>
  <c r="C85" i="2"/>
  <c r="D85" i="2" s="1"/>
  <c r="C107" i="2"/>
  <c r="D107" i="2" s="1"/>
  <c r="C97" i="2"/>
  <c r="D97" i="2" s="1"/>
  <c r="I70" i="1"/>
  <c r="J69" i="1"/>
  <c r="AL105" i="1" l="1"/>
  <c r="I118" i="1"/>
  <c r="AH68" i="1"/>
  <c r="AC18" i="4"/>
  <c r="AC19" i="4" s="1"/>
  <c r="AL20" i="4"/>
  <c r="J79" i="1"/>
  <c r="J81" i="1"/>
  <c r="J82" i="1" s="1"/>
  <c r="J94" i="1"/>
  <c r="J92" i="1"/>
  <c r="J77" i="1"/>
  <c r="J78" i="1" s="1"/>
  <c r="J85" i="1"/>
  <c r="J88" i="1"/>
  <c r="J91" i="1"/>
  <c r="J86" i="1"/>
  <c r="J87" i="1"/>
  <c r="AL136" i="1"/>
  <c r="J73" i="1"/>
  <c r="AF22" i="4"/>
  <c r="AF23" i="4"/>
  <c r="AF21" i="4"/>
  <c r="AF17" i="4"/>
  <c r="I102" i="1"/>
  <c r="I101" i="1"/>
  <c r="AL137" i="1"/>
  <c r="I110" i="1"/>
  <c r="I109" i="1"/>
  <c r="AL113" i="1"/>
  <c r="AL114" i="1"/>
  <c r="AL115" i="1"/>
  <c r="AL116" i="1"/>
  <c r="AL109" i="1"/>
  <c r="AL110" i="1"/>
  <c r="AL107" i="1"/>
  <c r="AL108" i="1"/>
  <c r="AL112" i="1"/>
  <c r="AL111" i="1"/>
  <c r="I113" i="1"/>
  <c r="I112" i="1"/>
  <c r="I115" i="1"/>
  <c r="AL101" i="1"/>
  <c r="AL102" i="1"/>
  <c r="AL106" i="1"/>
  <c r="AL118" i="1"/>
  <c r="AL117" i="1"/>
  <c r="I105" i="1"/>
  <c r="K69" i="1"/>
  <c r="K77" i="1" s="1"/>
  <c r="K78" i="1" s="1"/>
  <c r="J128" i="1"/>
  <c r="J129" i="1" s="1"/>
  <c r="I106" i="1"/>
  <c r="J117" i="1"/>
  <c r="J126" i="1"/>
  <c r="J127" i="1" s="1"/>
  <c r="I114" i="1"/>
  <c r="J115" i="1"/>
  <c r="J134" i="1"/>
  <c r="I103" i="1"/>
  <c r="I111" i="1"/>
  <c r="J132" i="1"/>
  <c r="J133" i="1" s="1"/>
  <c r="J130" i="1"/>
  <c r="J131" i="1" s="1"/>
  <c r="J113" i="1"/>
  <c r="J106" i="1"/>
  <c r="J110" i="1"/>
  <c r="J114" i="1"/>
  <c r="J118" i="1"/>
  <c r="I136" i="1"/>
  <c r="J124" i="1"/>
  <c r="J125" i="1" s="1"/>
  <c r="I107" i="1"/>
  <c r="J103" i="1"/>
  <c r="I108" i="1"/>
  <c r="I116" i="1"/>
  <c r="J107" i="1"/>
  <c r="J104" i="1"/>
  <c r="J111" i="1"/>
  <c r="I117" i="1"/>
  <c r="J101" i="1"/>
  <c r="J108" i="1"/>
  <c r="J112" i="1"/>
  <c r="J116" i="1"/>
  <c r="J105" i="1"/>
  <c r="J102" i="1"/>
  <c r="J109" i="1"/>
  <c r="I133" i="1"/>
  <c r="I137" i="1" s="1"/>
  <c r="J70" i="1"/>
  <c r="J83" i="1"/>
  <c r="AI68" i="1" l="1"/>
  <c r="AF18" i="4"/>
  <c r="AF19" i="4" s="1"/>
  <c r="AO20" i="4"/>
  <c r="J80" i="1"/>
  <c r="J71" i="1" s="1"/>
  <c r="J72" i="1" s="1"/>
  <c r="K126" i="1"/>
  <c r="K127" i="1" s="1"/>
  <c r="K107" i="1"/>
  <c r="K81" i="1"/>
  <c r="K82" i="1" s="1"/>
  <c r="K132" i="1"/>
  <c r="K133" i="1" s="1"/>
  <c r="K103" i="1"/>
  <c r="K102" i="1"/>
  <c r="K124" i="1"/>
  <c r="K125" i="1" s="1"/>
  <c r="K104" i="1"/>
  <c r="K70" i="1"/>
  <c r="J74" i="1"/>
  <c r="J75" i="1"/>
  <c r="J76" i="1" s="1"/>
  <c r="K92" i="1"/>
  <c r="K94" i="1"/>
  <c r="L69" i="1"/>
  <c r="L77" i="1" s="1"/>
  <c r="L78" i="1" s="1"/>
  <c r="K73" i="1"/>
  <c r="K83" i="1"/>
  <c r="K117" i="1"/>
  <c r="K116" i="1"/>
  <c r="K128" i="1"/>
  <c r="K129" i="1" s="1"/>
  <c r="K112" i="1"/>
  <c r="K111" i="1"/>
  <c r="K87" i="1"/>
  <c r="K85" i="1"/>
  <c r="K88" i="1"/>
  <c r="K91" i="1"/>
  <c r="K86" i="1"/>
  <c r="AI23" i="4"/>
  <c r="AI21" i="4"/>
  <c r="AI22" i="4"/>
  <c r="AI17" i="4"/>
  <c r="AI18" i="4" s="1"/>
  <c r="AL119" i="1"/>
  <c r="AL120" i="1"/>
  <c r="I120" i="1"/>
  <c r="J120" i="1"/>
  <c r="K114" i="1"/>
  <c r="K113" i="1"/>
  <c r="K109" i="1"/>
  <c r="K106" i="1"/>
  <c r="K108" i="1"/>
  <c r="K101" i="1"/>
  <c r="K110" i="1"/>
  <c r="K115" i="1"/>
  <c r="K134" i="1"/>
  <c r="K105" i="1"/>
  <c r="K130" i="1"/>
  <c r="K131" i="1" s="1"/>
  <c r="K118" i="1"/>
  <c r="J136" i="1"/>
  <c r="I119" i="1"/>
  <c r="J119" i="1"/>
  <c r="J137" i="1"/>
  <c r="L104" i="1" l="1"/>
  <c r="L118" i="1"/>
  <c r="L114" i="1"/>
  <c r="L116" i="1"/>
  <c r="L113" i="1"/>
  <c r="L126" i="1"/>
  <c r="L127" i="1" s="1"/>
  <c r="L105" i="1"/>
  <c r="L111" i="1"/>
  <c r="L134" i="1"/>
  <c r="L101" i="1"/>
  <c r="L108" i="1"/>
  <c r="L106" i="1"/>
  <c r="AJ68" i="1"/>
  <c r="L81" i="1"/>
  <c r="L82" i="1" s="1"/>
  <c r="L112" i="1"/>
  <c r="L110" i="1"/>
  <c r="L103" i="1"/>
  <c r="L124" i="1"/>
  <c r="L125" i="1" s="1"/>
  <c r="L107" i="1"/>
  <c r="M69" i="1"/>
  <c r="M113" i="1" s="1"/>
  <c r="L117" i="1"/>
  <c r="L115" i="1"/>
  <c r="L83" i="1"/>
  <c r="L128" i="1"/>
  <c r="L129" i="1" s="1"/>
  <c r="K137" i="1"/>
  <c r="L102" i="1"/>
  <c r="L130" i="1"/>
  <c r="L131" i="1" s="1"/>
  <c r="L132" i="1"/>
  <c r="L133" i="1" s="1"/>
  <c r="L70" i="1"/>
  <c r="L109" i="1"/>
  <c r="L92" i="1"/>
  <c r="L94" i="1"/>
  <c r="K74" i="1"/>
  <c r="K75" i="1"/>
  <c r="K76" i="1" s="1"/>
  <c r="L86" i="1"/>
  <c r="L87" i="1"/>
  <c r="L88" i="1"/>
  <c r="L91" i="1"/>
  <c r="L85" i="1"/>
  <c r="K136" i="1"/>
  <c r="L73" i="1"/>
  <c r="AL22" i="4"/>
  <c r="AL21" i="4"/>
  <c r="AL23" i="4"/>
  <c r="AL17" i="4"/>
  <c r="AL18" i="4" s="1"/>
  <c r="AI19" i="4"/>
  <c r="K119" i="1"/>
  <c r="K120" i="1"/>
  <c r="AK68" i="1" l="1"/>
  <c r="M117" i="1"/>
  <c r="M114" i="1"/>
  <c r="M126" i="1"/>
  <c r="M127" i="1" s="1"/>
  <c r="M111" i="1"/>
  <c r="M112" i="1"/>
  <c r="M103" i="1"/>
  <c r="M109" i="1"/>
  <c r="M124" i="1"/>
  <c r="M125" i="1" s="1"/>
  <c r="L120" i="1"/>
  <c r="M110" i="1"/>
  <c r="M102" i="1"/>
  <c r="M132" i="1"/>
  <c r="M133" i="1" s="1"/>
  <c r="M116" i="1"/>
  <c r="M108" i="1"/>
  <c r="M115" i="1"/>
  <c r="M130" i="1"/>
  <c r="M131" i="1" s="1"/>
  <c r="L137" i="1"/>
  <c r="M77" i="1"/>
  <c r="M70" i="1"/>
  <c r="M104" i="1"/>
  <c r="M105" i="1"/>
  <c r="M128" i="1"/>
  <c r="M129" i="1" s="1"/>
  <c r="M73" i="1"/>
  <c r="M75" i="1" s="1"/>
  <c r="M83" i="1"/>
  <c r="M107" i="1"/>
  <c r="N69" i="1"/>
  <c r="N114" i="1" s="1"/>
  <c r="M118" i="1"/>
  <c r="L119" i="1"/>
  <c r="M106" i="1"/>
  <c r="M134" i="1"/>
  <c r="L136" i="1"/>
  <c r="M101" i="1"/>
  <c r="M92" i="1"/>
  <c r="M94" i="1"/>
  <c r="L74" i="1"/>
  <c r="L75" i="1"/>
  <c r="L76" i="1" s="1"/>
  <c r="M86" i="1"/>
  <c r="M91" i="1"/>
  <c r="M87" i="1"/>
  <c r="M88" i="1"/>
  <c r="M85" i="1"/>
  <c r="AO21" i="4"/>
  <c r="AO22" i="4"/>
  <c r="AO23" i="4"/>
  <c r="AO17" i="4"/>
  <c r="AL19" i="4"/>
  <c r="N111" i="1" l="1"/>
  <c r="N104" i="1"/>
  <c r="N101" i="1"/>
  <c r="AL68" i="1"/>
  <c r="AO18" i="4"/>
  <c r="AO19" i="4" s="1"/>
  <c r="M119" i="1"/>
  <c r="M137" i="1"/>
  <c r="N117" i="1"/>
  <c r="N83" i="1"/>
  <c r="O69" i="1"/>
  <c r="O115" i="1" s="1"/>
  <c r="N106" i="1"/>
  <c r="N132" i="1"/>
  <c r="N133" i="1" s="1"/>
  <c r="N112" i="1"/>
  <c r="N113" i="1"/>
  <c r="M136" i="1"/>
  <c r="N109" i="1"/>
  <c r="M120" i="1"/>
  <c r="N70" i="1"/>
  <c r="N107" i="1"/>
  <c r="N130" i="1"/>
  <c r="N131" i="1" s="1"/>
  <c r="N77" i="1"/>
  <c r="N126" i="1"/>
  <c r="N127" i="1" s="1"/>
  <c r="N108" i="1"/>
  <c r="N73" i="1"/>
  <c r="N74" i="1" s="1"/>
  <c r="N116" i="1"/>
  <c r="N115" i="1"/>
  <c r="N110" i="1"/>
  <c r="N128" i="1"/>
  <c r="N129" i="1" s="1"/>
  <c r="N103" i="1"/>
  <c r="N124" i="1"/>
  <c r="N125" i="1" s="1"/>
  <c r="N134" i="1"/>
  <c r="N105" i="1"/>
  <c r="M74" i="1"/>
  <c r="N102" i="1"/>
  <c r="N118" i="1"/>
  <c r="N92" i="1"/>
  <c r="N94" i="1"/>
  <c r="N86" i="1"/>
  <c r="N87" i="1"/>
  <c r="N85" i="1"/>
  <c r="N88" i="1"/>
  <c r="N91" i="1"/>
  <c r="O77" i="1" l="1"/>
  <c r="O73" i="1"/>
  <c r="O75" i="1" s="1"/>
  <c r="O83" i="1"/>
  <c r="O134" i="1"/>
  <c r="O110" i="1"/>
  <c r="O102" i="1"/>
  <c r="O101" i="1"/>
  <c r="O114" i="1"/>
  <c r="O116" i="1"/>
  <c r="O103" i="1"/>
  <c r="O70" i="1"/>
  <c r="O126" i="1"/>
  <c r="O127" i="1" s="1"/>
  <c r="O112" i="1"/>
  <c r="O104" i="1"/>
  <c r="O128" i="1"/>
  <c r="O129" i="1" s="1"/>
  <c r="O107" i="1"/>
  <c r="O130" i="1"/>
  <c r="O131" i="1" s="1"/>
  <c r="O111" i="1"/>
  <c r="O108" i="1"/>
  <c r="O106" i="1"/>
  <c r="O124" i="1"/>
  <c r="O125" i="1" s="1"/>
  <c r="O113" i="1"/>
  <c r="O109" i="1"/>
  <c r="P69" i="1"/>
  <c r="O118" i="1"/>
  <c r="O117" i="1"/>
  <c r="O132" i="1"/>
  <c r="O133" i="1" s="1"/>
  <c r="O105" i="1"/>
  <c r="N137" i="1"/>
  <c r="N120" i="1"/>
  <c r="N136" i="1"/>
  <c r="N119" i="1"/>
  <c r="N75" i="1"/>
  <c r="O92" i="1"/>
  <c r="O94" i="1"/>
  <c r="O74" i="1"/>
  <c r="O86" i="1"/>
  <c r="O87" i="1"/>
  <c r="O88" i="1"/>
  <c r="O85" i="1"/>
  <c r="O91" i="1"/>
  <c r="P110" i="1" l="1"/>
  <c r="P107" i="1"/>
  <c r="P104" i="1"/>
  <c r="P101" i="1"/>
  <c r="P83" i="1"/>
  <c r="P134" i="1"/>
  <c r="P106" i="1"/>
  <c r="P111" i="1"/>
  <c r="P113" i="1"/>
  <c r="P108" i="1"/>
  <c r="P118" i="1"/>
  <c r="P126" i="1"/>
  <c r="P127" i="1" s="1"/>
  <c r="P102" i="1"/>
  <c r="P132" i="1"/>
  <c r="P133" i="1" s="1"/>
  <c r="V69" i="1"/>
  <c r="O120" i="1"/>
  <c r="O136" i="1"/>
  <c r="P114" i="1"/>
  <c r="P112" i="1"/>
  <c r="P115" i="1"/>
  <c r="P124" i="1"/>
  <c r="P125" i="1" s="1"/>
  <c r="P117" i="1"/>
  <c r="P109" i="1"/>
  <c r="P77" i="1"/>
  <c r="O137" i="1"/>
  <c r="P130" i="1"/>
  <c r="P131" i="1" s="1"/>
  <c r="P128" i="1"/>
  <c r="P129" i="1" s="1"/>
  <c r="P70" i="1"/>
  <c r="P105" i="1"/>
  <c r="P73" i="1"/>
  <c r="P74" i="1" s="1"/>
  <c r="P116" i="1"/>
  <c r="P103" i="1"/>
  <c r="O119" i="1"/>
  <c r="P84" i="1"/>
  <c r="P94" i="1"/>
  <c r="P92" i="1"/>
  <c r="P91" i="1"/>
  <c r="P86" i="1"/>
  <c r="P88" i="1"/>
  <c r="P87" i="1"/>
  <c r="P85" i="1"/>
  <c r="S69" i="1" l="1"/>
  <c r="V77" i="1"/>
  <c r="V94" i="1"/>
  <c r="T69" i="1"/>
  <c r="T94" i="1" s="1"/>
  <c r="R69" i="1"/>
  <c r="U69" i="1"/>
  <c r="Q69" i="1"/>
  <c r="P120" i="1"/>
  <c r="V109" i="1"/>
  <c r="V110" i="1"/>
  <c r="V108" i="1"/>
  <c r="V107" i="1"/>
  <c r="V70" i="1"/>
  <c r="V130" i="1"/>
  <c r="V131" i="1" s="1"/>
  <c r="V83" i="1"/>
  <c r="V132" i="1"/>
  <c r="V133" i="1" s="1"/>
  <c r="V118" i="1"/>
  <c r="V101" i="1"/>
  <c r="V114" i="1"/>
  <c r="V116" i="1"/>
  <c r="P119" i="1"/>
  <c r="V117" i="1"/>
  <c r="V73" i="1"/>
  <c r="V75" i="1" s="1"/>
  <c r="V104" i="1"/>
  <c r="V128" i="1"/>
  <c r="V129" i="1" s="1"/>
  <c r="P75" i="1"/>
  <c r="V103" i="1"/>
  <c r="V112" i="1"/>
  <c r="V126" i="1"/>
  <c r="V127" i="1" s="1"/>
  <c r="V115" i="1"/>
  <c r="V111" i="1"/>
  <c r="V124" i="1"/>
  <c r="V125" i="1" s="1"/>
  <c r="V106" i="1"/>
  <c r="V105" i="1"/>
  <c r="V134" i="1"/>
  <c r="V113" i="1"/>
  <c r="V102" i="1"/>
  <c r="AA69" i="1"/>
  <c r="P136" i="1"/>
  <c r="P137" i="1"/>
  <c r="V91" i="1"/>
  <c r="V92" i="1"/>
  <c r="V86" i="1"/>
  <c r="V88" i="1"/>
  <c r="V85" i="1"/>
  <c r="V87" i="1"/>
  <c r="U94" i="1" l="1"/>
  <c r="U73" i="1"/>
  <c r="U75" i="1" s="1"/>
  <c r="AA105" i="1"/>
  <c r="T70" i="1"/>
  <c r="T83" i="1"/>
  <c r="T134" i="1"/>
  <c r="T124" i="1"/>
  <c r="T132" i="1"/>
  <c r="T133" i="1" s="1"/>
  <c r="T126" i="1"/>
  <c r="T127" i="1" s="1"/>
  <c r="T128" i="1"/>
  <c r="T129" i="1" s="1"/>
  <c r="T130" i="1"/>
  <c r="T131" i="1" s="1"/>
  <c r="T77" i="1"/>
  <c r="T73" i="1"/>
  <c r="T103" i="1"/>
  <c r="T104" i="1"/>
  <c r="T108" i="1"/>
  <c r="T117" i="1"/>
  <c r="T111" i="1"/>
  <c r="T116" i="1"/>
  <c r="T112" i="1"/>
  <c r="T110" i="1"/>
  <c r="T107" i="1"/>
  <c r="T118" i="1"/>
  <c r="T101" i="1"/>
  <c r="T115" i="1"/>
  <c r="T109" i="1"/>
  <c r="T102" i="1"/>
  <c r="T113" i="1"/>
  <c r="T114" i="1"/>
  <c r="T106" i="1"/>
  <c r="T105" i="1"/>
  <c r="S124" i="1"/>
  <c r="S132" i="1"/>
  <c r="S133" i="1" s="1"/>
  <c r="S134" i="1"/>
  <c r="S130" i="1"/>
  <c r="S131" i="1" s="1"/>
  <c r="S126" i="1"/>
  <c r="S127" i="1" s="1"/>
  <c r="S128" i="1"/>
  <c r="S129" i="1" s="1"/>
  <c r="S103" i="1"/>
  <c r="S104" i="1"/>
  <c r="S117" i="1"/>
  <c r="S112" i="1"/>
  <c r="S115" i="1"/>
  <c r="S107" i="1"/>
  <c r="S108" i="1"/>
  <c r="S118" i="1"/>
  <c r="S111" i="1"/>
  <c r="S101" i="1"/>
  <c r="S109" i="1"/>
  <c r="S110" i="1"/>
  <c r="S102" i="1"/>
  <c r="S116" i="1"/>
  <c r="S106" i="1"/>
  <c r="S105" i="1"/>
  <c r="S113" i="1"/>
  <c r="S114" i="1"/>
  <c r="AA117" i="1"/>
  <c r="AA113" i="1"/>
  <c r="S70" i="1"/>
  <c r="S77" i="1"/>
  <c r="S73" i="1"/>
  <c r="S83" i="1"/>
  <c r="AA114" i="1"/>
  <c r="AA103" i="1"/>
  <c r="AA111" i="1"/>
  <c r="AA102" i="1"/>
  <c r="AA109" i="1"/>
  <c r="AA107" i="1"/>
  <c r="AA83" i="1"/>
  <c r="U132" i="1"/>
  <c r="U133" i="1" s="1"/>
  <c r="U70" i="1"/>
  <c r="U128" i="1"/>
  <c r="U129" i="1" s="1"/>
  <c r="U124" i="1"/>
  <c r="U134" i="1"/>
  <c r="U126" i="1"/>
  <c r="U127" i="1" s="1"/>
  <c r="U83" i="1"/>
  <c r="U77" i="1"/>
  <c r="U130" i="1"/>
  <c r="U131" i="1" s="1"/>
  <c r="U104" i="1"/>
  <c r="U103" i="1"/>
  <c r="U105" i="1"/>
  <c r="U101" i="1"/>
  <c r="U102" i="1"/>
  <c r="U109" i="1"/>
  <c r="U113" i="1"/>
  <c r="U114" i="1"/>
  <c r="U117" i="1"/>
  <c r="U107" i="1"/>
  <c r="U108" i="1"/>
  <c r="U118" i="1"/>
  <c r="U111" i="1"/>
  <c r="U116" i="1"/>
  <c r="U106" i="1"/>
  <c r="U112" i="1"/>
  <c r="U115" i="1"/>
  <c r="U110" i="1"/>
  <c r="AA77" i="1"/>
  <c r="AA130" i="1"/>
  <c r="AA131" i="1" s="1"/>
  <c r="R128" i="1"/>
  <c r="R129" i="1" s="1"/>
  <c r="R70" i="1"/>
  <c r="R124" i="1"/>
  <c r="R134" i="1"/>
  <c r="R73" i="1"/>
  <c r="R83" i="1"/>
  <c r="R77" i="1"/>
  <c r="R130" i="1"/>
  <c r="R131" i="1" s="1"/>
  <c r="R126" i="1"/>
  <c r="R127" i="1" s="1"/>
  <c r="R132" i="1"/>
  <c r="R133" i="1" s="1"/>
  <c r="R103" i="1"/>
  <c r="R104" i="1"/>
  <c r="R109" i="1"/>
  <c r="R113" i="1"/>
  <c r="R107" i="1"/>
  <c r="R116" i="1"/>
  <c r="R118" i="1"/>
  <c r="R111" i="1"/>
  <c r="R115" i="1"/>
  <c r="R112" i="1"/>
  <c r="R108" i="1"/>
  <c r="R105" i="1"/>
  <c r="R117" i="1"/>
  <c r="R110" i="1"/>
  <c r="R114" i="1"/>
  <c r="R101" i="1"/>
  <c r="R106" i="1"/>
  <c r="R102" i="1"/>
  <c r="AA128" i="1"/>
  <c r="AA129" i="1" s="1"/>
  <c r="AA124" i="1"/>
  <c r="AA125" i="1" s="1"/>
  <c r="V137" i="1"/>
  <c r="AA110" i="1"/>
  <c r="AA108" i="1"/>
  <c r="Q124" i="1"/>
  <c r="Q130" i="1"/>
  <c r="Q131" i="1" s="1"/>
  <c r="Q126" i="1"/>
  <c r="Q127" i="1" s="1"/>
  <c r="Q73" i="1"/>
  <c r="Q83" i="1"/>
  <c r="Q134" i="1"/>
  <c r="Q77" i="1"/>
  <c r="Q70" i="1"/>
  <c r="Q128" i="1"/>
  <c r="Q129" i="1" s="1"/>
  <c r="Q132" i="1"/>
  <c r="Q133" i="1" s="1"/>
  <c r="Q103" i="1"/>
  <c r="Q104" i="1"/>
  <c r="Q107" i="1"/>
  <c r="Q101" i="1"/>
  <c r="Q113" i="1"/>
  <c r="Q108" i="1"/>
  <c r="Q118" i="1"/>
  <c r="Q111" i="1"/>
  <c r="Q115" i="1"/>
  <c r="Q109" i="1"/>
  <c r="Q116" i="1"/>
  <c r="Q117" i="1"/>
  <c r="Q112" i="1"/>
  <c r="Q106" i="1"/>
  <c r="Q110" i="1"/>
  <c r="Q114" i="1"/>
  <c r="Q102" i="1"/>
  <c r="Q105" i="1"/>
  <c r="V74" i="1"/>
  <c r="AA126" i="1"/>
  <c r="AA127" i="1" s="1"/>
  <c r="V119" i="1"/>
  <c r="AA118" i="1"/>
  <c r="AA134" i="1"/>
  <c r="AA73" i="1"/>
  <c r="AA75" i="1" s="1"/>
  <c r="V120" i="1"/>
  <c r="AA115" i="1"/>
  <c r="AA106" i="1"/>
  <c r="AA101" i="1"/>
  <c r="AA112" i="1"/>
  <c r="AB69" i="1"/>
  <c r="V136" i="1"/>
  <c r="AA104" i="1"/>
  <c r="AA132" i="1"/>
  <c r="AA133" i="1" s="1"/>
  <c r="AA116" i="1"/>
  <c r="AA94" i="1"/>
  <c r="AA92" i="1"/>
  <c r="AA91" i="1"/>
  <c r="AA87" i="1"/>
  <c r="AA88" i="1"/>
  <c r="AA85" i="1"/>
  <c r="AA86" i="1"/>
  <c r="W132" i="1" l="1"/>
  <c r="W133" i="1" s="1"/>
  <c r="W103" i="1"/>
  <c r="W106" i="1"/>
  <c r="W109" i="1"/>
  <c r="W112" i="1"/>
  <c r="W115" i="1"/>
  <c r="W118" i="1"/>
  <c r="W124" i="1"/>
  <c r="W128" i="1"/>
  <c r="W129" i="1" s="1"/>
  <c r="W101" i="1"/>
  <c r="W104" i="1"/>
  <c r="W107" i="1"/>
  <c r="W110" i="1"/>
  <c r="W113" i="1"/>
  <c r="W116" i="1"/>
  <c r="W94" i="1"/>
  <c r="X81" i="1" s="1"/>
  <c r="X82" i="1" s="1"/>
  <c r="W102" i="1"/>
  <c r="W105" i="1"/>
  <c r="W108" i="1"/>
  <c r="W111" i="1"/>
  <c r="W114" i="1"/>
  <c r="W117" i="1"/>
  <c r="W126" i="1"/>
  <c r="W127" i="1" s="1"/>
  <c r="W130" i="1"/>
  <c r="W131" i="1" s="1"/>
  <c r="W134" i="1"/>
  <c r="W70" i="1"/>
  <c r="W77" i="1"/>
  <c r="W78" i="1" s="1"/>
  <c r="W83" i="1"/>
  <c r="W73" i="1"/>
  <c r="S81" i="1"/>
  <c r="S82" i="1" s="1"/>
  <c r="W84" i="1"/>
  <c r="W79" i="1"/>
  <c r="X79" i="1"/>
  <c r="W81" i="1"/>
  <c r="W82" i="1" s="1"/>
  <c r="X84" i="1"/>
  <c r="Y84" i="1"/>
  <c r="U79" i="1"/>
  <c r="U78" i="1"/>
  <c r="T81" i="1"/>
  <c r="T82" i="1" s="1"/>
  <c r="T79" i="1"/>
  <c r="Q79" i="1"/>
  <c r="S79" i="1"/>
  <c r="Q81" i="1"/>
  <c r="Q82" i="1" s="1"/>
  <c r="R81" i="1"/>
  <c r="R82" i="1" s="1"/>
  <c r="R79" i="1"/>
  <c r="Q78" i="1"/>
  <c r="U81" i="1"/>
  <c r="U82" i="1" s="1"/>
  <c r="S78" i="1"/>
  <c r="R78" i="1"/>
  <c r="T78" i="1"/>
  <c r="AB77" i="1"/>
  <c r="AB93" i="1"/>
  <c r="T120" i="1"/>
  <c r="R120" i="1"/>
  <c r="S119" i="1"/>
  <c r="S120" i="1"/>
  <c r="T74" i="1"/>
  <c r="T75" i="1"/>
  <c r="T76" i="1" s="1"/>
  <c r="S125" i="1"/>
  <c r="S137" i="1" s="1"/>
  <c r="S136" i="1"/>
  <c r="T119" i="1"/>
  <c r="T125" i="1"/>
  <c r="T137" i="1" s="1"/>
  <c r="T136" i="1"/>
  <c r="AA74" i="1"/>
  <c r="AA119" i="1"/>
  <c r="S74" i="1"/>
  <c r="S75" i="1"/>
  <c r="S76" i="1" s="1"/>
  <c r="U120" i="1"/>
  <c r="U125" i="1"/>
  <c r="U137" i="1" s="1"/>
  <c r="U136" i="1"/>
  <c r="Q120" i="1"/>
  <c r="Q136" i="1"/>
  <c r="Q125" i="1"/>
  <c r="Q137" i="1" s="1"/>
  <c r="R74" i="1"/>
  <c r="R75" i="1"/>
  <c r="R76" i="1" s="1"/>
  <c r="Q74" i="1"/>
  <c r="Q75" i="1"/>
  <c r="Q76" i="1" s="1"/>
  <c r="R119" i="1"/>
  <c r="R136" i="1"/>
  <c r="R125" i="1"/>
  <c r="R137" i="1" s="1"/>
  <c r="AB115" i="1"/>
  <c r="U119" i="1"/>
  <c r="U74" i="1"/>
  <c r="U76" i="1"/>
  <c r="Q119" i="1"/>
  <c r="AB114" i="1"/>
  <c r="AB102" i="1"/>
  <c r="AB103" i="1"/>
  <c r="AB130" i="1"/>
  <c r="AB131" i="1" s="1"/>
  <c r="AB107" i="1"/>
  <c r="AB113" i="1"/>
  <c r="AB128" i="1"/>
  <c r="AB129" i="1" s="1"/>
  <c r="AA120" i="1"/>
  <c r="AB110" i="1"/>
  <c r="AB112" i="1"/>
  <c r="AB118" i="1"/>
  <c r="AB116" i="1"/>
  <c r="AB104" i="1"/>
  <c r="AB101" i="1"/>
  <c r="AB108" i="1"/>
  <c r="AB105" i="1"/>
  <c r="AB134" i="1"/>
  <c r="AB70" i="1"/>
  <c r="AB109" i="1"/>
  <c r="AB117" i="1"/>
  <c r="AB106" i="1"/>
  <c r="AC69" i="1"/>
  <c r="AB132" i="1"/>
  <c r="AB133" i="1" s="1"/>
  <c r="AB111" i="1"/>
  <c r="AB83" i="1"/>
  <c r="AB124" i="1"/>
  <c r="AB125" i="1" s="1"/>
  <c r="AB126" i="1"/>
  <c r="AB127" i="1" s="1"/>
  <c r="AB73" i="1"/>
  <c r="AB74" i="1" s="1"/>
  <c r="AA136" i="1"/>
  <c r="AA137" i="1"/>
  <c r="AB94" i="1"/>
  <c r="AB92" i="1"/>
  <c r="V84" i="1" s="1"/>
  <c r="AB91" i="1"/>
  <c r="AB88" i="1"/>
  <c r="AB85" i="1"/>
  <c r="AB87" i="1"/>
  <c r="AB86" i="1"/>
  <c r="Y102" i="1" l="1"/>
  <c r="Y105" i="1"/>
  <c r="Y108" i="1"/>
  <c r="Y111" i="1"/>
  <c r="Y114" i="1"/>
  <c r="Y117" i="1"/>
  <c r="Y113" i="1"/>
  <c r="Y126" i="1"/>
  <c r="Y127" i="1" s="1"/>
  <c r="Y130" i="1"/>
  <c r="Y131" i="1" s="1"/>
  <c r="Y134" i="1"/>
  <c r="Y101" i="1"/>
  <c r="Y110" i="1"/>
  <c r="Y104" i="1"/>
  <c r="Y94" i="1"/>
  <c r="Y103" i="1"/>
  <c r="Y106" i="1"/>
  <c r="Y109" i="1"/>
  <c r="Y112" i="1"/>
  <c r="Y115" i="1"/>
  <c r="Y118" i="1"/>
  <c r="Y107" i="1"/>
  <c r="Y132" i="1"/>
  <c r="Y133" i="1" s="1"/>
  <c r="Y124" i="1"/>
  <c r="Y128" i="1"/>
  <c r="Y129" i="1" s="1"/>
  <c r="Y116" i="1"/>
  <c r="Z115" i="1"/>
  <c r="Z113" i="1"/>
  <c r="Z102" i="1"/>
  <c r="Z105" i="1"/>
  <c r="Z108" i="1"/>
  <c r="Z111" i="1"/>
  <c r="Z114" i="1"/>
  <c r="Z117" i="1"/>
  <c r="Z118" i="1"/>
  <c r="Z126" i="1"/>
  <c r="Z130" i="1"/>
  <c r="Z131" i="1" s="1"/>
  <c r="Z134" i="1"/>
  <c r="Z107" i="1"/>
  <c r="Z116" i="1"/>
  <c r="Z110" i="1"/>
  <c r="Z103" i="1"/>
  <c r="Z106" i="1"/>
  <c r="Z109" i="1"/>
  <c r="Z112" i="1"/>
  <c r="Z104" i="1"/>
  <c r="Z124" i="1"/>
  <c r="Z125" i="1" s="1"/>
  <c r="Z128" i="1"/>
  <c r="Z129" i="1" s="1"/>
  <c r="Z101" i="1"/>
  <c r="Z94" i="1"/>
  <c r="Z132" i="1"/>
  <c r="Z133" i="1" s="1"/>
  <c r="W136" i="1"/>
  <c r="W125" i="1"/>
  <c r="W137" i="1" s="1"/>
  <c r="W120" i="1"/>
  <c r="W119" i="1"/>
  <c r="X126" i="1"/>
  <c r="X127" i="1" s="1"/>
  <c r="X130" i="1"/>
  <c r="X131" i="1" s="1"/>
  <c r="X134" i="1"/>
  <c r="X106" i="1"/>
  <c r="X115" i="1"/>
  <c r="X132" i="1"/>
  <c r="X133" i="1" s="1"/>
  <c r="X109" i="1"/>
  <c r="X112" i="1"/>
  <c r="X118" i="1"/>
  <c r="X103" i="1"/>
  <c r="X101" i="1"/>
  <c r="X113" i="1"/>
  <c r="X104" i="1"/>
  <c r="X124" i="1"/>
  <c r="X128" i="1"/>
  <c r="X129" i="1" s="1"/>
  <c r="X107" i="1"/>
  <c r="X116" i="1"/>
  <c r="X110" i="1"/>
  <c r="X94" i="1"/>
  <c r="X102" i="1"/>
  <c r="X105" i="1"/>
  <c r="X108" i="1"/>
  <c r="X111" i="1"/>
  <c r="X114" i="1"/>
  <c r="X117" i="1"/>
  <c r="S80" i="1"/>
  <c r="S71" i="1" s="1"/>
  <c r="S72" i="1" s="1"/>
  <c r="X83" i="1"/>
  <c r="X70" i="1"/>
  <c r="X77" i="1"/>
  <c r="X78" i="1" s="1"/>
  <c r="X73" i="1"/>
  <c r="W75" i="1"/>
  <c r="W76" i="1" s="1"/>
  <c r="W74" i="1"/>
  <c r="Y83" i="1"/>
  <c r="Y73" i="1"/>
  <c r="Y70" i="1"/>
  <c r="Y77" i="1"/>
  <c r="Z83" i="1"/>
  <c r="Z77" i="1"/>
  <c r="Z73" i="1"/>
  <c r="X80" i="1"/>
  <c r="W80" i="1"/>
  <c r="W71" i="1" s="1"/>
  <c r="W72" i="1" s="1"/>
  <c r="T80" i="1"/>
  <c r="T71" i="1" s="1"/>
  <c r="T72" i="1" s="1"/>
  <c r="Q80" i="1"/>
  <c r="Q71" i="1" s="1"/>
  <c r="Q72" i="1" s="1"/>
  <c r="U80" i="1"/>
  <c r="U71" i="1" s="1"/>
  <c r="U72" i="1" s="1"/>
  <c r="R80" i="1"/>
  <c r="R71" i="1" s="1"/>
  <c r="R72" i="1" s="1"/>
  <c r="AC77" i="1"/>
  <c r="AC93" i="1"/>
  <c r="AC94" i="1" s="1"/>
  <c r="AD69" i="1"/>
  <c r="AD116" i="1" s="1"/>
  <c r="AC105" i="1"/>
  <c r="AC109" i="1"/>
  <c r="AC107" i="1"/>
  <c r="AC134" i="1"/>
  <c r="AC73" i="1"/>
  <c r="AC75" i="1" s="1"/>
  <c r="AC117" i="1"/>
  <c r="AC116" i="1"/>
  <c r="AC102" i="1"/>
  <c r="AC130" i="1"/>
  <c r="AC131" i="1" s="1"/>
  <c r="AC124" i="1"/>
  <c r="AC125" i="1" s="1"/>
  <c r="AC103" i="1"/>
  <c r="AC111" i="1"/>
  <c r="AC128" i="1"/>
  <c r="AC129" i="1" s="1"/>
  <c r="AC113" i="1"/>
  <c r="AC104" i="1"/>
  <c r="AC70" i="1"/>
  <c r="AB137" i="1"/>
  <c r="AC108" i="1"/>
  <c r="AC101" i="1"/>
  <c r="AB136" i="1"/>
  <c r="AB120" i="1"/>
  <c r="AB75" i="1"/>
  <c r="AC126" i="1"/>
  <c r="AC127" i="1" s="1"/>
  <c r="AC112" i="1"/>
  <c r="AC114" i="1"/>
  <c r="AC110" i="1"/>
  <c r="AB119" i="1"/>
  <c r="AC106" i="1"/>
  <c r="AC118" i="1"/>
  <c r="AC83" i="1"/>
  <c r="AC115" i="1"/>
  <c r="AC132" i="1"/>
  <c r="AC133" i="1" s="1"/>
  <c r="M76" i="1"/>
  <c r="N76" i="1"/>
  <c r="O76" i="1"/>
  <c r="P76" i="1"/>
  <c r="V76" i="1"/>
  <c r="V79" i="1"/>
  <c r="M78" i="1"/>
  <c r="O78" i="1"/>
  <c r="N78" i="1"/>
  <c r="V78" i="1"/>
  <c r="P78" i="1"/>
  <c r="V81" i="1"/>
  <c r="V82" i="1" s="1"/>
  <c r="L79" i="1"/>
  <c r="M81" i="1"/>
  <c r="M82" i="1" s="1"/>
  <c r="N81" i="1"/>
  <c r="N82" i="1" s="1"/>
  <c r="K79" i="1"/>
  <c r="P81" i="1"/>
  <c r="P82" i="1" s="1"/>
  <c r="M79" i="1"/>
  <c r="O81" i="1"/>
  <c r="O82" i="1" s="1"/>
  <c r="N79" i="1"/>
  <c r="O79" i="1"/>
  <c r="P79" i="1"/>
  <c r="AC92" i="1"/>
  <c r="AC85" i="1"/>
  <c r="AC87" i="1"/>
  <c r="AC91" i="1"/>
  <c r="AC86" i="1"/>
  <c r="AC88" i="1"/>
  <c r="AD70" i="1"/>
  <c r="AD126" i="1"/>
  <c r="AD127" i="1" s="1"/>
  <c r="AD114" i="1"/>
  <c r="AD124" i="1"/>
  <c r="AD117" i="1"/>
  <c r="X71" i="1" l="1"/>
  <c r="X72" i="1" s="1"/>
  <c r="Y120" i="1"/>
  <c r="Z136" i="1"/>
  <c r="Z127" i="1"/>
  <c r="Z137" i="1" s="1"/>
  <c r="Y125" i="1"/>
  <c r="Y136" i="1"/>
  <c r="X125" i="1"/>
  <c r="X136" i="1"/>
  <c r="Y137" i="1"/>
  <c r="X137" i="1"/>
  <c r="Z119" i="1"/>
  <c r="X119" i="1"/>
  <c r="Z120" i="1"/>
  <c r="Y119" i="1"/>
  <c r="X120" i="1"/>
  <c r="AD111" i="1"/>
  <c r="AD108" i="1"/>
  <c r="AD73" i="1"/>
  <c r="AD75" i="1" s="1"/>
  <c r="Y75" i="1"/>
  <c r="Y74" i="1"/>
  <c r="X75" i="1"/>
  <c r="X76" i="1" s="1"/>
  <c r="X74" i="1"/>
  <c r="Z75" i="1"/>
  <c r="Z74" i="1"/>
  <c r="AD132" i="1"/>
  <c r="AD133" i="1" s="1"/>
  <c r="AD107" i="1"/>
  <c r="AD118" i="1"/>
  <c r="AD105" i="1"/>
  <c r="AD102" i="1"/>
  <c r="AD112" i="1"/>
  <c r="AD101" i="1"/>
  <c r="AE69" i="1"/>
  <c r="AE93" i="1" s="1"/>
  <c r="AD106" i="1"/>
  <c r="AD113" i="1"/>
  <c r="AD130" i="1"/>
  <c r="AD131" i="1" s="1"/>
  <c r="AD109" i="1"/>
  <c r="AD83" i="1"/>
  <c r="AD110" i="1"/>
  <c r="AD134" i="1"/>
  <c r="AD103" i="1"/>
  <c r="AD128" i="1"/>
  <c r="AD129" i="1" s="1"/>
  <c r="AD115" i="1"/>
  <c r="AD104" i="1"/>
  <c r="AC74" i="1"/>
  <c r="AD77" i="1"/>
  <c r="AD93" i="1"/>
  <c r="AD94" i="1" s="1"/>
  <c r="AC119" i="1"/>
  <c r="AC137" i="1"/>
  <c r="AC120" i="1"/>
  <c r="AC136" i="1"/>
  <c r="V80" i="1"/>
  <c r="V71" i="1" s="1"/>
  <c r="V72" i="1" s="1"/>
  <c r="K80" i="1"/>
  <c r="K71" i="1" s="1"/>
  <c r="K72" i="1" s="1"/>
  <c r="L80" i="1"/>
  <c r="L71" i="1" s="1"/>
  <c r="L72" i="1" s="1"/>
  <c r="P80" i="1"/>
  <c r="P71" i="1" s="1"/>
  <c r="P72" i="1" s="1"/>
  <c r="N80" i="1"/>
  <c r="N71" i="1" s="1"/>
  <c r="N72" i="1" s="1"/>
  <c r="O80" i="1"/>
  <c r="O71" i="1" s="1"/>
  <c r="O72" i="1" s="1"/>
  <c r="M80" i="1"/>
  <c r="M71" i="1" s="1"/>
  <c r="M72" i="1" s="1"/>
  <c r="AE73" i="1"/>
  <c r="AE77" i="1"/>
  <c r="AD92" i="1"/>
  <c r="AD85" i="1"/>
  <c r="AD87" i="1"/>
  <c r="AD88" i="1"/>
  <c r="AD91" i="1"/>
  <c r="AD86" i="1"/>
  <c r="AD125" i="1"/>
  <c r="AE105" i="1" l="1"/>
  <c r="AE111" i="1"/>
  <c r="AE106" i="1"/>
  <c r="AF69" i="1"/>
  <c r="AF93" i="1" s="1"/>
  <c r="AE107" i="1"/>
  <c r="AE126" i="1"/>
  <c r="AE127" i="1" s="1"/>
  <c r="AE70" i="1"/>
  <c r="AE128" i="1"/>
  <c r="AE129" i="1" s="1"/>
  <c r="AE113" i="1"/>
  <c r="AD74" i="1"/>
  <c r="AE116" i="1"/>
  <c r="AE83" i="1"/>
  <c r="AE109" i="1"/>
  <c r="AE118" i="1"/>
  <c r="AD119" i="1"/>
  <c r="AD136" i="1"/>
  <c r="AE117" i="1"/>
  <c r="AE103" i="1"/>
  <c r="AE101" i="1"/>
  <c r="AD120" i="1"/>
  <c r="AE112" i="1"/>
  <c r="AE130" i="1"/>
  <c r="AE131" i="1" s="1"/>
  <c r="AE124" i="1"/>
  <c r="AE125" i="1" s="1"/>
  <c r="AE115" i="1"/>
  <c r="AE132" i="1"/>
  <c r="AE133" i="1" s="1"/>
  <c r="AE102" i="1"/>
  <c r="AE104" i="1"/>
  <c r="AD137" i="1"/>
  <c r="AE114" i="1"/>
  <c r="AE134" i="1"/>
  <c r="AE108" i="1"/>
  <c r="AE110" i="1"/>
  <c r="AE92" i="1"/>
  <c r="AE94" i="1"/>
  <c r="AF73" i="1"/>
  <c r="AF77" i="1"/>
  <c r="AE74" i="1"/>
  <c r="AE75" i="1"/>
  <c r="AE88" i="1"/>
  <c r="AE87" i="1"/>
  <c r="AE85" i="1"/>
  <c r="AE91" i="1"/>
  <c r="AE86" i="1"/>
  <c r="AF83" i="1"/>
  <c r="AG69" i="1"/>
  <c r="AG93" i="1" s="1"/>
  <c r="AF104" i="1"/>
  <c r="AF107" i="1"/>
  <c r="AF109" i="1"/>
  <c r="AF108" i="1"/>
  <c r="AF105" i="1"/>
  <c r="AF111" i="1"/>
  <c r="AF115" i="1"/>
  <c r="AF126" i="1"/>
  <c r="AF127" i="1" s="1"/>
  <c r="AF110" i="1"/>
  <c r="AF128" i="1"/>
  <c r="AF129" i="1" s="1"/>
  <c r="AF114" i="1"/>
  <c r="AF134" i="1"/>
  <c r="AF102" i="1"/>
  <c r="AF112" i="1"/>
  <c r="AF132" i="1"/>
  <c r="AF133" i="1" s="1"/>
  <c r="AF103" i="1"/>
  <c r="AF106" i="1"/>
  <c r="AF101" i="1"/>
  <c r="AF117" i="1"/>
  <c r="AF116" i="1"/>
  <c r="AF70" i="1"/>
  <c r="AF113" i="1"/>
  <c r="AF124" i="1" l="1"/>
  <c r="AF130" i="1"/>
  <c r="AF131" i="1" s="1"/>
  <c r="AE119" i="1"/>
  <c r="AF118" i="1"/>
  <c r="AE137" i="1"/>
  <c r="AE120" i="1"/>
  <c r="AE136" i="1"/>
  <c r="AG73" i="1"/>
  <c r="AG77" i="1"/>
  <c r="AF92" i="1"/>
  <c r="AF94" i="1"/>
  <c r="AF74" i="1"/>
  <c r="AF75" i="1"/>
  <c r="AF88" i="1"/>
  <c r="AF85" i="1"/>
  <c r="AF87" i="1"/>
  <c r="AF91" i="1"/>
  <c r="AF86" i="1"/>
  <c r="AG83" i="1"/>
  <c r="AF120" i="1"/>
  <c r="AF125" i="1"/>
  <c r="AF137" i="1" s="1"/>
  <c r="AF136" i="1"/>
  <c r="AF119" i="1"/>
  <c r="AH69" i="1"/>
  <c r="AH93" i="1" s="1"/>
  <c r="AG128" i="1"/>
  <c r="AG129" i="1" s="1"/>
  <c r="AG106" i="1"/>
  <c r="AG102" i="1"/>
  <c r="AG111" i="1"/>
  <c r="AG132" i="1"/>
  <c r="AG133" i="1" s="1"/>
  <c r="AG104" i="1"/>
  <c r="AG130" i="1"/>
  <c r="AG131" i="1" s="1"/>
  <c r="AG110" i="1"/>
  <c r="AG103" i="1"/>
  <c r="AG108" i="1"/>
  <c r="AG124" i="1"/>
  <c r="AG107" i="1"/>
  <c r="AG112" i="1"/>
  <c r="AG114" i="1"/>
  <c r="AG70" i="1"/>
  <c r="AG126" i="1"/>
  <c r="AG127" i="1" s="1"/>
  <c r="AG117" i="1"/>
  <c r="AG105" i="1"/>
  <c r="AG118" i="1"/>
  <c r="AG101" i="1"/>
  <c r="AG116" i="1"/>
  <c r="AG115" i="1"/>
  <c r="AG109" i="1"/>
  <c r="AG134" i="1"/>
  <c r="AG113" i="1"/>
  <c r="Y81" i="1" l="1"/>
  <c r="Y82" i="1" s="1"/>
  <c r="Y79" i="1"/>
  <c r="Z81" i="1"/>
  <c r="Z82" i="1" s="1"/>
  <c r="Z79" i="1"/>
  <c r="Z84" i="1"/>
  <c r="Z78" i="1"/>
  <c r="Y78" i="1"/>
  <c r="Y76" i="1"/>
  <c r="Z76" i="1"/>
  <c r="AG94" i="1"/>
  <c r="AG92" i="1"/>
  <c r="AH73" i="1"/>
  <c r="AH77" i="1"/>
  <c r="AG74" i="1"/>
  <c r="AG75" i="1"/>
  <c r="AG85" i="1"/>
  <c r="AG87" i="1"/>
  <c r="AG91" i="1"/>
  <c r="AG86" i="1"/>
  <c r="AG88" i="1"/>
  <c r="AH83" i="1"/>
  <c r="AI69" i="1"/>
  <c r="AI93" i="1" s="1"/>
  <c r="AG119" i="1"/>
  <c r="AG120" i="1"/>
  <c r="AG125" i="1"/>
  <c r="AG137" i="1" s="1"/>
  <c r="AG136" i="1"/>
  <c r="AH107" i="1"/>
  <c r="AH113" i="1"/>
  <c r="AH110" i="1"/>
  <c r="AH102" i="1"/>
  <c r="AH104" i="1"/>
  <c r="AH101" i="1"/>
  <c r="AH134" i="1"/>
  <c r="AH111" i="1"/>
  <c r="AH132" i="1"/>
  <c r="AH133" i="1" s="1"/>
  <c r="AH105" i="1"/>
  <c r="AH114" i="1"/>
  <c r="AH108" i="1"/>
  <c r="AH116" i="1"/>
  <c r="AH130" i="1"/>
  <c r="AH131" i="1" s="1"/>
  <c r="AH126" i="1"/>
  <c r="AH127" i="1" s="1"/>
  <c r="AH124" i="1"/>
  <c r="AH103" i="1"/>
  <c r="AH117" i="1"/>
  <c r="AH118" i="1"/>
  <c r="AH115" i="1"/>
  <c r="AH128" i="1"/>
  <c r="AH129" i="1" s="1"/>
  <c r="AH109" i="1"/>
  <c r="AH112" i="1"/>
  <c r="AH106" i="1"/>
  <c r="AH70" i="1"/>
  <c r="Z80" i="1" l="1"/>
  <c r="Z71" i="1" s="1"/>
  <c r="Z72" i="1" s="1"/>
  <c r="Y80" i="1"/>
  <c r="Y71" i="1" s="1"/>
  <c r="Y72" i="1" s="1"/>
  <c r="AA76" i="1"/>
  <c r="AA79" i="1"/>
  <c r="AA78" i="1"/>
  <c r="AA84" i="1"/>
  <c r="AA81" i="1"/>
  <c r="AA82" i="1" s="1"/>
  <c r="AB84" i="1"/>
  <c r="AB81" i="1"/>
  <c r="AB82" i="1" s="1"/>
  <c r="AB78" i="1"/>
  <c r="AB76" i="1"/>
  <c r="AB79" i="1"/>
  <c r="AI73" i="1"/>
  <c r="AI75" i="1" s="1"/>
  <c r="AI77" i="1"/>
  <c r="AH94" i="1"/>
  <c r="AH92" i="1"/>
  <c r="AH74" i="1"/>
  <c r="AH75" i="1"/>
  <c r="AH91" i="1"/>
  <c r="AH86" i="1"/>
  <c r="AH85" i="1"/>
  <c r="AH87" i="1"/>
  <c r="AH88" i="1"/>
  <c r="AI83" i="1"/>
  <c r="AJ69" i="1"/>
  <c r="AI124" i="1"/>
  <c r="AI130" i="1"/>
  <c r="AI131" i="1" s="1"/>
  <c r="AI126" i="1"/>
  <c r="AI127" i="1" s="1"/>
  <c r="AI70" i="1"/>
  <c r="AI132" i="1"/>
  <c r="AI133" i="1" s="1"/>
  <c r="AI128" i="1"/>
  <c r="AI129" i="1" s="1"/>
  <c r="AI134" i="1"/>
  <c r="AI103" i="1"/>
  <c r="AI104" i="1"/>
  <c r="AI110" i="1"/>
  <c r="AI105" i="1"/>
  <c r="AI118" i="1"/>
  <c r="AI109" i="1"/>
  <c r="AI117" i="1"/>
  <c r="AI115" i="1"/>
  <c r="AI101" i="1"/>
  <c r="AI106" i="1"/>
  <c r="AI116" i="1"/>
  <c r="AI111" i="1"/>
  <c r="AI102" i="1"/>
  <c r="AI112" i="1"/>
  <c r="AI113" i="1"/>
  <c r="AI107" i="1"/>
  <c r="AI114" i="1"/>
  <c r="AI108" i="1"/>
  <c r="AH119" i="1"/>
  <c r="AH125" i="1"/>
  <c r="AH137" i="1" s="1"/>
  <c r="AH136" i="1"/>
  <c r="AH120" i="1"/>
  <c r="D65" i="1" l="1"/>
  <c r="AJ93" i="1"/>
  <c r="AK93" i="1" s="1"/>
  <c r="AA80" i="1"/>
  <c r="AA71" i="1" s="1"/>
  <c r="AA72" i="1" s="1"/>
  <c r="AB80" i="1"/>
  <c r="AB71" i="1" s="1"/>
  <c r="AB72" i="1" s="1"/>
  <c r="AC78" i="1"/>
  <c r="AD76" i="1"/>
  <c r="AE76" i="1"/>
  <c r="AF76" i="1"/>
  <c r="AD78" i="1"/>
  <c r="AC76" i="1"/>
  <c r="AE78" i="1"/>
  <c r="AF78" i="1"/>
  <c r="AC81" i="1"/>
  <c r="AC82" i="1" s="1"/>
  <c r="AC84" i="1"/>
  <c r="AC79" i="1"/>
  <c r="AD79" i="1"/>
  <c r="AD84" i="1"/>
  <c r="AD81" i="1"/>
  <c r="AD82" i="1" s="1"/>
  <c r="AE81" i="1"/>
  <c r="AE82" i="1" s="1"/>
  <c r="AE84" i="1"/>
  <c r="AE79" i="1"/>
  <c r="AF81" i="1"/>
  <c r="AF82" i="1" s="1"/>
  <c r="AF84" i="1"/>
  <c r="AF79" i="1"/>
  <c r="AJ73" i="1"/>
  <c r="AJ77" i="1"/>
  <c r="AI92" i="1"/>
  <c r="AI94" i="1"/>
  <c r="AI74" i="1"/>
  <c r="AI86" i="1"/>
  <c r="AI87" i="1"/>
  <c r="AI85" i="1"/>
  <c r="AI88" i="1"/>
  <c r="AI91" i="1"/>
  <c r="AJ83" i="1"/>
  <c r="AI125" i="1"/>
  <c r="AI137" i="1" s="1"/>
  <c r="AI136" i="1"/>
  <c r="AI119" i="1"/>
  <c r="AI120" i="1"/>
  <c r="AJ124" i="1"/>
  <c r="AJ130" i="1"/>
  <c r="AJ131" i="1" s="1"/>
  <c r="AJ132" i="1"/>
  <c r="AJ133" i="1" s="1"/>
  <c r="AJ128" i="1"/>
  <c r="AJ129" i="1" s="1"/>
  <c r="AJ134" i="1"/>
  <c r="AJ126" i="1"/>
  <c r="AJ127" i="1" s="1"/>
  <c r="AJ104" i="1"/>
  <c r="AK69" i="1"/>
  <c r="AJ70" i="1"/>
  <c r="AJ103" i="1"/>
  <c r="AJ109" i="1"/>
  <c r="AJ105" i="1"/>
  <c r="AJ118" i="1"/>
  <c r="AJ102" i="1"/>
  <c r="AJ110" i="1"/>
  <c r="AJ106" i="1"/>
  <c r="AJ112" i="1"/>
  <c r="AJ117" i="1"/>
  <c r="AJ108" i="1"/>
  <c r="AJ101" i="1"/>
  <c r="AJ111" i="1"/>
  <c r="AJ113" i="1"/>
  <c r="AJ107" i="1"/>
  <c r="AJ116" i="1"/>
  <c r="AJ115" i="1"/>
  <c r="AJ114" i="1"/>
  <c r="AK113" i="1" l="1"/>
  <c r="AK73" i="1"/>
  <c r="AD80" i="1"/>
  <c r="AD71" i="1" s="1"/>
  <c r="AD72" i="1" s="1"/>
  <c r="AE80" i="1"/>
  <c r="AE71" i="1" s="1"/>
  <c r="AE72" i="1" s="1"/>
  <c r="AF80" i="1"/>
  <c r="AF71" i="1" s="1"/>
  <c r="AF72" i="1" s="1"/>
  <c r="AC80" i="1"/>
  <c r="AC71" i="1" s="1"/>
  <c r="AC72" i="1" s="1"/>
  <c r="AJ92" i="1"/>
  <c r="AJ94" i="1"/>
  <c r="AK83" i="1"/>
  <c r="AK77" i="1"/>
  <c r="AJ74" i="1"/>
  <c r="AJ75" i="1"/>
  <c r="AJ87" i="1"/>
  <c r="AJ86" i="1"/>
  <c r="AJ85" i="1"/>
  <c r="AJ88" i="1"/>
  <c r="AJ91" i="1"/>
  <c r="AJ120" i="1"/>
  <c r="AJ136" i="1"/>
  <c r="AJ125" i="1"/>
  <c r="AJ137" i="1" s="1"/>
  <c r="AJ119" i="1"/>
  <c r="AK128" i="1"/>
  <c r="AK129" i="1" s="1"/>
  <c r="AK124" i="1"/>
  <c r="AK130" i="1"/>
  <c r="AK131" i="1" s="1"/>
  <c r="AK126" i="1"/>
  <c r="AK127" i="1" s="1"/>
  <c r="AK132" i="1"/>
  <c r="AK133" i="1" s="1"/>
  <c r="AK134" i="1"/>
  <c r="AK104" i="1"/>
  <c r="AK103" i="1"/>
  <c r="AK114" i="1"/>
  <c r="AK108" i="1"/>
  <c r="AK111" i="1"/>
  <c r="AK102" i="1"/>
  <c r="AK109" i="1"/>
  <c r="AK107" i="1"/>
  <c r="AK115" i="1"/>
  <c r="AK112" i="1"/>
  <c r="AK117" i="1"/>
  <c r="AK110" i="1"/>
  <c r="AK105" i="1"/>
  <c r="AK70" i="1"/>
  <c r="AK101" i="1"/>
  <c r="AK118" i="1"/>
  <c r="AK106" i="1"/>
  <c r="AK116" i="1"/>
  <c r="AG84" i="1" l="1"/>
  <c r="AG78" i="1"/>
  <c r="AG81" i="1"/>
  <c r="AG82" i="1" s="1"/>
  <c r="AG79" i="1"/>
  <c r="AG76" i="1"/>
  <c r="AH78" i="1"/>
  <c r="AH79" i="1"/>
  <c r="AH81" i="1"/>
  <c r="AH82" i="1" s="1"/>
  <c r="AH84" i="1"/>
  <c r="AH76" i="1"/>
  <c r="AK75" i="1"/>
  <c r="AK74" i="1"/>
  <c r="AK92" i="1"/>
  <c r="AK94" i="1"/>
  <c r="AK88" i="1"/>
  <c r="AK85" i="1"/>
  <c r="AK91" i="1"/>
  <c r="AK86" i="1"/>
  <c r="AK87" i="1"/>
  <c r="AK120" i="1"/>
  <c r="AK119" i="1"/>
  <c r="AK125" i="1"/>
  <c r="AK137" i="1" s="1"/>
  <c r="AK136" i="1"/>
  <c r="AG80" i="1" l="1"/>
  <c r="AG71" i="1" s="1"/>
  <c r="AG72" i="1" s="1"/>
  <c r="AH80" i="1"/>
  <c r="AH71" i="1" s="1"/>
  <c r="AH72" i="1" s="1"/>
  <c r="AI78" i="1"/>
  <c r="AI76" i="1"/>
  <c r="AJ76" i="1"/>
  <c r="AJ78" i="1"/>
  <c r="AI84" i="1"/>
  <c r="AI79" i="1"/>
  <c r="AI81" i="1"/>
  <c r="AI82" i="1" s="1"/>
  <c r="AJ79" i="1"/>
  <c r="AJ81" i="1"/>
  <c r="AJ82" i="1" s="1"/>
  <c r="AJ84" i="1"/>
  <c r="AL92" i="1"/>
  <c r="AL84" i="1" s="1"/>
  <c r="AL94" i="1"/>
  <c r="AL79" i="1" s="1"/>
  <c r="AL88" i="1"/>
  <c r="AL85" i="1"/>
  <c r="AL91" i="1"/>
  <c r="AM68" i="1"/>
  <c r="AL87" i="1"/>
  <c r="AL86" i="1"/>
  <c r="AK79" i="1" l="1"/>
  <c r="AK84" i="1"/>
  <c r="AK81" i="1"/>
  <c r="AK82" i="1" s="1"/>
  <c r="AK78" i="1"/>
  <c r="AK76" i="1"/>
  <c r="AL76" i="1"/>
  <c r="AI80" i="1"/>
  <c r="AI71" i="1" s="1"/>
  <c r="AI72" i="1" s="1"/>
  <c r="AJ80" i="1"/>
  <c r="AJ71" i="1" s="1"/>
  <c r="AJ72" i="1" s="1"/>
  <c r="AL81" i="1"/>
  <c r="AL82" i="1" s="1"/>
  <c r="AL80" i="1" s="1"/>
  <c r="AM92" i="1"/>
  <c r="AM91" i="1"/>
  <c r="AM94" i="1"/>
  <c r="AK80" i="1" l="1"/>
  <c r="AK71" i="1" s="1"/>
  <c r="AK72" i="1" s="1"/>
  <c r="AM84" i="1"/>
  <c r="AL78" i="1"/>
  <c r="AL71" i="1" s="1"/>
  <c r="AL72" i="1" s="1"/>
</calcChain>
</file>

<file path=xl/sharedStrings.xml><?xml version="1.0" encoding="utf-8"?>
<sst xmlns="http://schemas.openxmlformats.org/spreadsheetml/2006/main" count="440" uniqueCount="349">
  <si>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</si>
  <si>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</si>
  <si>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</si>
  <si>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</si>
  <si>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</si>
  <si>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</si>
  <si>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</si>
  <si>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</si>
  <si>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</si>
  <si>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</si>
  <si>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</si>
  <si>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</si>
  <si>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</si>
  <si>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</si>
  <si>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</si>
  <si>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</si>
  <si>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</si>
  <si>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</si>
  <si>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</si>
  <si>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</si>
  <si>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</si>
  <si>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</si>
  <si>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</si>
  <si>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</si>
  <si>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</si>
  <si>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</si>
  <si>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</si>
  <si>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</si>
  <si>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</si>
  <si>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</si>
  <si>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</si>
  <si>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</si>
  <si>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</si>
  <si>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</si>
  <si>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</si>
  <si>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</si>
  <si>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</si>
  <si>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</si>
  <si>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</si>
  <si>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</si>
  <si>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</si>
  <si>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</si>
  <si>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</si>
  <si>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</si>
  <si>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</si>
  <si>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</si>
  <si>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</si>
  <si>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</si>
  <si>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</si>
  <si>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</si>
  <si>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</si>
  <si>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</si>
  <si>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</si>
  <si>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</si>
  <si>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</si>
  <si>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</si>
  <si>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</si>
  <si>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</si>
  <si>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</si>
  <si>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</si>
  <si>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</si>
  <si>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</si>
  <si>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</si>
  <si>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</si>
  <si>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</si>
  <si>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</si>
  <si>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</si>
  <si>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</si>
  <si>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</si>
  <si>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</si>
  <si>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</si>
  <si>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</si>
  <si>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</si>
  <si>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</si>
  <si>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</si>
  <si>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</si>
  <si>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</si>
  <si>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</si>
  <si>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</si>
  <si>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</si>
  <si>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</si>
  <si>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</si>
  <si>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</si>
  <si>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</si>
  <si>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</si>
  <si>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</si>
  <si>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</si>
  <si>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</si>
  <si>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</si>
  <si>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</si>
  <si>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</si>
  <si>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</si>
  <si>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</si>
  <si>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</si>
  <si>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</si>
  <si>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</si>
  <si>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</si>
  <si>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</si>
  <si>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</si>
  <si>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</si>
  <si>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</si>
  <si>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</si>
  <si>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</si>
  <si>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</si>
  <si>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</si>
  <si>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</si>
  <si>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</si>
  <si>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</si>
  <si>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</si>
  <si>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</si>
  <si>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</si>
  <si>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</si>
  <si>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</si>
  <si>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</si>
  <si>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</si>
  <si>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</si>
  <si>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</si>
  <si>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</si>
  <si>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</si>
  <si>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</si>
  <si>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</si>
  <si>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</si>
  <si>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</si>
  <si>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</si>
  <si>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</si>
  <si>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</si>
  <si>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</si>
  <si>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</si>
  <si>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</si>
  <si>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</si>
  <si>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</si>
  <si>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</si>
  <si>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</si>
  <si>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</si>
  <si>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</si>
  <si>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</si>
  <si>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</si>
  <si>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</si>
  <si>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</si>
  <si>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</si>
  <si>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</si>
  <si>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</si>
  <si>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</si>
  <si>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</si>
  <si>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</si>
  <si>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</si>
  <si>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</si>
  <si>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</si>
  <si>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</si>
  <si>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</si>
  <si>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</si>
  <si>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</si>
  <si>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</si>
  <si>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</si>
  <si>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</si>
  <si>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</si>
  <si>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</si>
  <si>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</si>
  <si>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</si>
  <si>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</si>
  <si>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</si>
  <si>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</si>
  <si>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</si>
  <si>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</si>
  <si>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</si>
  <si>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</si>
  <si>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</si>
  <si>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</si>
  <si>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</si>
  <si>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</si>
  <si>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</si>
  <si>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</si>
  <si>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</si>
  <si>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</si>
  <si>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</si>
  <si>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</si>
  <si>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</si>
  <si>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</si>
  <si>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</si>
  <si>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</si>
  <si>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</si>
  <si>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</si>
  <si>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</si>
  <si>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</si>
  <si>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</si>
  <si>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</si>
  <si>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</si>
  <si>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</si>
  <si>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</si>
  <si>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</si>
  <si>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</si>
  <si>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</si>
  <si>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</si>
  <si>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</si>
  <si>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</si>
  <si>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</si>
  <si>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</si>
  <si>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</si>
  <si>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</si>
  <si>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</si>
  <si>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</si>
  <si>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</si>
  <si>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</si>
  <si>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</si>
  <si>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</si>
  <si>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</si>
  <si>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</si>
  <si>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</si>
  <si>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</si>
  <si>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</si>
  <si>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</si>
  <si>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</si>
  <si>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</si>
  <si>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</si>
  <si>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</si>
  <si>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</si>
  <si>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</si>
  <si>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</si>
  <si>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</si>
  <si>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</si>
  <si>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</si>
  <si>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</si>
  <si>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</si>
  <si>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</si>
  <si>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</si>
  <si>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</si>
  <si>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</si>
  <si>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</si>
  <si>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</si>
  <si>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</si>
  <si>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</si>
  <si>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</si>
  <si>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</si>
  <si>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</si>
  <si>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</si>
  <si>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</si>
  <si>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</si>
  <si>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</si>
  <si>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</si>
  <si>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</si>
  <si>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</si>
  <si>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</si>
  <si>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</si>
  <si>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</si>
  <si>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</si>
  <si>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</si>
  <si>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</si>
  <si>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</si>
  <si>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</si>
  <si>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</si>
  <si>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</si>
  <si>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</si>
  <si>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</si>
  <si>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</si>
  <si>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</si>
  <si>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</si>
  <si>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</si>
  <si>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</si>
  <si>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</si>
  <si>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</si>
  <si>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</si>
  <si>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</si>
  <si>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</si>
  <si>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</si>
  <si>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</si>
  <si>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</si>
  <si>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</si>
  <si>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</si>
  <si>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</si>
  <si>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</si>
  <si>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</si>
  <si>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</si>
  <si>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</si>
  <si>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</si>
  <si>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</si>
  <si>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</si>
  <si>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</si>
  <si>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</si>
  <si>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</si>
  <si>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</si>
  <si>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</si>
  <si>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</si>
  <si>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</si>
  <si>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</si>
  <si>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</si>
  <si>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</si>
  <si>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</si>
  <si>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</si>
  <si>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</si>
  <si>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</si>
  <si>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</si>
  <si>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</si>
  <si>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</si>
  <si>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</si>
  <si>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</si>
  <si>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</si>
  <si>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</si>
  <si>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</si>
  <si>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</si>
  <si>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</si>
  <si>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</si>
  <si>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</si>
  <si>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</si>
  <si>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</si>
  <si>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</si>
  <si>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</si>
  <si>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</si>
  <si>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</si>
  <si>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</si>
  <si>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</si>
  <si>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</si>
  <si>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</si>
  <si>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</si>
  <si>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</si>
  <si>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</si>
  <si>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</si>
  <si>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</si>
  <si>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</si>
  <si>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</si>
  <si>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</si>
  <si>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</si>
  <si>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</si>
  <si>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</si>
  <si>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</si>
  <si>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</si>
  <si>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</si>
  <si>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</si>
  <si>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</si>
  <si>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</si>
  <si>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</si>
  <si>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China's Foreign Ministry has escalated its attacks on Australia, accusing the Federal Government of conducting espionage in China, alleging that Chinese authorities had disrupted an Australian spy operation 2 years ago.</t>
  </si>
  <si>
    <t>$708 billion budgeted for childcare services to replace JobKeeper until 27/9/2020, covering 25% of the fee revenue they received before COVID.  The amount is also meant to cover other services that will begin winding back JobKeeper support from 13/7/2020</t>
  </si>
  <si>
    <t>A new study of Chinese students show 40% who had intended to study overseas still plan to, while just under 5-% of those who had studied overseas plan to return to their studies after the borders reopen.  Many students in relation to plans related to study Australia cited among other reasons, Chinese media reports of Chinese being discriminated against and abused in Australia and deterioration in Sino-Australian relations.</t>
  </si>
  <si>
    <t>DFAT issues a travel advisory warning that Australians at risk of arbitrary arrest in China stating that Chinese Govt authorities have detained foreigners because they were allegedly "endangering national security", with the Australian govt warning that the Chinese govt could engage in "hostage diplomacy".</t>
  </si>
  <si>
    <t>Victoria locks down several public housing high rise apartment blocks and a couple more postocdes as new case numbers continue to rise.</t>
  </si>
  <si>
    <t>Childcare fees return as Victorian students from prep to year 10 to return to remote learning.</t>
  </si>
  <si>
    <t>Victoria goes back into lockdown, NSW and SA close their borders to Victoria. Australia to allow international university students to return before all state borders open, this was a previous criteria for accepting international students again.  QLD lifts its borders for all states except VIC.  Court challenges of QLD border closures have been adjourned to a future date while Clive Palmer's challenge of the WA border closure to return to court on 13 - 14th July.</t>
  </si>
  <si>
    <t>PM Scott Morrison pleads with Australians to stop embracing each other - even in their own homes to prevent another wave of COVID-19 from spreading across Australia.  Morrison also announced a new limit on the number of Australian citizens and permanent residents permitted to return from overseas of 4000 per week, down from 8000.</t>
  </si>
  <si>
    <t>NSW tightens restrictions on border with Vic</t>
  </si>
  <si>
    <t>Wearing face masks in public becomes mandatory in Melbourne and Mitchell Shire, state of emergency to extend by another four weeks.</t>
  </si>
  <si>
    <t>Chinese authorities have ratcheted up their travel advice for Australia, alleging Australian law enforcement agencies have been "arbitrarily" searching Chinese citizens and seizing their possessions, days after DFAT had upgraded its travel warnings to China "Authorities have detained foreigners because they're 'endangering national security'. Australians may also be at risk of arbitrary detention."  The Chinese travel advisory was potentially in response to the DFAT advisory as well as a move by China in response to Australia tearing up an extradition treaty with Hong Kong and offering some of its citizens the possibility of permanent residency in Australia following China's decision to impose new national security laws in the city as well as to Australia's new defence strategy calling out China as a regional threat, on top of Australia's call for an investigation into China's handling of the COVID-19 outbreak.</t>
  </si>
  <si>
    <t>The next Fed Parliament sitting scheduled for Aug 4 has been cancelled because of growing coronavirus case numbers in VIC and NSW despite the irony of Fed politicians encouraging people to get back to work amid the virus while not willing to put themselves at risk.</t>
  </si>
  <si>
    <t>https://www.abc.net.au/news/2020-03-17/coronavirus-cases-data-reveals-how-covid-19-spreads-in-australia/12060704?nw=0</t>
  </si>
  <si>
    <t>Cases in Vic peak 12/8</t>
  </si>
  <si>
    <t>Outdoor gatherings &lt; 500, VIC declares State of Emergency</t>
  </si>
  <si>
    <t>SA, WA, NT borders closed.</t>
  </si>
  <si>
    <t>Stage 2 Shutdown. Non-essential businesses closed</t>
  </si>
  <si>
    <t>A number of public housing high rise apartment blocks are cleared after testing, others with COVID-19 cases to have those "strongly encouraged" to move to a hotel to quarantine.  Lockdown expanded to metropolitan Melbourne and Mitchell Shire in Vic</t>
  </si>
  <si>
    <t>Curfew and 5km travel restrictions for metropolitan Melbourne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</si>
</sst>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30">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9" fillId="0" borderId="0" xfId="0" applyFont="1"/>
    <xf numFmtId="14" fontId="12" fillId="10" borderId="19" xfId="0" applyNumberFormat="1" applyFont="1" applyFill="1" applyBorder="1"/>
    <xf numFmtId="14" fontId="12" fillId="10" borderId="20" xfId="0" applyNumberFormat="1" applyFont="1" applyFill="1" applyBorder="1"/>
    <xf numFmtId="14" fontId="12" fillId="15" borderId="20" xfId="0" applyNumberFormat="1" applyFont="1" applyFill="1" applyBorder="1"/>
    <xf numFmtId="14" fontId="12" fillId="4" borderId="20" xfId="0" applyNumberFormat="1" applyFont="1" applyFill="1" applyBorder="1"/>
    <xf numFmtId="14" fontId="12" fillId="8" borderId="20" xfId="0" applyNumberFormat="1" applyFont="1" applyFill="1" applyBorder="1"/>
    <xf numFmtId="171" fontId="12" fillId="0" borderId="7" xfId="0" applyNumberFormat="1" applyFont="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71" fontId="11" fillId="0" borderId="2" xfId="0" applyNumberFormat="1" applyFont="1" applyBorder="1"/>
    <xf numFmtId="171" fontId="0" fillId="2" borderId="1" xfId="0" applyNumberFormat="1" applyFill="1" applyBorder="1"/>
    <xf numFmtId="171" fontId="0" fillId="2" borderId="7" xfId="0" applyNumberFormat="1" applyFill="1" applyBorder="1"/>
    <xf numFmtId="171" fontId="0" fillId="2" borderId="2" xfId="0" applyNumberFormat="1" applyFill="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12" fillId="0" borderId="0" xfId="0" applyFont="1"/>
    <xf numFmtId="14" fontId="12" fillId="0" borderId="0" xfId="0" applyNumberFormat="1" applyFont="1"/>
    <xf numFmtId="14" fontId="12" fillId="0" borderId="20" xfId="0" applyNumberFormat="1" applyFont="1" applyFill="1" applyBorder="1"/>
    <xf numFmtId="171" fontId="12" fillId="0" borderId="2" xfId="0" applyNumberFormat="1" applyFont="1" applyBorder="1"/>
    <xf numFmtId="171" fontId="11" fillId="2" borderId="6" xfId="0" applyNumberFormat="1" applyFont="1" applyFill="1" applyBorder="1"/>
    <xf numFmtId="171" fontId="11" fillId="2" borderId="8" xfId="0" applyNumberFormat="1" applyFont="1" applyFill="1" applyBorder="1"/>
    <xf numFmtId="0" fontId="12" fillId="3" borderId="0" xfId="0" applyFont="1" applyFill="1"/>
    <xf numFmtId="14" fontId="12" fillId="3" borderId="0" xfId="0" applyNumberFormat="1" applyFont="1" applyFill="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4" fontId="9" fillId="8" borderId="20" xfId="0" applyNumberFormat="1" applyFont="1" applyFill="1" applyBorder="1"/>
    <xf numFmtId="14" fontId="9" fillId="0" borderId="21" xfId="0" applyNumberFormat="1" applyFon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13.043478260869554</c:v>
                </c:pt>
                <c:pt idx="1">
                  <c:v>26.086956521739108</c:v>
                </c:pt>
                <c:pt idx="2">
                  <c:v>52.173913043478215</c:v>
                </c:pt>
                <c:pt idx="3">
                  <c:v>104.34782608695643</c:v>
                </c:pt>
                <c:pt idx="4">
                  <c:v>208.69565217391286</c:v>
                </c:pt>
                <c:pt idx="5">
                  <c:v>417.39130434782572</c:v>
                </c:pt>
                <c:pt idx="6">
                  <c:v>834.78260869565145</c:v>
                </c:pt>
                <c:pt idx="7">
                  <c:v>1669.5652173913029</c:v>
                </c:pt>
                <c:pt idx="8">
                  <c:v>3339.1304347826058</c:v>
                </c:pt>
                <c:pt idx="9">
                  <c:v>6678.2608695652116</c:v>
                </c:pt>
                <c:pt idx="10">
                  <c:v>13356.521739130423</c:v>
                </c:pt>
                <c:pt idx="11">
                  <c:v>26713.043478260846</c:v>
                </c:pt>
                <c:pt idx="12">
                  <c:v>53426.086956521693</c:v>
                </c:pt>
                <c:pt idx="13">
                  <c:v>106852.17391304339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86.956521739130437</c:v>
                </c:pt>
                <c:pt idx="4">
                  <c:v>173.91304347826087</c:v>
                </c:pt>
                <c:pt idx="5">
                  <c:v>347.82608695652175</c:v>
                </c:pt>
                <c:pt idx="6">
                  <c:v>695.6521739130435</c:v>
                </c:pt>
                <c:pt idx="7">
                  <c:v>1391.304347826087</c:v>
                </c:pt>
                <c:pt idx="8">
                  <c:v>2782.608695652174</c:v>
                </c:pt>
                <c:pt idx="9">
                  <c:v>5565.217391304348</c:v>
                </c:pt>
                <c:pt idx="10">
                  <c:v>11130.434782608696</c:v>
                </c:pt>
                <c:pt idx="11">
                  <c:v>22260.869565217392</c:v>
                </c:pt>
                <c:pt idx="12">
                  <c:v>44521.739130434784</c:v>
                </c:pt>
                <c:pt idx="13">
                  <c:v>89043.478260869568</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Projections!$I$69:$AL$69</c15:sqref>
                  </c15:fullRef>
                </c:ext>
              </c:extLst>
              <c:f>Projections!$I$69:$AB$69</c:f>
              <c:numCache>
                <c:formatCode>#,##0_ ;[Red]\-#,##0\ </c:formatCode>
                <c:ptCount val="20"/>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32000</c:v>
                </c:pt>
              </c:numCache>
            </c:numRef>
          </c:val>
          <c:smooth val="0"/>
          <c:extLst>
            <c:ext xmlns:c16="http://schemas.microsoft.com/office/drawing/2014/chart" uri="{C3380CC4-5D6E-409C-BE32-E72D297353CC}">
              <c16:uniqueId val="{00000004-8BCC-427B-903C-670C749E04E9}"/>
            </c:ext>
          </c:extLst>
        </c:ser>
        <c:ser>
          <c:idx val="1"/>
          <c:order val="1"/>
          <c:tx>
            <c:strRef>
              <c:f>Projections!$A$93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Projections!$I$93:$AL$93</c15:sqref>
                  </c15:fullRef>
                </c:ext>
              </c:extLst>
              <c:f>Projections!$I$93:$AB$93</c:f>
              <c:numCache>
                <c:formatCode>General</c:formatCode>
                <c:ptCount val="20"/>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Projections!$I$83:$AL$83</c15:sqref>
                  </c15:fullRef>
                </c:ext>
              </c:extLst>
              <c:f>Projections!$I$83:$AB$83</c:f>
              <c:numCache>
                <c:formatCode>#,##0_ ;[Red]\-#,##0\ </c:formatCode>
                <c:ptCount val="20"/>
                <c:pt idx="0">
                  <c:v>0.359375</c:v>
                </c:pt>
                <c:pt idx="1">
                  <c:v>0.71875</c:v>
                </c:pt>
                <c:pt idx="2">
                  <c:v>1.4375</c:v>
                </c:pt>
                <c:pt idx="3">
                  <c:v>2.875</c:v>
                </c:pt>
                <c:pt idx="4">
                  <c:v>5.75</c:v>
                </c:pt>
                <c:pt idx="5">
                  <c:v>11.5</c:v>
                </c:pt>
                <c:pt idx="6">
                  <c:v>23</c:v>
                </c:pt>
                <c:pt idx="7">
                  <c:v>46</c:v>
                </c:pt>
                <c:pt idx="8">
                  <c:v>69</c:v>
                </c:pt>
                <c:pt idx="9">
                  <c:v>75.900000000000006</c:v>
                </c:pt>
                <c:pt idx="10">
                  <c:v>80.5</c:v>
                </c:pt>
                <c:pt idx="11">
                  <c:v>85.1</c:v>
                </c:pt>
                <c:pt idx="12">
                  <c:v>89.7</c:v>
                </c:pt>
                <c:pt idx="13">
                  <c:v>92</c:v>
                </c:pt>
                <c:pt idx="14">
                  <c:v>110.39999999999999</c:v>
                </c:pt>
                <c:pt idx="15">
                  <c:v>128.80000000000001</c:v>
                </c:pt>
                <c:pt idx="16">
                  <c:v>147.19999999999999</c:v>
                </c:pt>
                <c:pt idx="17">
                  <c:v>165.6</c:v>
                </c:pt>
                <c:pt idx="18">
                  <c:v>184</c:v>
                </c:pt>
                <c:pt idx="19">
                  <c:v>368</c:v>
                </c:pt>
              </c:numCache>
            </c:numRef>
          </c:val>
          <c:smooth val="0"/>
          <c:extLst>
            <c:ext xmlns:c16="http://schemas.microsoft.com/office/drawing/2014/chart" uri="{C3380CC4-5D6E-409C-BE32-E72D297353CC}">
              <c16:uniqueId val="{00000000-50BE-40C1-B679-81AF0BCE3FCD}"/>
            </c:ext>
          </c:extLst>
        </c:ser>
        <c:ser>
          <c:idx val="1"/>
          <c:order val="1"/>
          <c:tx>
            <c:strRef>
              <c:f>Projections!$A$97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Projections!$I$97:$AL$97</c15:sqref>
                  </c15:fullRef>
                </c:ext>
              </c:extLst>
              <c:f>Projections!$I$97:$AB$97</c:f>
              <c:numCache>
                <c:formatCode>General</c:formatCode>
                <c:ptCount val="20"/>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Projections!$I$79:$AL$79</c15:sqref>
                  </c15:fullRef>
                </c:ext>
              </c:extLst>
              <c:f>Projections!$I$79:$AB$79</c:f>
              <c:numCache>
                <c:formatCode>#,##0_ ;[Red]\-#,##0\ </c:formatCode>
                <c:ptCount val="20"/>
                <c:pt idx="0">
                  <c:v>1.7030504712717078</c:v>
                </c:pt>
                <c:pt idx="1">
                  <c:v>2.4853707793011099</c:v>
                </c:pt>
                <c:pt idx="2">
                  <c:v>3.4347168367228527</c:v>
                </c:pt>
                <c:pt idx="3">
                  <c:v>7.012668081091574</c:v>
                </c:pt>
                <c:pt idx="4">
                  <c:v>12.853963939235117</c:v>
                </c:pt>
                <c:pt idx="5">
                  <c:v>23.484848484848467</c:v>
                </c:pt>
                <c:pt idx="6">
                  <c:v>38.884113117712715</c:v>
                </c:pt>
                <c:pt idx="7">
                  <c:v>121.92507093173786</c:v>
                </c:pt>
                <c:pt idx="8">
                  <c:v>731.45879127056787</c:v>
                </c:pt>
                <c:pt idx="9">
                  <c:v>1057.2071025929192</c:v>
                </c:pt>
                <c:pt idx="10">
                  <c:v>4736.5220443738754</c:v>
                </c:pt>
                <c:pt idx="11">
                  <c:v>5036.877634524013</c:v>
                </c:pt>
                <c:pt idx="12">
                  <c:v>793.7863905260831</c:v>
                </c:pt>
                <c:pt idx="13">
                  <c:v>913.72758617240356</c:v>
                </c:pt>
                <c:pt idx="14">
                  <c:v>838.03803288898689</c:v>
                </c:pt>
                <c:pt idx="15">
                  <c:v>1105.7781760119433</c:v>
                </c:pt>
                <c:pt idx="16">
                  <c:v>1071.5242888737735</c:v>
                </c:pt>
                <c:pt idx="17">
                  <c:v>1142.5332127234392</c:v>
                </c:pt>
                <c:pt idx="18">
                  <c:v>1265.0464107428936</c:v>
                </c:pt>
                <c:pt idx="19">
                  <c:v>3678.9942813779135</c:v>
                </c:pt>
              </c:numCache>
            </c:numRef>
          </c:val>
          <c:smooth val="0"/>
          <c:extLst>
            <c:ext xmlns:c16="http://schemas.microsoft.com/office/drawing/2014/chart" uri="{C3380CC4-5D6E-409C-BE32-E72D297353CC}">
              <c16:uniqueId val="{00000000-A3C2-4B4C-996C-CDB1A252886F}"/>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Projections!$I$80:$AL$80</c15:sqref>
                  </c15:fullRef>
                </c:ext>
              </c:extLst>
              <c:f>Projections!$I$80:$AB$80</c:f>
              <c:numCache>
                <c:formatCode>#,##0_ ;[Red]\-#,##0\ </c:formatCode>
                <c:ptCount val="20"/>
                <c:pt idx="0">
                  <c:v>1.7030504712717078</c:v>
                </c:pt>
                <c:pt idx="1">
                  <c:v>2.4853707793011099</c:v>
                </c:pt>
                <c:pt idx="2">
                  <c:v>3.4347168367228527</c:v>
                </c:pt>
                <c:pt idx="3">
                  <c:v>7.012668081091574</c:v>
                </c:pt>
                <c:pt idx="4">
                  <c:v>12.476450987284158</c:v>
                </c:pt>
                <c:pt idx="5">
                  <c:v>22.78358167673931</c:v>
                </c:pt>
                <c:pt idx="6">
                  <c:v>37.785628269227864</c:v>
                </c:pt>
                <c:pt idx="7">
                  <c:v>119.14674895412503</c:v>
                </c:pt>
                <c:pt idx="8">
                  <c:v>702.81532221750035</c:v>
                </c:pt>
                <c:pt idx="9">
                  <c:v>891.00001542967982</c:v>
                </c:pt>
                <c:pt idx="10">
                  <c:v>3640.6446906322476</c:v>
                </c:pt>
                <c:pt idx="11">
                  <c:v>466.85149796662057</c:v>
                </c:pt>
                <c:pt idx="12">
                  <c:v>0</c:v>
                </c:pt>
                <c:pt idx="13">
                  <c:v>0</c:v>
                </c:pt>
                <c:pt idx="14">
                  <c:v>0</c:v>
                </c:pt>
                <c:pt idx="15">
                  <c:v>0</c:v>
                </c:pt>
                <c:pt idx="16">
                  <c:v>0</c:v>
                </c:pt>
                <c:pt idx="17">
                  <c:v>0</c:v>
                </c:pt>
                <c:pt idx="18">
                  <c:v>0</c:v>
                </c:pt>
                <c:pt idx="19">
                  <c:v>2530.0626688775169</c:v>
                </c:pt>
              </c:numCache>
            </c:numRef>
          </c:val>
          <c:smooth val="0"/>
          <c:extLst>
            <c:ext xmlns:c16="http://schemas.microsoft.com/office/drawing/2014/chart" uri="{C3380CC4-5D6E-409C-BE32-E72D297353CC}">
              <c16:uniqueId val="{00000001-A3C2-4B4C-996C-CDB1A252886F}"/>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Projections!$I$81:$AL$81</c15:sqref>
                  </c15:fullRef>
                </c:ext>
              </c:extLst>
              <c:f>Projections!$I$81:$AB$81</c:f>
              <c:numCache>
                <c:formatCode>#,##0_ ;[Red]\-#,##0\ </c:formatCode>
                <c:ptCount val="20"/>
                <c:pt idx="0">
                  <c:v>8.7890330536326944E-2</c:v>
                </c:pt>
                <c:pt idx="1">
                  <c:v>0.12826399627192997</c:v>
                </c:pt>
                <c:pt idx="2">
                  <c:v>0.18718387607890333</c:v>
                </c:pt>
                <c:pt idx="3">
                  <c:v>0.27316943555726469</c:v>
                </c:pt>
                <c:pt idx="4">
                  <c:v>0.37751295195095813</c:v>
                </c:pt>
                <c:pt idx="5">
                  <c:v>0.70126680810915754</c:v>
                </c:pt>
                <c:pt idx="6">
                  <c:v>1.0984848484848484</c:v>
                </c:pt>
                <c:pt idx="7">
                  <c:v>2.7783219776128321</c:v>
                </c:pt>
                <c:pt idx="8">
                  <c:v>29.037382012547795</c:v>
                </c:pt>
                <c:pt idx="9">
                  <c:v>160.9005489972343</c:v>
                </c:pt>
                <c:pt idx="10">
                  <c:v>221.62491061296288</c:v>
                </c:pt>
                <c:pt idx="11">
                  <c:v>304.40064840296537</c:v>
                </c:pt>
                <c:pt idx="12">
                  <c:v>602.94013751455145</c:v>
                </c:pt>
                <c:pt idx="13">
                  <c:v>740.15517913279825</c:v>
                </c:pt>
                <c:pt idx="14">
                  <c:v>102.05857020877852</c:v>
                </c:pt>
                <c:pt idx="15">
                  <c:v>80.694690935399308</c:v>
                </c:pt>
                <c:pt idx="16">
                  <c:v>99.973440388760366</c:v>
                </c:pt>
                <c:pt idx="17">
                  <c:v>93.806183125307072</c:v>
                </c:pt>
                <c:pt idx="18">
                  <c:v>111.11114568254115</c:v>
                </c:pt>
                <c:pt idx="19">
                  <c:v>275.43594243181542</c:v>
                </c:pt>
              </c:numCache>
            </c:numRef>
          </c:val>
          <c:smooth val="0"/>
          <c:extLst>
            <c:ext xmlns:c16="http://schemas.microsoft.com/office/drawing/2014/chart" uri="{C3380CC4-5D6E-409C-BE32-E72D297353CC}">
              <c16:uniqueId val="{00000002-A3C2-4B4C-996C-CDB1A252886F}"/>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Projections!$I$82:$AL$82</c15:sqref>
                  </c15:fullRef>
                </c:ext>
              </c:extLst>
              <c:f>Projections!$I$82:$AB$82</c:f>
              <c:numCache>
                <c:formatCode>#,##0_ ;[Red]\-#,##0\ </c:formatCode>
                <c:ptCount val="20"/>
                <c:pt idx="0">
                  <c:v>8.7890330536326944E-2</c:v>
                </c:pt>
                <c:pt idx="1">
                  <c:v>0.12826399627192997</c:v>
                </c:pt>
                <c:pt idx="2">
                  <c:v>0.18718387607890333</c:v>
                </c:pt>
                <c:pt idx="3">
                  <c:v>0.27316943555726469</c:v>
                </c:pt>
                <c:pt idx="4">
                  <c:v>0.37751295195095813</c:v>
                </c:pt>
                <c:pt idx="5">
                  <c:v>0.70126680810915754</c:v>
                </c:pt>
                <c:pt idx="6">
                  <c:v>1.0984848484848484</c:v>
                </c:pt>
                <c:pt idx="7">
                  <c:v>2.7783219776128321</c:v>
                </c:pt>
                <c:pt idx="8">
                  <c:v>28.643469053067541</c:v>
                </c:pt>
                <c:pt idx="9">
                  <c:v>157.69554803414994</c:v>
                </c:pt>
                <c:pt idx="10">
                  <c:v>145.39385929725285</c:v>
                </c:pt>
                <c:pt idx="11">
                  <c:v>237.21166161917341</c:v>
                </c:pt>
                <c:pt idx="12">
                  <c:v>469.85587129033956</c:v>
                </c:pt>
                <c:pt idx="13">
                  <c:v>576.78405357962311</c:v>
                </c:pt>
                <c:pt idx="14">
                  <c:v>0</c:v>
                </c:pt>
                <c:pt idx="15">
                  <c:v>0</c:v>
                </c:pt>
                <c:pt idx="16">
                  <c:v>0</c:v>
                </c:pt>
                <c:pt idx="17">
                  <c:v>18.512344893372912</c:v>
                </c:pt>
                <c:pt idx="18">
                  <c:v>19.738387065300785</c:v>
                </c:pt>
                <c:pt idx="19">
                  <c:v>148.93130135752602</c:v>
                </c:pt>
              </c:numCache>
            </c:numRef>
          </c:val>
          <c:smooth val="0"/>
          <c:extLst>
            <c:ext xmlns:c16="http://schemas.microsoft.com/office/drawing/2014/chart" uri="{C3380CC4-5D6E-409C-BE32-E72D297353CC}">
              <c16:uniqueId val="{00000003-A3C2-4B4C-996C-CDB1A252886F}"/>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Projections!$I$83:$AL$83</c15:sqref>
                  </c15:fullRef>
                </c:ext>
              </c:extLst>
              <c:f>Projections!$I$83:$AB$83</c:f>
              <c:numCache>
                <c:formatCode>#,##0_ ;[Red]\-#,##0\ </c:formatCode>
                <c:ptCount val="20"/>
                <c:pt idx="0">
                  <c:v>0.359375</c:v>
                </c:pt>
                <c:pt idx="1">
                  <c:v>0.71875</c:v>
                </c:pt>
                <c:pt idx="2">
                  <c:v>1.4375</c:v>
                </c:pt>
                <c:pt idx="3">
                  <c:v>2.875</c:v>
                </c:pt>
                <c:pt idx="4">
                  <c:v>5.75</c:v>
                </c:pt>
                <c:pt idx="5">
                  <c:v>11.5</c:v>
                </c:pt>
                <c:pt idx="6">
                  <c:v>23</c:v>
                </c:pt>
                <c:pt idx="7">
                  <c:v>46</c:v>
                </c:pt>
                <c:pt idx="8">
                  <c:v>69</c:v>
                </c:pt>
                <c:pt idx="9">
                  <c:v>75.900000000000006</c:v>
                </c:pt>
                <c:pt idx="10">
                  <c:v>80.5</c:v>
                </c:pt>
                <c:pt idx="11">
                  <c:v>85.1</c:v>
                </c:pt>
                <c:pt idx="12">
                  <c:v>89.7</c:v>
                </c:pt>
                <c:pt idx="13">
                  <c:v>92</c:v>
                </c:pt>
                <c:pt idx="14">
                  <c:v>110.39999999999999</c:v>
                </c:pt>
                <c:pt idx="15">
                  <c:v>128.80000000000001</c:v>
                </c:pt>
                <c:pt idx="16">
                  <c:v>147.19999999999999</c:v>
                </c:pt>
                <c:pt idx="17">
                  <c:v>165.6</c:v>
                </c:pt>
                <c:pt idx="18">
                  <c:v>184</c:v>
                </c:pt>
                <c:pt idx="19">
                  <c:v>368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Projections!$I$101:$AL$101</c15:sqref>
                  </c15:fullRef>
                </c:ext>
              </c:extLst>
              <c:f>Projections!$I$101:$AD$101</c:f>
              <c:numCache>
                <c:formatCode>#,##0</c:formatCode>
                <c:ptCount val="22"/>
                <c:pt idx="0">
                  <c:v>2.1660433969648216</c:v>
                </c:pt>
                <c:pt idx="1">
                  <c:v>4.3320867939296432</c:v>
                </c:pt>
                <c:pt idx="2">
                  <c:v>8.6641735878592865</c:v>
                </c:pt>
                <c:pt idx="3">
                  <c:v>17.328347175718573</c:v>
                </c:pt>
                <c:pt idx="4">
                  <c:v>34.656694351437146</c:v>
                </c:pt>
                <c:pt idx="5">
                  <c:v>69.313388702874292</c:v>
                </c:pt>
                <c:pt idx="6">
                  <c:v>138.62677740574858</c:v>
                </c:pt>
                <c:pt idx="7">
                  <c:v>277.25355481149717</c:v>
                </c:pt>
                <c:pt idx="8">
                  <c:v>415.88033221724572</c:v>
                </c:pt>
                <c:pt idx="9">
                  <c:v>457.4683654389703</c:v>
                </c:pt>
                <c:pt idx="10">
                  <c:v>485.19372092012003</c:v>
                </c:pt>
                <c:pt idx="11">
                  <c:v>512.91907640126976</c:v>
                </c:pt>
                <c:pt idx="12">
                  <c:v>540.64443188241944</c:v>
                </c:pt>
                <c:pt idx="13">
                  <c:v>554.50710962299434</c:v>
                </c:pt>
                <c:pt idx="14">
                  <c:v>665.40853154759316</c:v>
                </c:pt>
                <c:pt idx="15">
                  <c:v>776.30995347219209</c:v>
                </c:pt>
                <c:pt idx="16">
                  <c:v>887.21137539679091</c:v>
                </c:pt>
                <c:pt idx="17">
                  <c:v>998.11279732138973</c:v>
                </c:pt>
                <c:pt idx="18">
                  <c:v>1109.0142192459887</c:v>
                </c:pt>
                <c:pt idx="19">
                  <c:v>2218.0284384919773</c:v>
                </c:pt>
                <c:pt idx="20">
                  <c:v>4436.0568769839547</c:v>
                </c:pt>
                <c:pt idx="21">
                  <c:v>8872.1137539679094</c:v>
                </c:pt>
              </c:numCache>
            </c:numRef>
          </c:val>
          <c:smooth val="0"/>
          <c:extLst>
            <c:ext xmlns:c16="http://schemas.microsoft.com/office/drawing/2014/chart" uri="{C3380CC4-5D6E-409C-BE32-E72D297353CC}">
              <c16:uniqueId val="{00000000-7972-43AB-83E8-C2C99B4277B0}"/>
            </c:ext>
          </c:extLst>
        </c:ser>
        <c:ser>
          <c:idx val="2"/>
          <c:order val="1"/>
          <c:tx>
            <c:strRef>
              <c:f>Projections!$A$103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Projections!$I$103:$AL$103</c15:sqref>
                  </c15:fullRef>
                </c:ext>
              </c:extLst>
              <c:f>Projections!$I$103:$AD$103</c:f>
              <c:numCache>
                <c:formatCode>#,##0</c:formatCode>
                <c:ptCount val="22"/>
                <c:pt idx="0">
                  <c:v>1.863014741053181</c:v>
                </c:pt>
                <c:pt idx="1">
                  <c:v>3.726029482106362</c:v>
                </c:pt>
                <c:pt idx="2">
                  <c:v>7.452058964212724</c:v>
                </c:pt>
                <c:pt idx="3">
                  <c:v>14.904117928425448</c:v>
                </c:pt>
                <c:pt idx="4">
                  <c:v>29.808235856850896</c:v>
                </c:pt>
                <c:pt idx="5">
                  <c:v>59.616471713701792</c:v>
                </c:pt>
                <c:pt idx="6">
                  <c:v>119.23294342740358</c:v>
                </c:pt>
                <c:pt idx="7">
                  <c:v>238.46588685480717</c:v>
                </c:pt>
                <c:pt idx="8">
                  <c:v>357.69883028221074</c:v>
                </c:pt>
                <c:pt idx="9">
                  <c:v>393.46871331043184</c:v>
                </c:pt>
                <c:pt idx="10">
                  <c:v>417.31530199591253</c:v>
                </c:pt>
                <c:pt idx="11">
                  <c:v>441.16189068139323</c:v>
                </c:pt>
                <c:pt idx="12">
                  <c:v>465.00847936687398</c:v>
                </c:pt>
                <c:pt idx="13">
                  <c:v>476.93177370961433</c:v>
                </c:pt>
                <c:pt idx="14">
                  <c:v>572.31812845153718</c:v>
                </c:pt>
                <c:pt idx="15">
                  <c:v>667.70448319346008</c:v>
                </c:pt>
                <c:pt idx="16">
                  <c:v>763.09083793538286</c:v>
                </c:pt>
                <c:pt idx="17">
                  <c:v>858.47719267730577</c:v>
                </c:pt>
                <c:pt idx="18">
                  <c:v>953.86354741922867</c:v>
                </c:pt>
                <c:pt idx="19">
                  <c:v>1907.7270948384573</c:v>
                </c:pt>
                <c:pt idx="20">
                  <c:v>3815.4541896769147</c:v>
                </c:pt>
                <c:pt idx="21">
                  <c:v>7630.9083793538293</c:v>
                </c:pt>
              </c:numCache>
            </c:numRef>
          </c:val>
          <c:smooth val="0"/>
          <c:extLst>
            <c:ext xmlns:c16="http://schemas.microsoft.com/office/drawing/2014/chart" uri="{C3380CC4-5D6E-409C-BE32-E72D297353CC}">
              <c16:uniqueId val="{00000001-7972-43AB-83E8-C2C99B4277B0}"/>
            </c:ext>
          </c:extLst>
        </c:ser>
        <c:ser>
          <c:idx val="4"/>
          <c:order val="2"/>
          <c:tx>
            <c:strRef>
              <c:f>Projections!$A$105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Projections!$I$105:$AL$105</c15:sqref>
                  </c15:fullRef>
                </c:ext>
              </c:extLst>
              <c:f>Projections!$I$105:$AD$105</c:f>
              <c:numCache>
                <c:formatCode>#,##0</c:formatCode>
                <c:ptCount val="22"/>
                <c:pt idx="0">
                  <c:v>2.8210201330608342</c:v>
                </c:pt>
                <c:pt idx="1">
                  <c:v>5.6420402661216684</c:v>
                </c:pt>
                <c:pt idx="2">
                  <c:v>11.284080532243337</c:v>
                </c:pt>
                <c:pt idx="3">
                  <c:v>22.568161064486674</c:v>
                </c:pt>
                <c:pt idx="4">
                  <c:v>45.136322128973347</c:v>
                </c:pt>
                <c:pt idx="5">
                  <c:v>90.272644257946695</c:v>
                </c:pt>
                <c:pt idx="6">
                  <c:v>180.54528851589339</c:v>
                </c:pt>
                <c:pt idx="7">
                  <c:v>361.09057703178678</c:v>
                </c:pt>
                <c:pt idx="8">
                  <c:v>541.63586554768017</c:v>
                </c:pt>
                <c:pt idx="9">
                  <c:v>595.79945210244819</c:v>
                </c:pt>
                <c:pt idx="10">
                  <c:v>631.90850980562686</c:v>
                </c:pt>
                <c:pt idx="11">
                  <c:v>668.01756750880554</c:v>
                </c:pt>
                <c:pt idx="12">
                  <c:v>704.12662521198422</c:v>
                </c:pt>
                <c:pt idx="13">
                  <c:v>722.18115406357356</c:v>
                </c:pt>
                <c:pt idx="14">
                  <c:v>866.61738487628827</c:v>
                </c:pt>
                <c:pt idx="15">
                  <c:v>1011.053615689003</c:v>
                </c:pt>
                <c:pt idx="16">
                  <c:v>1155.4898465017177</c:v>
                </c:pt>
                <c:pt idx="17">
                  <c:v>1299.9260773144324</c:v>
                </c:pt>
                <c:pt idx="18">
                  <c:v>1444.3623081271471</c:v>
                </c:pt>
                <c:pt idx="19">
                  <c:v>2888.7246162542942</c:v>
                </c:pt>
                <c:pt idx="20">
                  <c:v>5777.4492325085885</c:v>
                </c:pt>
                <c:pt idx="21">
                  <c:v>11554.898465017177</c:v>
                </c:pt>
              </c:numCache>
            </c:numRef>
          </c:val>
          <c:smooth val="0"/>
          <c:extLst>
            <c:ext xmlns:c16="http://schemas.microsoft.com/office/drawing/2014/chart" uri="{C3380CC4-5D6E-409C-BE32-E72D297353CC}">
              <c16:uniqueId val="{00000002-7972-43AB-83E8-C2C99B4277B0}"/>
            </c:ext>
          </c:extLst>
        </c:ser>
        <c:ser>
          <c:idx val="6"/>
          <c:order val="3"/>
          <c:tx>
            <c:strRef>
              <c:f>Projections!$A$107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Projections!$I$107:$AL$107</c15:sqref>
                  </c15:fullRef>
                </c:ext>
              </c:extLst>
              <c:f>Projections!$I$107:$AD$107</c:f>
              <c:numCache>
                <c:formatCode>#,##0</c:formatCode>
                <c:ptCount val="22"/>
                <c:pt idx="0">
                  <c:v>3.8007674914119232</c:v>
                </c:pt>
                <c:pt idx="1">
                  <c:v>7.6015349828238463</c:v>
                </c:pt>
                <c:pt idx="2">
                  <c:v>15.203069965647693</c:v>
                </c:pt>
                <c:pt idx="3">
                  <c:v>30.406139931295385</c:v>
                </c:pt>
                <c:pt idx="4">
                  <c:v>60.812279862590771</c:v>
                </c:pt>
                <c:pt idx="5">
                  <c:v>121.62455972518154</c:v>
                </c:pt>
                <c:pt idx="6">
                  <c:v>243.24911945036308</c:v>
                </c:pt>
                <c:pt idx="7">
                  <c:v>486.49823890072616</c:v>
                </c:pt>
                <c:pt idx="8">
                  <c:v>729.74735835108925</c:v>
                </c:pt>
                <c:pt idx="9">
                  <c:v>802.72209418619821</c:v>
                </c:pt>
                <c:pt idx="10">
                  <c:v>851.37191807627084</c:v>
                </c:pt>
                <c:pt idx="11">
                  <c:v>900.02174196634348</c:v>
                </c:pt>
                <c:pt idx="12">
                  <c:v>948.67156585641601</c:v>
                </c:pt>
                <c:pt idx="13">
                  <c:v>972.99647780145233</c:v>
                </c:pt>
                <c:pt idx="14">
                  <c:v>1167.5957733617429</c:v>
                </c:pt>
                <c:pt idx="15">
                  <c:v>1362.1950689220332</c:v>
                </c:pt>
                <c:pt idx="16">
                  <c:v>1556.7943644823238</c:v>
                </c:pt>
                <c:pt idx="17">
                  <c:v>1751.3936600426143</c:v>
                </c:pt>
                <c:pt idx="18">
                  <c:v>1945.9929556029047</c:v>
                </c:pt>
                <c:pt idx="19">
                  <c:v>3891.9859112058093</c:v>
                </c:pt>
                <c:pt idx="20">
                  <c:v>7783.9718224116186</c:v>
                </c:pt>
                <c:pt idx="21">
                  <c:v>15567.943644823237</c:v>
                </c:pt>
              </c:numCache>
            </c:numRef>
          </c:val>
          <c:smooth val="0"/>
          <c:extLst>
            <c:ext xmlns:c16="http://schemas.microsoft.com/office/drawing/2014/chart" uri="{C3380CC4-5D6E-409C-BE32-E72D297353CC}">
              <c16:uniqueId val="{00000003-7972-43AB-83E8-C2C99B4277B0}"/>
            </c:ext>
          </c:extLst>
        </c:ser>
        <c:ser>
          <c:idx val="8"/>
          <c:order val="4"/>
          <c:tx>
            <c:strRef>
              <c:f>Projections!$A$109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Projections!$I$109:$AL$109</c15:sqref>
                  </c15:fullRef>
                </c:ext>
              </c:extLst>
              <c:f>Projections!$I$109:$AD$109</c:f>
              <c:numCache>
                <c:formatCode>#,##0</c:formatCode>
                <c:ptCount val="22"/>
                <c:pt idx="0">
                  <c:v>4.0317758838109317</c:v>
                </c:pt>
                <c:pt idx="1">
                  <c:v>8.0635517676218633</c:v>
                </c:pt>
                <c:pt idx="2">
                  <c:v>16.127103535243727</c:v>
                </c:pt>
                <c:pt idx="3">
                  <c:v>32.254207070487453</c:v>
                </c:pt>
                <c:pt idx="4">
                  <c:v>64.508414140974907</c:v>
                </c:pt>
                <c:pt idx="5">
                  <c:v>129.01682828194981</c:v>
                </c:pt>
                <c:pt idx="6">
                  <c:v>258.03365656389963</c:v>
                </c:pt>
                <c:pt idx="7">
                  <c:v>516.06731312779925</c:v>
                </c:pt>
                <c:pt idx="8">
                  <c:v>774.10096969169899</c:v>
                </c:pt>
                <c:pt idx="9">
                  <c:v>851.51106666086889</c:v>
                </c:pt>
                <c:pt idx="10">
                  <c:v>903.11779797364875</c:v>
                </c:pt>
                <c:pt idx="11">
                  <c:v>954.72452928642872</c:v>
                </c:pt>
                <c:pt idx="12">
                  <c:v>1006.3312605992086</c:v>
                </c:pt>
                <c:pt idx="13">
                  <c:v>1032.1346262555985</c:v>
                </c:pt>
                <c:pt idx="14">
                  <c:v>1238.5615515067184</c:v>
                </c:pt>
                <c:pt idx="15">
                  <c:v>1444.988476757838</c:v>
                </c:pt>
                <c:pt idx="16">
                  <c:v>1651.4154020089577</c:v>
                </c:pt>
                <c:pt idx="17">
                  <c:v>1857.8423272600776</c:v>
                </c:pt>
                <c:pt idx="18">
                  <c:v>2064.269252511197</c:v>
                </c:pt>
                <c:pt idx="19">
                  <c:v>4128.538505022394</c:v>
                </c:pt>
                <c:pt idx="20">
                  <c:v>8257.077010044788</c:v>
                </c:pt>
                <c:pt idx="21">
                  <c:v>16514.154020089576</c:v>
                </c:pt>
              </c:numCache>
            </c:numRef>
          </c:val>
          <c:smooth val="0"/>
          <c:extLst>
            <c:ext xmlns:c16="http://schemas.microsoft.com/office/drawing/2014/chart" uri="{C3380CC4-5D6E-409C-BE32-E72D297353CC}">
              <c16:uniqueId val="{00000004-7972-43AB-83E8-C2C99B4277B0}"/>
            </c:ext>
          </c:extLst>
        </c:ser>
        <c:ser>
          <c:idx val="10"/>
          <c:order val="5"/>
          <c:tx>
            <c:strRef>
              <c:f>Projections!$A$111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Projections!$I$111:$AL$111</c15:sqref>
                  </c15:fullRef>
                </c:ext>
              </c:extLst>
              <c:f>Projections!$I$111:$AD$111</c:f>
              <c:numCache>
                <c:formatCode>#,##0</c:formatCode>
                <c:ptCount val="22"/>
                <c:pt idx="0">
                  <c:v>5.4246206026873072</c:v>
                </c:pt>
                <c:pt idx="1">
                  <c:v>10.849241205374614</c:v>
                </c:pt>
                <c:pt idx="2">
                  <c:v>21.698482410749229</c:v>
                </c:pt>
                <c:pt idx="3">
                  <c:v>43.396964821498457</c:v>
                </c:pt>
                <c:pt idx="4">
                  <c:v>86.793929642996915</c:v>
                </c:pt>
                <c:pt idx="5">
                  <c:v>173.58785928599383</c:v>
                </c:pt>
                <c:pt idx="6">
                  <c:v>347.17571857198766</c:v>
                </c:pt>
                <c:pt idx="7">
                  <c:v>694.35143714397532</c:v>
                </c:pt>
                <c:pt idx="8">
                  <c:v>1041.5271557159629</c:v>
                </c:pt>
                <c:pt idx="9">
                  <c:v>1145.6798712875593</c:v>
                </c:pt>
                <c:pt idx="10">
                  <c:v>1215.1150150019569</c:v>
                </c:pt>
                <c:pt idx="11">
                  <c:v>1284.5501587163542</c:v>
                </c:pt>
                <c:pt idx="12">
                  <c:v>1353.9853024307517</c:v>
                </c:pt>
                <c:pt idx="13">
                  <c:v>1388.7028742879506</c:v>
                </c:pt>
                <c:pt idx="14">
                  <c:v>1666.4434491455406</c:v>
                </c:pt>
                <c:pt idx="15">
                  <c:v>1944.1840240031308</c:v>
                </c:pt>
                <c:pt idx="16">
                  <c:v>2221.9245988607208</c:v>
                </c:pt>
                <c:pt idx="17">
                  <c:v>2499.6651737183111</c:v>
                </c:pt>
                <c:pt idx="18">
                  <c:v>2777.4057485759013</c:v>
                </c:pt>
                <c:pt idx="19">
                  <c:v>5554.8114971518025</c:v>
                </c:pt>
                <c:pt idx="20">
                  <c:v>11109.622994303605</c:v>
                </c:pt>
                <c:pt idx="21">
                  <c:v>22219.24598860721</c:v>
                </c:pt>
              </c:numCache>
            </c:numRef>
          </c:val>
          <c:smooth val="0"/>
          <c:extLst>
            <c:ext xmlns:c16="http://schemas.microsoft.com/office/drawing/2014/chart" uri="{C3380CC4-5D6E-409C-BE32-E72D297353CC}">
              <c16:uniqueId val="{00000005-7972-43AB-83E8-C2C99B4277B0}"/>
            </c:ext>
          </c:extLst>
        </c:ser>
        <c:ser>
          <c:idx val="12"/>
          <c:order val="6"/>
          <c:tx>
            <c:strRef>
              <c:f>Projections!$A$113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Projections!$I$113:$AL$113</c15:sqref>
                  </c15:fullRef>
                </c:ext>
              </c:extLst>
              <c:f>Projections!$I$113:$AD$113</c:f>
              <c:numCache>
                <c:formatCode>#,##0</c:formatCode>
                <c:ptCount val="22"/>
                <c:pt idx="0">
                  <c:v>7.1272883419576472</c:v>
                </c:pt>
                <c:pt idx="1">
                  <c:v>14.254576683915294</c:v>
                </c:pt>
                <c:pt idx="2">
                  <c:v>28.509153367830589</c:v>
                </c:pt>
                <c:pt idx="3">
                  <c:v>57.018306735661177</c:v>
                </c:pt>
                <c:pt idx="4">
                  <c:v>114.03661347132235</c:v>
                </c:pt>
                <c:pt idx="5">
                  <c:v>228.07322694264471</c:v>
                </c:pt>
                <c:pt idx="6">
                  <c:v>456.14645388528942</c:v>
                </c:pt>
                <c:pt idx="7">
                  <c:v>912.29290777057884</c:v>
                </c:pt>
                <c:pt idx="8">
                  <c:v>1368.4393616558682</c:v>
                </c:pt>
                <c:pt idx="9">
                  <c:v>1505.2832978214551</c:v>
                </c:pt>
                <c:pt idx="10">
                  <c:v>1596.5125885985128</c:v>
                </c:pt>
                <c:pt idx="11">
                  <c:v>1687.7418793755708</c:v>
                </c:pt>
                <c:pt idx="12">
                  <c:v>1778.9711701526287</c:v>
                </c:pt>
                <c:pt idx="13">
                  <c:v>1824.5858155411577</c:v>
                </c:pt>
                <c:pt idx="14">
                  <c:v>2189.5029786493892</c:v>
                </c:pt>
                <c:pt idx="15">
                  <c:v>2554.4201417576205</c:v>
                </c:pt>
                <c:pt idx="16">
                  <c:v>2919.3373048658523</c:v>
                </c:pt>
                <c:pt idx="17">
                  <c:v>3284.2544679740836</c:v>
                </c:pt>
                <c:pt idx="18">
                  <c:v>3649.1716310823153</c:v>
                </c:pt>
                <c:pt idx="19">
                  <c:v>7298.3432621646307</c:v>
                </c:pt>
                <c:pt idx="20">
                  <c:v>14596.686524329261</c:v>
                </c:pt>
                <c:pt idx="21">
                  <c:v>29193.373048658523</c:v>
                </c:pt>
              </c:numCache>
            </c:numRef>
          </c:val>
          <c:smooth val="0"/>
          <c:extLst>
            <c:ext xmlns:c16="http://schemas.microsoft.com/office/drawing/2014/chart" uri="{C3380CC4-5D6E-409C-BE32-E72D297353CC}">
              <c16:uniqueId val="{00000006-7972-43AB-83E8-C2C99B4277B0}"/>
            </c:ext>
          </c:extLst>
        </c:ser>
        <c:ser>
          <c:idx val="14"/>
          <c:order val="7"/>
          <c:tx>
            <c:strRef>
              <c:f>Projections!$A$115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Projections!$I$115:$AL$115</c15:sqref>
                  </c15:fullRef>
                </c:ext>
              </c:extLst>
              <c:f>Projections!$I$115:$AD$115</c:f>
              <c:numCache>
                <c:formatCode>#,##0</c:formatCode>
                <c:ptCount val="22"/>
                <c:pt idx="0">
                  <c:v>2.5995238509370791</c:v>
                </c:pt>
                <c:pt idx="1">
                  <c:v>5.1990477018741581</c:v>
                </c:pt>
                <c:pt idx="2">
                  <c:v>10.398095403748316</c:v>
                </c:pt>
                <c:pt idx="3">
                  <c:v>20.796190807496632</c:v>
                </c:pt>
                <c:pt idx="4">
                  <c:v>41.592381614993265</c:v>
                </c:pt>
                <c:pt idx="5">
                  <c:v>83.18476322998653</c:v>
                </c:pt>
                <c:pt idx="6">
                  <c:v>166.36952645997306</c:v>
                </c:pt>
                <c:pt idx="7">
                  <c:v>332.73905291994612</c:v>
                </c:pt>
                <c:pt idx="8">
                  <c:v>499.10857937991915</c:v>
                </c:pt>
                <c:pt idx="9">
                  <c:v>549.01943731791107</c:v>
                </c:pt>
                <c:pt idx="10">
                  <c:v>582.29334260990572</c:v>
                </c:pt>
                <c:pt idx="11">
                  <c:v>615.56724790190026</c:v>
                </c:pt>
                <c:pt idx="12">
                  <c:v>648.84115319389491</c:v>
                </c:pt>
                <c:pt idx="13">
                  <c:v>665.47810583989224</c:v>
                </c:pt>
                <c:pt idx="14">
                  <c:v>798.57372700787062</c:v>
                </c:pt>
                <c:pt idx="15">
                  <c:v>931.66934817584911</c:v>
                </c:pt>
                <c:pt idx="16">
                  <c:v>1064.7649693438275</c:v>
                </c:pt>
                <c:pt idx="17">
                  <c:v>1197.8605905118059</c:v>
                </c:pt>
                <c:pt idx="18">
                  <c:v>1330.9562116797845</c:v>
                </c:pt>
                <c:pt idx="19">
                  <c:v>2661.9124233595689</c:v>
                </c:pt>
                <c:pt idx="20">
                  <c:v>5323.8248467191379</c:v>
                </c:pt>
                <c:pt idx="21">
                  <c:v>10647.649693438276</c:v>
                </c:pt>
              </c:numCache>
            </c:numRef>
          </c:val>
          <c:smooth val="0"/>
          <c:extLst>
            <c:ext xmlns:c16="http://schemas.microsoft.com/office/drawing/2014/chart" uri="{C3380CC4-5D6E-409C-BE32-E72D297353CC}">
              <c16:uniqueId val="{00000007-7972-43AB-83E8-C2C99B4277B0}"/>
            </c:ext>
          </c:extLst>
        </c:ser>
        <c:ser>
          <c:idx val="16"/>
          <c:order val="8"/>
          <c:tx>
            <c:strRef>
              <c:f>Projections!$A$117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Projections!$I$117:$AL$117</c15:sqref>
                  </c15:fullRef>
                </c:ext>
              </c:extLst>
              <c:f>Projections!$I$117:$AD$117</c:f>
              <c:numCache>
                <c:formatCode>#,##0</c:formatCode>
                <c:ptCount val="22"/>
                <c:pt idx="0">
                  <c:v>1.4159455581162761</c:v>
                </c:pt>
                <c:pt idx="1">
                  <c:v>2.8318911162325522</c:v>
                </c:pt>
                <c:pt idx="2">
                  <c:v>5.6637822324651044</c:v>
                </c:pt>
                <c:pt idx="3">
                  <c:v>11.327564464930209</c:v>
                </c:pt>
                <c:pt idx="4">
                  <c:v>22.655128929860417</c:v>
                </c:pt>
                <c:pt idx="5">
                  <c:v>45.310257859720835</c:v>
                </c:pt>
                <c:pt idx="6">
                  <c:v>90.62051571944167</c:v>
                </c:pt>
                <c:pt idx="7">
                  <c:v>181.24103143888334</c:v>
                </c:pt>
                <c:pt idx="8">
                  <c:v>271.86154715832504</c:v>
                </c:pt>
                <c:pt idx="9">
                  <c:v>299.0477018741575</c:v>
                </c:pt>
                <c:pt idx="10">
                  <c:v>317.17180501804586</c:v>
                </c:pt>
                <c:pt idx="11">
                  <c:v>335.29590816193416</c:v>
                </c:pt>
                <c:pt idx="12">
                  <c:v>353.42001130582253</c:v>
                </c:pt>
                <c:pt idx="13">
                  <c:v>362.48206287776668</c:v>
                </c:pt>
                <c:pt idx="14">
                  <c:v>434.97847545332002</c:v>
                </c:pt>
                <c:pt idx="15">
                  <c:v>507.47488802887335</c:v>
                </c:pt>
                <c:pt idx="16">
                  <c:v>579.97130060442669</c:v>
                </c:pt>
                <c:pt idx="17">
                  <c:v>652.46771317998002</c:v>
                </c:pt>
                <c:pt idx="18">
                  <c:v>724.96412575553336</c:v>
                </c:pt>
                <c:pt idx="19">
                  <c:v>1449.9282515110667</c:v>
                </c:pt>
                <c:pt idx="20">
                  <c:v>2899.8565030221334</c:v>
                </c:pt>
                <c:pt idx="21">
                  <c:v>5799.7130060442669</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Projections!$I$102:$AL$102</c15:sqref>
                  </c15:fullRef>
                </c:ext>
              </c:extLst>
              <c:f>Projections!$I$102:$AD$102</c:f>
              <c:numCache>
                <c:formatCode>#,##0</c:formatCode>
                <c:ptCount val="22"/>
                <c:pt idx="0">
                  <c:v>0.37504891942427276</c:v>
                </c:pt>
                <c:pt idx="1">
                  <c:v>0.75009783884854553</c:v>
                </c:pt>
                <c:pt idx="2">
                  <c:v>1.5001956776970911</c:v>
                </c:pt>
                <c:pt idx="3">
                  <c:v>3.0003913553941821</c:v>
                </c:pt>
                <c:pt idx="4">
                  <c:v>6.0007827107883642</c:v>
                </c:pt>
                <c:pt idx="5">
                  <c:v>12.001565421576728</c:v>
                </c:pt>
                <c:pt idx="6">
                  <c:v>24.003130843153457</c:v>
                </c:pt>
                <c:pt idx="7">
                  <c:v>48.006261686306914</c:v>
                </c:pt>
                <c:pt idx="8">
                  <c:v>72.009392529460371</c:v>
                </c:pt>
                <c:pt idx="9">
                  <c:v>79.210331782406399</c:v>
                </c:pt>
                <c:pt idx="10">
                  <c:v>84.010957951037099</c:v>
                </c:pt>
                <c:pt idx="11">
                  <c:v>88.811584119667785</c:v>
                </c:pt>
                <c:pt idx="12">
                  <c:v>93.612210288298471</c:v>
                </c:pt>
                <c:pt idx="13">
                  <c:v>96.012523372613828</c:v>
                </c:pt>
                <c:pt idx="14">
                  <c:v>115.21502804713658</c:v>
                </c:pt>
                <c:pt idx="15">
                  <c:v>134.41753272165937</c:v>
                </c:pt>
                <c:pt idx="16">
                  <c:v>153.62003739618211</c:v>
                </c:pt>
                <c:pt idx="17">
                  <c:v>172.82254207070488</c:v>
                </c:pt>
                <c:pt idx="18">
                  <c:v>192.02504674522766</c:v>
                </c:pt>
                <c:pt idx="19">
                  <c:v>384.05009349045531</c:v>
                </c:pt>
                <c:pt idx="20">
                  <c:v>768.10018698091062</c:v>
                </c:pt>
                <c:pt idx="21">
                  <c:v>1536.2003739618212</c:v>
                </c:pt>
              </c:numCache>
            </c:numRef>
          </c:val>
          <c:smooth val="0"/>
          <c:extLst>
            <c:ext xmlns:c16="http://schemas.microsoft.com/office/drawing/2014/chart" uri="{C3380CC4-5D6E-409C-BE32-E72D297353CC}">
              <c16:uniqueId val="{00000000-FE50-482D-905D-7C3B099138E4}"/>
            </c:ext>
          </c:extLst>
        </c:ser>
        <c:ser>
          <c:idx val="3"/>
          <c:order val="1"/>
          <c:tx>
            <c:strRef>
              <c:f>Projections!$A$103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Projections!$I$104:$AL$104</c15:sqref>
                  </c15:fullRef>
                </c:ext>
              </c:extLst>
              <c:f>Projections!$I$104:$AD$104</c:f>
              <c:numCache>
                <c:formatCode>#,##0</c:formatCode>
                <c:ptCount val="22"/>
                <c:pt idx="0">
                  <c:v>0.11550419619950429</c:v>
                </c:pt>
                <c:pt idx="1">
                  <c:v>0.23100839239900858</c:v>
                </c:pt>
                <c:pt idx="2">
                  <c:v>0.46201678479801717</c:v>
                </c:pt>
                <c:pt idx="3">
                  <c:v>0.92403356959603433</c:v>
                </c:pt>
                <c:pt idx="4">
                  <c:v>1.8480671391920687</c:v>
                </c:pt>
                <c:pt idx="5">
                  <c:v>3.6961342783841373</c:v>
                </c:pt>
                <c:pt idx="6">
                  <c:v>7.3922685567682747</c:v>
                </c:pt>
                <c:pt idx="7">
                  <c:v>14.784537113536549</c:v>
                </c:pt>
                <c:pt idx="8">
                  <c:v>22.176805670304823</c:v>
                </c:pt>
                <c:pt idx="9">
                  <c:v>24.394486237335308</c:v>
                </c:pt>
                <c:pt idx="10">
                  <c:v>25.872939948688959</c:v>
                </c:pt>
                <c:pt idx="11">
                  <c:v>27.351393660042614</c:v>
                </c:pt>
                <c:pt idx="12">
                  <c:v>28.829847371396273</c:v>
                </c:pt>
                <c:pt idx="13">
                  <c:v>29.569074227073099</c:v>
                </c:pt>
                <c:pt idx="14">
                  <c:v>35.482889072487716</c:v>
                </c:pt>
                <c:pt idx="15">
                  <c:v>41.396703917902336</c:v>
                </c:pt>
                <c:pt idx="16">
                  <c:v>47.310518763316949</c:v>
                </c:pt>
                <c:pt idx="17">
                  <c:v>53.224333608731577</c:v>
                </c:pt>
                <c:pt idx="18">
                  <c:v>59.138148454146197</c:v>
                </c:pt>
                <c:pt idx="19">
                  <c:v>118.27629690829239</c:v>
                </c:pt>
                <c:pt idx="20">
                  <c:v>236.55259381658479</c:v>
                </c:pt>
                <c:pt idx="21">
                  <c:v>473.10518763316958</c:v>
                </c:pt>
              </c:numCache>
            </c:numRef>
          </c:val>
          <c:smooth val="0"/>
          <c:extLst>
            <c:ext xmlns:c16="http://schemas.microsoft.com/office/drawing/2014/chart" uri="{C3380CC4-5D6E-409C-BE32-E72D297353CC}">
              <c16:uniqueId val="{00000001-FE50-482D-905D-7C3B099138E4}"/>
            </c:ext>
          </c:extLst>
        </c:ser>
        <c:ser>
          <c:idx val="5"/>
          <c:order val="2"/>
          <c:tx>
            <c:strRef>
              <c:f>Projections!$A$105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Projections!$I$106:$AL$106</c15:sqref>
                  </c15:fullRef>
                </c:ext>
              </c:extLst>
              <c:f>Projections!$I$106:$AD$106</c:f>
              <c:numCache>
                <c:formatCode>#,##0</c:formatCode>
                <c:ptCount val="22"/>
                <c:pt idx="0">
                  <c:v>2.4459712136365611E-2</c:v>
                </c:pt>
                <c:pt idx="1">
                  <c:v>4.8919424272731223E-2</c:v>
                </c:pt>
                <c:pt idx="2">
                  <c:v>9.7838848545462445E-2</c:v>
                </c:pt>
                <c:pt idx="3">
                  <c:v>0.19567769709092489</c:v>
                </c:pt>
                <c:pt idx="4">
                  <c:v>0.39135539418184978</c:v>
                </c:pt>
                <c:pt idx="5">
                  <c:v>0.78271078836369956</c:v>
                </c:pt>
                <c:pt idx="6">
                  <c:v>1.5654215767273991</c:v>
                </c:pt>
                <c:pt idx="7">
                  <c:v>3.1308431534547982</c:v>
                </c:pt>
                <c:pt idx="8">
                  <c:v>4.6962647301821976</c:v>
                </c:pt>
                <c:pt idx="9">
                  <c:v>5.1658912032004176</c:v>
                </c:pt>
                <c:pt idx="10">
                  <c:v>5.478975518545897</c:v>
                </c:pt>
                <c:pt idx="11">
                  <c:v>5.7920598338913774</c:v>
                </c:pt>
                <c:pt idx="12">
                  <c:v>6.1051441492368568</c:v>
                </c:pt>
                <c:pt idx="13">
                  <c:v>6.2616863069095965</c:v>
                </c:pt>
                <c:pt idx="14">
                  <c:v>7.514023568291516</c:v>
                </c:pt>
                <c:pt idx="15">
                  <c:v>8.7663608296734346</c:v>
                </c:pt>
                <c:pt idx="16">
                  <c:v>10.018698091055354</c:v>
                </c:pt>
                <c:pt idx="17">
                  <c:v>11.271035352437274</c:v>
                </c:pt>
                <c:pt idx="18">
                  <c:v>12.523372613819193</c:v>
                </c:pt>
                <c:pt idx="19">
                  <c:v>25.046745227638386</c:v>
                </c:pt>
                <c:pt idx="20">
                  <c:v>50.093490455276772</c:v>
                </c:pt>
                <c:pt idx="21">
                  <c:v>100.18698091055354</c:v>
                </c:pt>
              </c:numCache>
            </c:numRef>
          </c:val>
          <c:smooth val="0"/>
          <c:extLst>
            <c:ext xmlns:c16="http://schemas.microsoft.com/office/drawing/2014/chart" uri="{C3380CC4-5D6E-409C-BE32-E72D297353CC}">
              <c16:uniqueId val="{00000002-FE50-482D-905D-7C3B099138E4}"/>
            </c:ext>
          </c:extLst>
        </c:ser>
        <c:ser>
          <c:idx val="7"/>
          <c:order val="3"/>
          <c:tx>
            <c:strRef>
              <c:f>Projections!$A$107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Projections!$I$108:$AL$108</c15:sqref>
                  </c15:fullRef>
                </c:ext>
              </c:extLst>
              <c:f>Projections!$I$108:$AD$108</c:f>
              <c:numCache>
                <c:formatCode>#,##0</c:formatCode>
                <c:ptCount val="22"/>
                <c:pt idx="0">
                  <c:v>1.6306474757577075E-2</c:v>
                </c:pt>
                <c:pt idx="1">
                  <c:v>3.2612949515154151E-2</c:v>
                </c:pt>
                <c:pt idx="2">
                  <c:v>6.5225899030308301E-2</c:v>
                </c:pt>
                <c:pt idx="3">
                  <c:v>0.1304517980606166</c:v>
                </c:pt>
                <c:pt idx="4">
                  <c:v>0.26090359612123321</c:v>
                </c:pt>
                <c:pt idx="5">
                  <c:v>0.52180719224246641</c:v>
                </c:pt>
                <c:pt idx="6">
                  <c:v>1.0436143844849328</c:v>
                </c:pt>
                <c:pt idx="7">
                  <c:v>2.0872287689698656</c:v>
                </c:pt>
                <c:pt idx="8">
                  <c:v>3.1308431534547982</c:v>
                </c:pt>
                <c:pt idx="9">
                  <c:v>3.4439274688002781</c:v>
                </c:pt>
                <c:pt idx="10">
                  <c:v>3.652650345697265</c:v>
                </c:pt>
                <c:pt idx="11">
                  <c:v>3.8613732225942514</c:v>
                </c:pt>
                <c:pt idx="12">
                  <c:v>4.0700960994912379</c:v>
                </c:pt>
                <c:pt idx="13">
                  <c:v>4.1744575379397313</c:v>
                </c:pt>
                <c:pt idx="14">
                  <c:v>5.0093490455276779</c:v>
                </c:pt>
                <c:pt idx="15">
                  <c:v>5.8442405531156236</c:v>
                </c:pt>
                <c:pt idx="16">
                  <c:v>6.6791320607035702</c:v>
                </c:pt>
                <c:pt idx="17">
                  <c:v>7.5140235682915169</c:v>
                </c:pt>
                <c:pt idx="18">
                  <c:v>8.3489150758794626</c:v>
                </c:pt>
                <c:pt idx="19">
                  <c:v>16.697830151758925</c:v>
                </c:pt>
                <c:pt idx="20">
                  <c:v>33.39566030351785</c:v>
                </c:pt>
                <c:pt idx="21">
                  <c:v>66.791320607035701</c:v>
                </c:pt>
              </c:numCache>
            </c:numRef>
          </c:val>
          <c:smooth val="0"/>
          <c:extLst>
            <c:ext xmlns:c16="http://schemas.microsoft.com/office/drawing/2014/chart" uri="{C3380CC4-5D6E-409C-BE32-E72D297353CC}">
              <c16:uniqueId val="{00000003-FE50-482D-905D-7C3B099138E4}"/>
            </c:ext>
          </c:extLst>
        </c:ser>
        <c:ser>
          <c:idx val="9"/>
          <c:order val="4"/>
          <c:tx>
            <c:strRef>
              <c:f>Projections!$A$109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Projections!$I$110:$AL$110</c15:sqref>
                  </c15:fullRef>
                </c:ext>
              </c:extLst>
              <c:f>Projections!$I$110:$AD$110</c:f>
              <c:numCache>
                <c:formatCode>#,##0</c:formatCode>
                <c:ptCount val="22"/>
                <c:pt idx="0">
                  <c:v>2.7177457929295126E-3</c:v>
                </c:pt>
                <c:pt idx="1">
                  <c:v>5.4354915858590251E-3</c:v>
                </c:pt>
                <c:pt idx="2">
                  <c:v>1.087098317171805E-2</c:v>
                </c:pt>
                <c:pt idx="3">
                  <c:v>2.17419663434361E-2</c:v>
                </c:pt>
                <c:pt idx="4">
                  <c:v>4.3483932686872201E-2</c:v>
                </c:pt>
                <c:pt idx="5">
                  <c:v>8.6967865373744402E-2</c:v>
                </c:pt>
                <c:pt idx="6">
                  <c:v>0.1739357307474888</c:v>
                </c:pt>
                <c:pt idx="7">
                  <c:v>0.34787146149497761</c:v>
                </c:pt>
                <c:pt idx="8">
                  <c:v>0.52180719224246652</c:v>
                </c:pt>
                <c:pt idx="9">
                  <c:v>0.57398791146671313</c:v>
                </c:pt>
                <c:pt idx="10">
                  <c:v>0.60877505761621087</c:v>
                </c:pt>
                <c:pt idx="11">
                  <c:v>0.64356220376570861</c:v>
                </c:pt>
                <c:pt idx="12">
                  <c:v>0.67834934991520635</c:v>
                </c:pt>
                <c:pt idx="13">
                  <c:v>0.69574292298995521</c:v>
                </c:pt>
                <c:pt idx="14">
                  <c:v>0.83489150758794639</c:v>
                </c:pt>
                <c:pt idx="15">
                  <c:v>0.97404009218593735</c:v>
                </c:pt>
                <c:pt idx="16">
                  <c:v>1.1131886767839283</c:v>
                </c:pt>
                <c:pt idx="17">
                  <c:v>1.2523372613819195</c:v>
                </c:pt>
                <c:pt idx="18">
                  <c:v>1.3914858459799104</c:v>
                </c:pt>
                <c:pt idx="19">
                  <c:v>2.7829716919598209</c:v>
                </c:pt>
                <c:pt idx="20">
                  <c:v>5.5659433839196417</c:v>
                </c:pt>
                <c:pt idx="21">
                  <c:v>11.131886767839283</c:v>
                </c:pt>
              </c:numCache>
            </c:numRef>
          </c:val>
          <c:smooth val="0"/>
          <c:extLst>
            <c:ext xmlns:c16="http://schemas.microsoft.com/office/drawing/2014/chart" uri="{C3380CC4-5D6E-409C-BE32-E72D297353CC}">
              <c16:uniqueId val="{00000004-FE50-482D-905D-7C3B099138E4}"/>
            </c:ext>
          </c:extLst>
        </c:ser>
        <c:ser>
          <c:idx val="11"/>
          <c:order val="5"/>
          <c:tx>
            <c:strRef>
              <c:f>Projections!$A$111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Projections!$I$112:$AL$112</c15:sqref>
                  </c15:fullRef>
                </c:ext>
              </c:extLst>
              <c:f>Projections!$I$112:$AD$112</c:f>
              <c:numCache>
                <c:formatCode>#,##0</c:formatCode>
                <c:ptCount val="22"/>
                <c:pt idx="0">
                  <c:v>2.7177457929295126E-3</c:v>
                </c:pt>
                <c:pt idx="1">
                  <c:v>5.4354915858590251E-3</c:v>
                </c:pt>
                <c:pt idx="2">
                  <c:v>1.087098317171805E-2</c:v>
                </c:pt>
                <c:pt idx="3">
                  <c:v>2.17419663434361E-2</c:v>
                </c:pt>
                <c:pt idx="4">
                  <c:v>4.3483932686872201E-2</c:v>
                </c:pt>
                <c:pt idx="5">
                  <c:v>8.6967865373744402E-2</c:v>
                </c:pt>
                <c:pt idx="6">
                  <c:v>0.1739357307474888</c:v>
                </c:pt>
                <c:pt idx="7">
                  <c:v>0.34787146149497761</c:v>
                </c:pt>
                <c:pt idx="8">
                  <c:v>0.5218071922424663</c:v>
                </c:pt>
                <c:pt idx="9">
                  <c:v>0.57398791146671302</c:v>
                </c:pt>
                <c:pt idx="10">
                  <c:v>0.60877505761621076</c:v>
                </c:pt>
                <c:pt idx="11">
                  <c:v>0.6435622037657085</c:v>
                </c:pt>
                <c:pt idx="12">
                  <c:v>0.67834934991520623</c:v>
                </c:pt>
                <c:pt idx="13">
                  <c:v>0.69574292298995521</c:v>
                </c:pt>
                <c:pt idx="14">
                  <c:v>0.83489150758794617</c:v>
                </c:pt>
                <c:pt idx="15">
                  <c:v>0.97404009218593723</c:v>
                </c:pt>
                <c:pt idx="16">
                  <c:v>1.1131886767839281</c:v>
                </c:pt>
                <c:pt idx="17">
                  <c:v>1.2523372613819193</c:v>
                </c:pt>
                <c:pt idx="18">
                  <c:v>1.3914858459799104</c:v>
                </c:pt>
                <c:pt idx="19">
                  <c:v>2.7829716919598209</c:v>
                </c:pt>
                <c:pt idx="20">
                  <c:v>5.5659433839196417</c:v>
                </c:pt>
                <c:pt idx="21">
                  <c:v>11.131886767839283</c:v>
                </c:pt>
              </c:numCache>
            </c:numRef>
          </c:val>
          <c:smooth val="0"/>
          <c:extLst>
            <c:ext xmlns:c16="http://schemas.microsoft.com/office/drawing/2014/chart" uri="{C3380CC4-5D6E-409C-BE32-E72D297353CC}">
              <c16:uniqueId val="{00000005-FE50-482D-905D-7C3B099138E4}"/>
            </c:ext>
          </c:extLst>
        </c:ser>
        <c:ser>
          <c:idx val="13"/>
          <c:order val="6"/>
          <c:tx>
            <c:strRef>
              <c:f>Projections!$A$113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Projections!$I$114:$AL$114</c15:sqref>
                  </c15:fullRef>
                </c:ext>
              </c:extLst>
              <c:f>Projections!$I$114:$AD$114</c:f>
              <c:numCache>
                <c:formatCode>#,##0</c:formatCode>
                <c:ptCount val="22"/>
                <c:pt idx="0">
                  <c:v>1.3588728964647563E-3</c:v>
                </c:pt>
                <c:pt idx="1">
                  <c:v>2.7177457929295126E-3</c:v>
                </c:pt>
                <c:pt idx="2">
                  <c:v>5.4354915858590251E-3</c:v>
                </c:pt>
                <c:pt idx="3">
                  <c:v>1.087098317171805E-2</c:v>
                </c:pt>
                <c:pt idx="4">
                  <c:v>2.17419663434361E-2</c:v>
                </c:pt>
                <c:pt idx="5">
                  <c:v>4.3483932686872201E-2</c:v>
                </c:pt>
                <c:pt idx="6">
                  <c:v>8.6967865373744402E-2</c:v>
                </c:pt>
                <c:pt idx="7">
                  <c:v>0.1739357307474888</c:v>
                </c:pt>
                <c:pt idx="8">
                  <c:v>0.26090359612123321</c:v>
                </c:pt>
                <c:pt idx="9">
                  <c:v>0.28699395573335651</c:v>
                </c:pt>
                <c:pt idx="10">
                  <c:v>0.30438752880810538</c:v>
                </c:pt>
                <c:pt idx="11">
                  <c:v>0.32178110188285425</c:v>
                </c:pt>
                <c:pt idx="12">
                  <c:v>0.33917467495760317</c:v>
                </c:pt>
                <c:pt idx="13">
                  <c:v>0.34787146149497761</c:v>
                </c:pt>
                <c:pt idx="14">
                  <c:v>0.41744575379397314</c:v>
                </c:pt>
                <c:pt idx="15">
                  <c:v>0.48702004609296862</c:v>
                </c:pt>
                <c:pt idx="16">
                  <c:v>0.55659433839196415</c:v>
                </c:pt>
                <c:pt idx="17">
                  <c:v>0.62616863069095963</c:v>
                </c:pt>
                <c:pt idx="18">
                  <c:v>0.69574292298995521</c:v>
                </c:pt>
                <c:pt idx="19">
                  <c:v>1.3914858459799104</c:v>
                </c:pt>
                <c:pt idx="20">
                  <c:v>2.7829716919598209</c:v>
                </c:pt>
                <c:pt idx="21">
                  <c:v>5.5659433839196417</c:v>
                </c:pt>
              </c:numCache>
            </c:numRef>
          </c:val>
          <c:smooth val="0"/>
          <c:extLst>
            <c:ext xmlns:c16="http://schemas.microsoft.com/office/drawing/2014/chart" uri="{C3380CC4-5D6E-409C-BE32-E72D297353CC}">
              <c16:uniqueId val="{00000006-FE50-482D-905D-7C3B099138E4}"/>
            </c:ext>
          </c:extLst>
        </c:ser>
        <c:ser>
          <c:idx val="15"/>
          <c:order val="7"/>
          <c:tx>
            <c:strRef>
              <c:f>Projections!$A$115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Projections!$I$116:$AL$116</c15:sqref>
                  </c15:fullRef>
                </c:ext>
              </c:extLst>
              <c:f>Projections!$I$116:$AD$116</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7-FE50-482D-905D-7C3B099138E4}"/>
            </c:ext>
          </c:extLst>
        </c:ser>
        <c:ser>
          <c:idx val="17"/>
          <c:order val="8"/>
          <c:tx>
            <c:strRef>
              <c:f>Projections!$A$117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Projections!$I$118:$AL$118</c15:sqref>
                  </c15:fullRef>
                </c:ext>
              </c:extLst>
              <c:f>Projections!$I$118:$AD$118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Projections!$A$130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Projections!$I$130:$AL$130</c15:sqref>
                  </c15:fullRef>
                </c:ext>
              </c:extLst>
              <c:f>Projections!$I$130:$AD$130</c:f>
              <c:numCache>
                <c:formatCode>#,##0</c:formatCode>
                <c:ptCount val="22"/>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3392</c:v>
                </c:pt>
                <c:pt idx="20">
                  <c:v>6784</c:v>
                </c:pt>
                <c:pt idx="21">
                  <c:v>13568</c:v>
                </c:pt>
              </c:numCache>
            </c:numRef>
          </c:val>
          <c:smooth val="0"/>
          <c:extLst>
            <c:ext xmlns:c16="http://schemas.microsoft.com/office/drawing/2014/chart" uri="{C3380CC4-5D6E-409C-BE32-E72D297353CC}">
              <c16:uniqueId val="{00000000-C5BA-4495-93D4-AC4CA8674604}"/>
            </c:ext>
          </c:extLst>
        </c:ser>
        <c:ser>
          <c:idx val="4"/>
          <c:order val="1"/>
          <c:tx>
            <c:strRef>
              <c:f>Projections!$A$128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Projections!$I$128:$AL$128</c15:sqref>
                  </c15:fullRef>
                </c:ext>
              </c:extLst>
              <c:f>Projections!$I$128:$AD$128</c:f>
              <c:numCache>
                <c:formatCode>#,##0</c:formatCode>
                <c:ptCount val="22"/>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9920</c:v>
                </c:pt>
                <c:pt idx="20">
                  <c:v>19840</c:v>
                </c:pt>
                <c:pt idx="21">
                  <c:v>39680</c:v>
                </c:pt>
              </c:numCache>
            </c:numRef>
          </c:val>
          <c:smooth val="0"/>
          <c:extLst>
            <c:ext xmlns:c16="http://schemas.microsoft.com/office/drawing/2014/chart" uri="{C3380CC4-5D6E-409C-BE32-E72D297353CC}">
              <c16:uniqueId val="{00000001-C5BA-4495-93D4-AC4CA8674604}"/>
            </c:ext>
          </c:extLst>
        </c:ser>
        <c:ser>
          <c:idx val="10"/>
          <c:order val="2"/>
          <c:tx>
            <c:strRef>
              <c:f>Projections!$A$134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Projections!$I$134:$AL$134</c15:sqref>
                  </c15:fullRef>
                </c:ext>
              </c:extLst>
              <c:f>Projections!$I$134:$AD$134</c:f>
              <c:numCache>
                <c:formatCode>#,##0</c:formatCode>
                <c:ptCount val="22"/>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4864</c:v>
                </c:pt>
                <c:pt idx="20">
                  <c:v>9728</c:v>
                </c:pt>
                <c:pt idx="21">
                  <c:v>19456</c:v>
                </c:pt>
              </c:numCache>
            </c:numRef>
          </c:val>
          <c:smooth val="0"/>
          <c:extLst>
            <c:ext xmlns:c16="http://schemas.microsoft.com/office/drawing/2014/chart" uri="{C3380CC4-5D6E-409C-BE32-E72D297353CC}">
              <c16:uniqueId val="{00000002-C5BA-4495-93D4-AC4CA8674604}"/>
            </c:ext>
          </c:extLst>
        </c:ser>
        <c:ser>
          <c:idx val="0"/>
          <c:order val="3"/>
          <c:tx>
            <c:strRef>
              <c:f>Projections!$A$124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Projections!$I$124:$AL$124</c15:sqref>
                  </c15:fullRef>
                </c:ext>
              </c:extLst>
              <c:f>Projections!$I$124:$AD$124</c:f>
              <c:numCache>
                <c:formatCode>#,##0</c:formatCode>
                <c:ptCount val="22"/>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1600</c:v>
                </c:pt>
                <c:pt idx="20">
                  <c:v>3200</c:v>
                </c:pt>
                <c:pt idx="21">
                  <c:v>6400</c:v>
                </c:pt>
              </c:numCache>
            </c:numRef>
          </c:val>
          <c:smooth val="0"/>
          <c:extLst>
            <c:ext xmlns:c16="http://schemas.microsoft.com/office/drawing/2014/chart" uri="{C3380CC4-5D6E-409C-BE32-E72D297353CC}">
              <c16:uniqueId val="{00000003-C5BA-4495-93D4-AC4CA8674604}"/>
            </c:ext>
          </c:extLst>
        </c:ser>
        <c:ser>
          <c:idx val="2"/>
          <c:order val="4"/>
          <c:tx>
            <c:strRef>
              <c:f>Projections!$A$126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Projections!$I$126:$AL$126</c15:sqref>
                  </c15:fullRef>
                </c:ext>
              </c:extLst>
              <c:f>Projections!$I$126:$AD$126</c:f>
              <c:numCache>
                <c:formatCode>#,##0</c:formatCode>
                <c:ptCount val="22"/>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1568</c:v>
                </c:pt>
                <c:pt idx="20">
                  <c:v>3136</c:v>
                </c:pt>
                <c:pt idx="21">
                  <c:v>6272</c:v>
                </c:pt>
              </c:numCache>
            </c:numRef>
          </c:val>
          <c:smooth val="0"/>
          <c:extLst>
            <c:ext xmlns:c16="http://schemas.microsoft.com/office/drawing/2014/chart" uri="{C3380CC4-5D6E-409C-BE32-E72D297353CC}">
              <c16:uniqueId val="{00000004-C5BA-4495-93D4-AC4CA8674604}"/>
            </c:ext>
          </c:extLst>
        </c:ser>
        <c:ser>
          <c:idx val="8"/>
          <c:order val="5"/>
          <c:tx>
            <c:strRef>
              <c:f>Projections!$A$132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Projections!$I$132:$AL$132</c15:sqref>
                  </c15:fullRef>
                </c:ext>
              </c:extLst>
              <c:f>Projections!$I$132:$AD$132</c:f>
              <c:numCache>
                <c:formatCode>#,##0</c:formatCode>
                <c:ptCount val="22"/>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576</c:v>
                </c:pt>
                <c:pt idx="20">
                  <c:v>1152</c:v>
                </c:pt>
                <c:pt idx="21">
                  <c:v>2304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Projections!$A$130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Projections!$I$131:$AL$131</c15:sqref>
                  </c15:fullRef>
                </c:ext>
              </c:extLst>
              <c:f>Projections!$I$131:$AD$131</c:f>
              <c:numCache>
                <c:formatCode>#,##0</c:formatCode>
                <c:ptCount val="22"/>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203.51999999999998</c:v>
                </c:pt>
                <c:pt idx="20">
                  <c:v>407.03999999999996</c:v>
                </c:pt>
                <c:pt idx="21">
                  <c:v>814.07999999999993</c:v>
                </c:pt>
              </c:numCache>
            </c:numRef>
          </c:val>
          <c:smooth val="0"/>
          <c:extLst>
            <c:ext xmlns:c16="http://schemas.microsoft.com/office/drawing/2014/chart" uri="{C3380CC4-5D6E-409C-BE32-E72D297353CC}">
              <c16:uniqueId val="{00000000-5E66-4AF0-A3CA-7CF12153AA8E}"/>
            </c:ext>
          </c:extLst>
        </c:ser>
        <c:ser>
          <c:idx val="5"/>
          <c:order val="1"/>
          <c:tx>
            <c:strRef>
              <c:f>Projections!$A$128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Projections!$I$129:$AL$129</c15:sqref>
                  </c15:fullRef>
                </c:ext>
              </c:extLst>
              <c:f>Projections!$I$129:$AD$129</c:f>
              <c:numCache>
                <c:formatCode>#,##0</c:formatCode>
                <c:ptCount val="22"/>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624.96</c:v>
                </c:pt>
                <c:pt idx="20">
                  <c:v>1249.92</c:v>
                </c:pt>
                <c:pt idx="21">
                  <c:v>2499.84</c:v>
                </c:pt>
              </c:numCache>
            </c:numRef>
          </c:val>
          <c:smooth val="0"/>
          <c:extLst>
            <c:ext xmlns:c16="http://schemas.microsoft.com/office/drawing/2014/chart" uri="{C3380CC4-5D6E-409C-BE32-E72D297353CC}">
              <c16:uniqueId val="{00000001-5E66-4AF0-A3CA-7CF12153AA8E}"/>
            </c:ext>
          </c:extLst>
        </c:ser>
        <c:ser>
          <c:idx val="1"/>
          <c:order val="2"/>
          <c:tx>
            <c:strRef>
              <c:f>Projections!$A$124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Projections!$I$125:$AL$125</c15:sqref>
                  </c15:fullRef>
                </c:ext>
              </c:extLst>
              <c:f>Projections!$I$125:$AD$125</c:f>
              <c:numCache>
                <c:formatCode>#,##0</c:formatCode>
                <c:ptCount val="22"/>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168</c:v>
                </c:pt>
                <c:pt idx="20">
                  <c:v>336</c:v>
                </c:pt>
                <c:pt idx="21">
                  <c:v>672</c:v>
                </c:pt>
              </c:numCache>
            </c:numRef>
          </c:val>
          <c:smooth val="0"/>
          <c:extLst>
            <c:ext xmlns:c16="http://schemas.microsoft.com/office/drawing/2014/chart" uri="{C3380CC4-5D6E-409C-BE32-E72D297353CC}">
              <c16:uniqueId val="{00000002-5E66-4AF0-A3CA-7CF12153AA8E}"/>
            </c:ext>
          </c:extLst>
        </c:ser>
        <c:ser>
          <c:idx val="3"/>
          <c:order val="3"/>
          <c:tx>
            <c:strRef>
              <c:f>Projections!$A$126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Projections!$I$127:$AL$127</c15:sqref>
                  </c15:fullRef>
                </c:ext>
              </c:extLst>
              <c:f>Projections!$I$127:$AD$127</c:f>
              <c:numCache>
                <c:formatCode>#,##0</c:formatCode>
                <c:ptCount val="22"/>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114.464</c:v>
                </c:pt>
                <c:pt idx="20">
                  <c:v>228.928</c:v>
                </c:pt>
                <c:pt idx="21">
                  <c:v>457.85599999999999</c:v>
                </c:pt>
              </c:numCache>
            </c:numRef>
          </c:val>
          <c:smooth val="0"/>
          <c:extLst>
            <c:ext xmlns:c16="http://schemas.microsoft.com/office/drawing/2014/chart" uri="{C3380CC4-5D6E-409C-BE32-E72D297353CC}">
              <c16:uniqueId val="{00000003-5E66-4AF0-A3CA-7CF12153AA8E}"/>
            </c:ext>
          </c:extLst>
        </c:ser>
        <c:ser>
          <c:idx val="9"/>
          <c:order val="4"/>
          <c:tx>
            <c:strRef>
              <c:f>Projections!$A$132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Projections!$I$133:$AL$133</c15:sqref>
                  </c15:fullRef>
                </c:ext>
              </c:extLst>
              <c:f>Projections!$I$133:$AD$133</c:f>
              <c:numCache>
                <c:formatCode>#,##0</c:formatCode>
                <c:ptCount val="22"/>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32.256</c:v>
                </c:pt>
                <c:pt idx="20">
                  <c:v>64.512</c:v>
                </c:pt>
                <c:pt idx="21">
                  <c:v>129.024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Projections!$I$69:$AL$69</c15:sqref>
                  </c15:fullRef>
                </c:ext>
              </c:extLst>
              <c:f>Projections!$I$69:$AB$69</c:f>
              <c:numCache>
                <c:formatCode>#,##0_ ;[Red]\-#,##0\ </c:formatCode>
                <c:ptCount val="20"/>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32000</c:v>
                </c:pt>
              </c:numCache>
            </c:numRef>
          </c:val>
          <c:smooth val="0"/>
          <c:extLst>
            <c:ext xmlns:c16="http://schemas.microsoft.com/office/drawing/2014/chart" uri="{C3380CC4-5D6E-409C-BE32-E72D297353CC}">
              <c16:uniqueId val="{00000000-9DE3-43B6-B60B-9B4AA4851702}"/>
            </c:ext>
          </c:extLst>
        </c:ser>
        <c:ser>
          <c:idx val="1"/>
          <c:order val="1"/>
          <c:tx>
            <c:strRef>
              <c:f>Projections!$A$93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Projections!$I$93:$AL$93</c15:sqref>
                  </c15:fullRef>
                </c:ext>
              </c:extLst>
              <c:f>Projections!$I$93:$AB$93</c:f>
              <c:numCache>
                <c:formatCode>General</c:formatCode>
                <c:ptCount val="20"/>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Projections!$I$83:$AL$83</c15:sqref>
                  </c15:fullRef>
                </c:ext>
              </c:extLst>
              <c:f>Projections!$I$83:$AB$83</c:f>
              <c:numCache>
                <c:formatCode>#,##0_ ;[Red]\-#,##0\ </c:formatCode>
                <c:ptCount val="20"/>
                <c:pt idx="0">
                  <c:v>0.359375</c:v>
                </c:pt>
                <c:pt idx="1">
                  <c:v>0.71875</c:v>
                </c:pt>
                <c:pt idx="2">
                  <c:v>1.4375</c:v>
                </c:pt>
                <c:pt idx="3">
                  <c:v>2.875</c:v>
                </c:pt>
                <c:pt idx="4">
                  <c:v>5.75</c:v>
                </c:pt>
                <c:pt idx="5">
                  <c:v>11.5</c:v>
                </c:pt>
                <c:pt idx="6">
                  <c:v>23</c:v>
                </c:pt>
                <c:pt idx="7">
                  <c:v>46</c:v>
                </c:pt>
                <c:pt idx="8">
                  <c:v>69</c:v>
                </c:pt>
                <c:pt idx="9">
                  <c:v>75.900000000000006</c:v>
                </c:pt>
                <c:pt idx="10">
                  <c:v>80.5</c:v>
                </c:pt>
                <c:pt idx="11">
                  <c:v>85.1</c:v>
                </c:pt>
                <c:pt idx="12">
                  <c:v>89.7</c:v>
                </c:pt>
                <c:pt idx="13">
                  <c:v>92</c:v>
                </c:pt>
                <c:pt idx="14">
                  <c:v>110.39999999999999</c:v>
                </c:pt>
                <c:pt idx="15">
                  <c:v>128.80000000000001</c:v>
                </c:pt>
                <c:pt idx="16">
                  <c:v>147.19999999999999</c:v>
                </c:pt>
                <c:pt idx="17">
                  <c:v>165.6</c:v>
                </c:pt>
                <c:pt idx="18">
                  <c:v>184</c:v>
                </c:pt>
                <c:pt idx="19">
                  <c:v>368</c:v>
                </c:pt>
              </c:numCache>
            </c:numRef>
          </c:val>
          <c:smooth val="0"/>
          <c:extLst>
            <c:ext xmlns:c16="http://schemas.microsoft.com/office/drawing/2014/chart" uri="{C3380CC4-5D6E-409C-BE32-E72D297353CC}">
              <c16:uniqueId val="{00000000-FE1B-4946-A476-7952C5C71231}"/>
            </c:ext>
          </c:extLst>
        </c:ser>
        <c:ser>
          <c:idx val="1"/>
          <c:order val="1"/>
          <c:tx>
            <c:strRef>
              <c:f>Projections!$A$97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Projections!$I$97:$AL$97</c15:sqref>
                  </c15:fullRef>
                </c:ext>
              </c:extLst>
              <c:f>Projections!$I$97:$AB$97</c:f>
              <c:numCache>
                <c:formatCode>General</c:formatCode>
                <c:ptCount val="20"/>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86.956521739130437</c:v>
                </c:pt>
                <c:pt idx="4">
                  <c:v>173.91304347826087</c:v>
                </c:pt>
                <c:pt idx="5">
                  <c:v>347.82608695652175</c:v>
                </c:pt>
                <c:pt idx="6">
                  <c:v>695.6521739130435</c:v>
                </c:pt>
                <c:pt idx="7">
                  <c:v>1391.304347826087</c:v>
                </c:pt>
                <c:pt idx="8">
                  <c:v>2782.608695652174</c:v>
                </c:pt>
                <c:pt idx="9">
                  <c:v>5565.217391304348</c:v>
                </c:pt>
                <c:pt idx="10">
                  <c:v>11130.434782608696</c:v>
                </c:pt>
                <c:pt idx="11">
                  <c:v>22260.869565217392</c:v>
                </c:pt>
                <c:pt idx="12">
                  <c:v>44521.739130434784</c:v>
                </c:pt>
                <c:pt idx="13">
                  <c:v>89043.478260869568</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86.956521739130437</c:v>
                </c:pt>
                <c:pt idx="3">
                  <c:v>173.91304347826087</c:v>
                </c:pt>
                <c:pt idx="4">
                  <c:v>320</c:v>
                </c:pt>
                <c:pt idx="5">
                  <c:v>640</c:v>
                </c:pt>
                <c:pt idx="6">
                  <c:v>1280</c:v>
                </c:pt>
                <c:pt idx="7">
                  <c:v>2480</c:v>
                </c:pt>
                <c:pt idx="8">
                  <c:v>4960</c:v>
                </c:pt>
                <c:pt idx="9">
                  <c:v>9920</c:v>
                </c:pt>
                <c:pt idx="10">
                  <c:v>19840</c:v>
                </c:pt>
                <c:pt idx="11">
                  <c:v>39680</c:v>
                </c:pt>
                <c:pt idx="12">
                  <c:v>79440</c:v>
                </c:pt>
                <c:pt idx="13">
                  <c:v>158880</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27.826086956521742</c:v>
                </c:pt>
                <c:pt idx="5">
                  <c:v>55.652173913043484</c:v>
                </c:pt>
                <c:pt idx="6">
                  <c:v>69.565217391304358</c:v>
                </c:pt>
                <c:pt idx="7">
                  <c:v>139.13043478260872</c:v>
                </c:pt>
                <c:pt idx="8">
                  <c:v>278.26086956521743</c:v>
                </c:pt>
                <c:pt idx="9">
                  <c:v>556.52173913043487</c:v>
                </c:pt>
                <c:pt idx="10">
                  <c:v>1113.0434782608697</c:v>
                </c:pt>
                <c:pt idx="11">
                  <c:v>2226.0869565217395</c:v>
                </c:pt>
                <c:pt idx="12">
                  <c:v>4452.1739130434789</c:v>
                </c:pt>
                <c:pt idx="13">
                  <c:v>8904.3478260869579</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41.739130434782609</c:v>
                </c:pt>
                <c:pt idx="7">
                  <c:v>83.478260869565219</c:v>
                </c:pt>
                <c:pt idx="8">
                  <c:v>166.95652173913044</c:v>
                </c:pt>
                <c:pt idx="9">
                  <c:v>333.91304347826087</c:v>
                </c:pt>
                <c:pt idx="10">
                  <c:v>667.82608695652175</c:v>
                </c:pt>
                <c:pt idx="11">
                  <c:v>1335.6521739130435</c:v>
                </c:pt>
                <c:pt idx="12">
                  <c:v>2671.304347826087</c:v>
                </c:pt>
                <c:pt idx="13">
                  <c:v>5342.608695652174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13.043478260869554</c:v>
                </c:pt>
                <c:pt idx="1">
                  <c:v>26.086956521739108</c:v>
                </c:pt>
                <c:pt idx="2">
                  <c:v>52.173913043478215</c:v>
                </c:pt>
                <c:pt idx="3">
                  <c:v>104.34782608695643</c:v>
                </c:pt>
                <c:pt idx="4">
                  <c:v>208.69565217391286</c:v>
                </c:pt>
                <c:pt idx="5">
                  <c:v>417.39130434782572</c:v>
                </c:pt>
                <c:pt idx="6">
                  <c:v>834.78260869565145</c:v>
                </c:pt>
                <c:pt idx="7">
                  <c:v>1669.5652173913029</c:v>
                </c:pt>
                <c:pt idx="8">
                  <c:v>3339.1304347826058</c:v>
                </c:pt>
                <c:pt idx="9">
                  <c:v>6678.2608695652116</c:v>
                </c:pt>
                <c:pt idx="10">
                  <c:v>13356.521739130423</c:v>
                </c:pt>
                <c:pt idx="11">
                  <c:v>26713.043478260846</c:v>
                </c:pt>
                <c:pt idx="12">
                  <c:v>53426.086956521693</c:v>
                </c:pt>
                <c:pt idx="13">
                  <c:v>106852.17391304339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86.956521739130437</c:v>
                </c:pt>
                <c:pt idx="4">
                  <c:v>173.91304347826087</c:v>
                </c:pt>
                <c:pt idx="5">
                  <c:v>347.82608695652175</c:v>
                </c:pt>
                <c:pt idx="6">
                  <c:v>695.6521739130435</c:v>
                </c:pt>
                <c:pt idx="7">
                  <c:v>1391.304347826087</c:v>
                </c:pt>
                <c:pt idx="8">
                  <c:v>2782.608695652174</c:v>
                </c:pt>
                <c:pt idx="9">
                  <c:v>5565.217391304348</c:v>
                </c:pt>
                <c:pt idx="10">
                  <c:v>11130.434782608696</c:v>
                </c:pt>
                <c:pt idx="11">
                  <c:v>22260.869565217392</c:v>
                </c:pt>
                <c:pt idx="12">
                  <c:v>44521.739130434784</c:v>
                </c:pt>
                <c:pt idx="13">
                  <c:v>89043.478260869568</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86.956521739130437</c:v>
                </c:pt>
                <c:pt idx="4">
                  <c:v>173.91304347826087</c:v>
                </c:pt>
                <c:pt idx="5">
                  <c:v>347.82608695652175</c:v>
                </c:pt>
                <c:pt idx="6">
                  <c:v>695.6521739130435</c:v>
                </c:pt>
                <c:pt idx="7">
                  <c:v>1391.304347826087</c:v>
                </c:pt>
                <c:pt idx="8">
                  <c:v>2782.608695652174</c:v>
                </c:pt>
                <c:pt idx="9">
                  <c:v>5565.217391304348</c:v>
                </c:pt>
                <c:pt idx="10">
                  <c:v>11130.434782608696</c:v>
                </c:pt>
                <c:pt idx="11">
                  <c:v>22260.869565217392</c:v>
                </c:pt>
                <c:pt idx="12">
                  <c:v>44521.739130434784</c:v>
                </c:pt>
                <c:pt idx="13">
                  <c:v>89043.478260869568</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86.956521739130437</c:v>
                </c:pt>
                <c:pt idx="3">
                  <c:v>173.91304347826087</c:v>
                </c:pt>
                <c:pt idx="4">
                  <c:v>320</c:v>
                </c:pt>
                <c:pt idx="5">
                  <c:v>640</c:v>
                </c:pt>
                <c:pt idx="6">
                  <c:v>1280</c:v>
                </c:pt>
                <c:pt idx="7">
                  <c:v>2480</c:v>
                </c:pt>
                <c:pt idx="8">
                  <c:v>4960</c:v>
                </c:pt>
                <c:pt idx="9">
                  <c:v>9920</c:v>
                </c:pt>
                <c:pt idx="10">
                  <c:v>19840</c:v>
                </c:pt>
                <c:pt idx="11">
                  <c:v>39680</c:v>
                </c:pt>
                <c:pt idx="12">
                  <c:v>79440</c:v>
                </c:pt>
                <c:pt idx="13">
                  <c:v>158880</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27.826086956521742</c:v>
                </c:pt>
                <c:pt idx="5">
                  <c:v>55.652173913043484</c:v>
                </c:pt>
                <c:pt idx="6">
                  <c:v>69.565217391304358</c:v>
                </c:pt>
                <c:pt idx="7">
                  <c:v>139.13043478260872</c:v>
                </c:pt>
                <c:pt idx="8">
                  <c:v>278.26086956521743</c:v>
                </c:pt>
                <c:pt idx="9">
                  <c:v>556.52173913043487</c:v>
                </c:pt>
                <c:pt idx="10">
                  <c:v>1113.0434782608697</c:v>
                </c:pt>
                <c:pt idx="11">
                  <c:v>2226.0869565217395</c:v>
                </c:pt>
                <c:pt idx="12">
                  <c:v>4452.1739130434789</c:v>
                </c:pt>
                <c:pt idx="13">
                  <c:v>8904.3478260869579</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44019.856085069441</c:v>
                </c:pt>
                <c:pt idx="1">
                  <c:v>44022.856085069441</c:v>
                </c:pt>
                <c:pt idx="2">
                  <c:v>44025.856085069441</c:v>
                </c:pt>
                <c:pt idx="3">
                  <c:v>44028.856085069441</c:v>
                </c:pt>
                <c:pt idx="4">
                  <c:v>44031.856085069441</c:v>
                </c:pt>
                <c:pt idx="5">
                  <c:v>44034.856085069441</c:v>
                </c:pt>
                <c:pt idx="6">
                  <c:v>44037.856085069441</c:v>
                </c:pt>
                <c:pt idx="7">
                  <c:v>44040.856085069441</c:v>
                </c:pt>
                <c:pt idx="8">
                  <c:v>44043.856085069441</c:v>
                </c:pt>
                <c:pt idx="9">
                  <c:v>44046.856085069441</c:v>
                </c:pt>
                <c:pt idx="10">
                  <c:v>44049.856085069441</c:v>
                </c:pt>
                <c:pt idx="11">
                  <c:v>44052.856085069441</c:v>
                </c:pt>
                <c:pt idx="12">
                  <c:v>44055.856085069441</c:v>
                </c:pt>
                <c:pt idx="13">
                  <c:v>44058.856085069441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41.739130434782609</c:v>
                </c:pt>
                <c:pt idx="7">
                  <c:v>83.478260869565219</c:v>
                </c:pt>
                <c:pt idx="8">
                  <c:v>166.95652173913044</c:v>
                </c:pt>
                <c:pt idx="9">
                  <c:v>333.91304347826087</c:v>
                </c:pt>
                <c:pt idx="10">
                  <c:v>667.82608695652175</c:v>
                </c:pt>
                <c:pt idx="11">
                  <c:v>1335.6521739130435</c:v>
                </c:pt>
                <c:pt idx="12">
                  <c:v>2671.304347826087</c:v>
                </c:pt>
                <c:pt idx="13">
                  <c:v>5342.608695652174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Projections!$I$79:$AL$79</c15:sqref>
                  </c15:fullRef>
                </c:ext>
              </c:extLst>
              <c:f>Projections!$I$79:$AB$79</c:f>
              <c:numCache>
                <c:formatCode>#,##0_ ;[Red]\-#,##0\ </c:formatCode>
                <c:ptCount val="20"/>
                <c:pt idx="0">
                  <c:v>1.7030504712717078</c:v>
                </c:pt>
                <c:pt idx="1">
                  <c:v>2.4853707793011099</c:v>
                </c:pt>
                <c:pt idx="2">
                  <c:v>3.4347168367228527</c:v>
                </c:pt>
                <c:pt idx="3">
                  <c:v>7.012668081091574</c:v>
                </c:pt>
                <c:pt idx="4">
                  <c:v>12.853963939235117</c:v>
                </c:pt>
                <c:pt idx="5">
                  <c:v>23.484848484848467</c:v>
                </c:pt>
                <c:pt idx="6">
                  <c:v>38.884113117712715</c:v>
                </c:pt>
                <c:pt idx="7">
                  <c:v>121.92507093173786</c:v>
                </c:pt>
                <c:pt idx="8">
                  <c:v>731.45879127056787</c:v>
                </c:pt>
                <c:pt idx="9">
                  <c:v>1057.2071025929192</c:v>
                </c:pt>
                <c:pt idx="10">
                  <c:v>4736.5220443738754</c:v>
                </c:pt>
                <c:pt idx="11">
                  <c:v>5036.877634524013</c:v>
                </c:pt>
                <c:pt idx="12">
                  <c:v>793.7863905260831</c:v>
                </c:pt>
                <c:pt idx="13">
                  <c:v>913.72758617240356</c:v>
                </c:pt>
                <c:pt idx="14">
                  <c:v>838.03803288898689</c:v>
                </c:pt>
                <c:pt idx="15">
                  <c:v>1105.7781760119433</c:v>
                </c:pt>
                <c:pt idx="16">
                  <c:v>1071.5242888737735</c:v>
                </c:pt>
                <c:pt idx="17">
                  <c:v>1142.5332127234392</c:v>
                </c:pt>
                <c:pt idx="18">
                  <c:v>1265.0464107428936</c:v>
                </c:pt>
                <c:pt idx="19">
                  <c:v>3678.9942813779135</c:v>
                </c:pt>
              </c:numCache>
            </c:numRef>
          </c:val>
          <c:smooth val="0"/>
          <c:extLst>
            <c:ext xmlns:c16="http://schemas.microsoft.com/office/drawing/2014/chart" uri="{C3380CC4-5D6E-409C-BE32-E72D297353CC}">
              <c16:uniqueId val="{00000003-5231-4BE2-97ED-54F0C3DB105C}"/>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Projections!$I$80:$AL$80</c15:sqref>
                  </c15:fullRef>
                </c:ext>
              </c:extLst>
              <c:f>Projections!$I$80:$AB$80</c:f>
              <c:numCache>
                <c:formatCode>#,##0_ ;[Red]\-#,##0\ </c:formatCode>
                <c:ptCount val="20"/>
                <c:pt idx="0">
                  <c:v>1.7030504712717078</c:v>
                </c:pt>
                <c:pt idx="1">
                  <c:v>2.4853707793011099</c:v>
                </c:pt>
                <c:pt idx="2">
                  <c:v>3.4347168367228527</c:v>
                </c:pt>
                <c:pt idx="3">
                  <c:v>7.012668081091574</c:v>
                </c:pt>
                <c:pt idx="4">
                  <c:v>12.476450987284158</c:v>
                </c:pt>
                <c:pt idx="5">
                  <c:v>22.78358167673931</c:v>
                </c:pt>
                <c:pt idx="6">
                  <c:v>37.785628269227864</c:v>
                </c:pt>
                <c:pt idx="7">
                  <c:v>119.14674895412503</c:v>
                </c:pt>
                <c:pt idx="8">
                  <c:v>702.81532221750035</c:v>
                </c:pt>
                <c:pt idx="9">
                  <c:v>891.00001542967982</c:v>
                </c:pt>
                <c:pt idx="10">
                  <c:v>3640.6446906322476</c:v>
                </c:pt>
                <c:pt idx="11">
                  <c:v>466.85149796662057</c:v>
                </c:pt>
                <c:pt idx="12">
                  <c:v>0</c:v>
                </c:pt>
                <c:pt idx="13">
                  <c:v>0</c:v>
                </c:pt>
                <c:pt idx="14">
                  <c:v>0</c:v>
                </c:pt>
                <c:pt idx="15">
                  <c:v>0</c:v>
                </c:pt>
                <c:pt idx="16">
                  <c:v>0</c:v>
                </c:pt>
                <c:pt idx="17">
                  <c:v>0</c:v>
                </c:pt>
                <c:pt idx="18">
                  <c:v>0</c:v>
                </c:pt>
                <c:pt idx="19">
                  <c:v>2530.0626688775169</c:v>
                </c:pt>
              </c:numCache>
            </c:numRef>
          </c:val>
          <c:smooth val="0"/>
          <c:extLst>
            <c:ext xmlns:c16="http://schemas.microsoft.com/office/drawing/2014/chart" uri="{C3380CC4-5D6E-409C-BE32-E72D297353CC}">
              <c16:uniqueId val="{00000002-9381-4A4E-BB43-DCD8EC2F4E00}"/>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Projections!$I$81:$AL$81</c15:sqref>
                  </c15:fullRef>
                </c:ext>
              </c:extLst>
              <c:f>Projections!$I$81:$AB$81</c:f>
              <c:numCache>
                <c:formatCode>#,##0_ ;[Red]\-#,##0\ </c:formatCode>
                <c:ptCount val="20"/>
                <c:pt idx="0">
                  <c:v>8.7890330536326944E-2</c:v>
                </c:pt>
                <c:pt idx="1">
                  <c:v>0.12826399627192997</c:v>
                </c:pt>
                <c:pt idx="2">
                  <c:v>0.18718387607890333</c:v>
                </c:pt>
                <c:pt idx="3">
                  <c:v>0.27316943555726469</c:v>
                </c:pt>
                <c:pt idx="4">
                  <c:v>0.37751295195095813</c:v>
                </c:pt>
                <c:pt idx="5">
                  <c:v>0.70126680810915754</c:v>
                </c:pt>
                <c:pt idx="6">
                  <c:v>1.0984848484848484</c:v>
                </c:pt>
                <c:pt idx="7">
                  <c:v>2.7783219776128321</c:v>
                </c:pt>
                <c:pt idx="8">
                  <c:v>29.037382012547795</c:v>
                </c:pt>
                <c:pt idx="9">
                  <c:v>160.9005489972343</c:v>
                </c:pt>
                <c:pt idx="10">
                  <c:v>221.62491061296288</c:v>
                </c:pt>
                <c:pt idx="11">
                  <c:v>304.40064840296537</c:v>
                </c:pt>
                <c:pt idx="12">
                  <c:v>602.94013751455145</c:v>
                </c:pt>
                <c:pt idx="13">
                  <c:v>740.15517913279825</c:v>
                </c:pt>
                <c:pt idx="14">
                  <c:v>102.05857020877852</c:v>
                </c:pt>
                <c:pt idx="15">
                  <c:v>80.694690935399308</c:v>
                </c:pt>
                <c:pt idx="16">
                  <c:v>99.973440388760366</c:v>
                </c:pt>
                <c:pt idx="17">
                  <c:v>93.806183125307072</c:v>
                </c:pt>
                <c:pt idx="18">
                  <c:v>111.11114568254115</c:v>
                </c:pt>
                <c:pt idx="19">
                  <c:v>275.43594243181542</c:v>
                </c:pt>
              </c:numCache>
            </c:numRef>
          </c:val>
          <c:smooth val="0"/>
          <c:extLst>
            <c:ext xmlns:c16="http://schemas.microsoft.com/office/drawing/2014/chart" uri="{C3380CC4-5D6E-409C-BE32-E72D297353CC}">
              <c16:uniqueId val="{00000000-9381-4A4E-BB43-DCD8EC2F4E00}"/>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Projections!$I$82:$AL$82</c15:sqref>
                  </c15:fullRef>
                </c:ext>
              </c:extLst>
              <c:f>Projections!$I$82:$AB$82</c:f>
              <c:numCache>
                <c:formatCode>#,##0_ ;[Red]\-#,##0\ </c:formatCode>
                <c:ptCount val="20"/>
                <c:pt idx="0">
                  <c:v>8.7890330536326944E-2</c:v>
                </c:pt>
                <c:pt idx="1">
                  <c:v>0.12826399627192997</c:v>
                </c:pt>
                <c:pt idx="2">
                  <c:v>0.18718387607890333</c:v>
                </c:pt>
                <c:pt idx="3">
                  <c:v>0.27316943555726469</c:v>
                </c:pt>
                <c:pt idx="4">
                  <c:v>0.37751295195095813</c:v>
                </c:pt>
                <c:pt idx="5">
                  <c:v>0.70126680810915754</c:v>
                </c:pt>
                <c:pt idx="6">
                  <c:v>1.0984848484848484</c:v>
                </c:pt>
                <c:pt idx="7">
                  <c:v>2.7783219776128321</c:v>
                </c:pt>
                <c:pt idx="8">
                  <c:v>28.643469053067541</c:v>
                </c:pt>
                <c:pt idx="9">
                  <c:v>157.69554803414994</c:v>
                </c:pt>
                <c:pt idx="10">
                  <c:v>145.39385929725285</c:v>
                </c:pt>
                <c:pt idx="11">
                  <c:v>237.21166161917341</c:v>
                </c:pt>
                <c:pt idx="12">
                  <c:v>469.85587129033956</c:v>
                </c:pt>
                <c:pt idx="13">
                  <c:v>576.78405357962311</c:v>
                </c:pt>
                <c:pt idx="14">
                  <c:v>0</c:v>
                </c:pt>
                <c:pt idx="15">
                  <c:v>0</c:v>
                </c:pt>
                <c:pt idx="16">
                  <c:v>0</c:v>
                </c:pt>
                <c:pt idx="17">
                  <c:v>18.512344893372912</c:v>
                </c:pt>
                <c:pt idx="18">
                  <c:v>19.738387065300785</c:v>
                </c:pt>
                <c:pt idx="19">
                  <c:v>148.93130135752602</c:v>
                </c:pt>
              </c:numCache>
            </c:numRef>
          </c:val>
          <c:smooth val="0"/>
          <c:extLst>
            <c:ext xmlns:c16="http://schemas.microsoft.com/office/drawing/2014/chart" uri="{C3380CC4-5D6E-409C-BE32-E72D297353CC}">
              <c16:uniqueId val="{00000003-9381-4A4E-BB43-DCD8EC2F4E00}"/>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Projections!$I$68:$AL$68</c15:sqref>
                  </c15:fullRef>
                </c:ext>
              </c:extLst>
              <c:f>Projections!$I$68:$AB$68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numCache>
            </c:numRef>
          </c:cat>
          <c:val>
            <c:numRef>
              <c:extLst>
                <c:ext xmlns:c15="http://schemas.microsoft.com/office/drawing/2012/chart" uri="{02D57815-91ED-43cb-92C2-25804820EDAC}">
                  <c15:fullRef>
                    <c15:sqref>Projections!$I$83:$AL$83</c15:sqref>
                  </c15:fullRef>
                </c:ext>
              </c:extLst>
              <c:f>Projections!$I$83:$AB$83</c:f>
              <c:numCache>
                <c:formatCode>#,##0_ ;[Red]\-#,##0\ </c:formatCode>
                <c:ptCount val="20"/>
                <c:pt idx="0">
                  <c:v>0.359375</c:v>
                </c:pt>
                <c:pt idx="1">
                  <c:v>0.71875</c:v>
                </c:pt>
                <c:pt idx="2">
                  <c:v>1.4375</c:v>
                </c:pt>
                <c:pt idx="3">
                  <c:v>2.875</c:v>
                </c:pt>
                <c:pt idx="4">
                  <c:v>5.75</c:v>
                </c:pt>
                <c:pt idx="5">
                  <c:v>11.5</c:v>
                </c:pt>
                <c:pt idx="6">
                  <c:v>23</c:v>
                </c:pt>
                <c:pt idx="7">
                  <c:v>46</c:v>
                </c:pt>
                <c:pt idx="8">
                  <c:v>69</c:v>
                </c:pt>
                <c:pt idx="9">
                  <c:v>75.900000000000006</c:v>
                </c:pt>
                <c:pt idx="10">
                  <c:v>80.5</c:v>
                </c:pt>
                <c:pt idx="11">
                  <c:v>85.1</c:v>
                </c:pt>
                <c:pt idx="12">
                  <c:v>89.7</c:v>
                </c:pt>
                <c:pt idx="13">
                  <c:v>92</c:v>
                </c:pt>
                <c:pt idx="14">
                  <c:v>110.39999999999999</c:v>
                </c:pt>
                <c:pt idx="15">
                  <c:v>128.80000000000001</c:v>
                </c:pt>
                <c:pt idx="16">
                  <c:v>147.19999999999999</c:v>
                </c:pt>
                <c:pt idx="17">
                  <c:v>165.6</c:v>
                </c:pt>
                <c:pt idx="18">
                  <c:v>184</c:v>
                </c:pt>
                <c:pt idx="19">
                  <c:v>368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Projections!$I$101:$AL$101</c15:sqref>
                  </c15:fullRef>
                </c:ext>
              </c:extLst>
              <c:f>Projections!$I$101:$AD$101</c:f>
              <c:numCache>
                <c:formatCode>#,##0</c:formatCode>
                <c:ptCount val="22"/>
                <c:pt idx="0">
                  <c:v>2.1660433969648216</c:v>
                </c:pt>
                <c:pt idx="1">
                  <c:v>4.3320867939296432</c:v>
                </c:pt>
                <c:pt idx="2">
                  <c:v>8.6641735878592865</c:v>
                </c:pt>
                <c:pt idx="3">
                  <c:v>17.328347175718573</c:v>
                </c:pt>
                <c:pt idx="4">
                  <c:v>34.656694351437146</c:v>
                </c:pt>
                <c:pt idx="5">
                  <c:v>69.313388702874292</c:v>
                </c:pt>
                <c:pt idx="6">
                  <c:v>138.62677740574858</c:v>
                </c:pt>
                <c:pt idx="7">
                  <c:v>277.25355481149717</c:v>
                </c:pt>
                <c:pt idx="8">
                  <c:v>415.88033221724572</c:v>
                </c:pt>
                <c:pt idx="9">
                  <c:v>457.4683654389703</c:v>
                </c:pt>
                <c:pt idx="10">
                  <c:v>485.19372092012003</c:v>
                </c:pt>
                <c:pt idx="11">
                  <c:v>512.91907640126976</c:v>
                </c:pt>
                <c:pt idx="12">
                  <c:v>540.64443188241944</c:v>
                </c:pt>
                <c:pt idx="13">
                  <c:v>554.50710962299434</c:v>
                </c:pt>
                <c:pt idx="14">
                  <c:v>665.40853154759316</c:v>
                </c:pt>
                <c:pt idx="15">
                  <c:v>776.30995347219209</c:v>
                </c:pt>
                <c:pt idx="16">
                  <c:v>887.21137539679091</c:v>
                </c:pt>
                <c:pt idx="17">
                  <c:v>998.11279732138973</c:v>
                </c:pt>
                <c:pt idx="18">
                  <c:v>1109.0142192459887</c:v>
                </c:pt>
                <c:pt idx="19">
                  <c:v>2218.0284384919773</c:v>
                </c:pt>
                <c:pt idx="20">
                  <c:v>4436.0568769839547</c:v>
                </c:pt>
                <c:pt idx="21">
                  <c:v>8872.1137539679094</c:v>
                </c:pt>
              </c:numCache>
            </c:numRef>
          </c:val>
          <c:smooth val="0"/>
          <c:extLst>
            <c:ext xmlns:c16="http://schemas.microsoft.com/office/drawing/2014/chart" uri="{C3380CC4-5D6E-409C-BE32-E72D297353CC}">
              <c16:uniqueId val="{00000000-04B6-450D-AD81-6BF382C059D1}"/>
            </c:ext>
          </c:extLst>
        </c:ser>
        <c:ser>
          <c:idx val="2"/>
          <c:order val="1"/>
          <c:tx>
            <c:strRef>
              <c:f>Projections!$A$103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Projections!$I$103:$AL$103</c15:sqref>
                  </c15:fullRef>
                </c:ext>
              </c:extLst>
              <c:f>Projections!$I$103:$AD$103</c:f>
              <c:numCache>
                <c:formatCode>#,##0</c:formatCode>
                <c:ptCount val="22"/>
                <c:pt idx="0">
                  <c:v>1.863014741053181</c:v>
                </c:pt>
                <c:pt idx="1">
                  <c:v>3.726029482106362</c:v>
                </c:pt>
                <c:pt idx="2">
                  <c:v>7.452058964212724</c:v>
                </c:pt>
                <c:pt idx="3">
                  <c:v>14.904117928425448</c:v>
                </c:pt>
                <c:pt idx="4">
                  <c:v>29.808235856850896</c:v>
                </c:pt>
                <c:pt idx="5">
                  <c:v>59.616471713701792</c:v>
                </c:pt>
                <c:pt idx="6">
                  <c:v>119.23294342740358</c:v>
                </c:pt>
                <c:pt idx="7">
                  <c:v>238.46588685480717</c:v>
                </c:pt>
                <c:pt idx="8">
                  <c:v>357.69883028221074</c:v>
                </c:pt>
                <c:pt idx="9">
                  <c:v>393.46871331043184</c:v>
                </c:pt>
                <c:pt idx="10">
                  <c:v>417.31530199591253</c:v>
                </c:pt>
                <c:pt idx="11">
                  <c:v>441.16189068139323</c:v>
                </c:pt>
                <c:pt idx="12">
                  <c:v>465.00847936687398</c:v>
                </c:pt>
                <c:pt idx="13">
                  <c:v>476.93177370961433</c:v>
                </c:pt>
                <c:pt idx="14">
                  <c:v>572.31812845153718</c:v>
                </c:pt>
                <c:pt idx="15">
                  <c:v>667.70448319346008</c:v>
                </c:pt>
                <c:pt idx="16">
                  <c:v>763.09083793538286</c:v>
                </c:pt>
                <c:pt idx="17">
                  <c:v>858.47719267730577</c:v>
                </c:pt>
                <c:pt idx="18">
                  <c:v>953.86354741922867</c:v>
                </c:pt>
                <c:pt idx="19">
                  <c:v>1907.7270948384573</c:v>
                </c:pt>
                <c:pt idx="20">
                  <c:v>3815.4541896769147</c:v>
                </c:pt>
                <c:pt idx="21">
                  <c:v>7630.9083793538293</c:v>
                </c:pt>
              </c:numCache>
            </c:numRef>
          </c:val>
          <c:smooth val="0"/>
          <c:extLst>
            <c:ext xmlns:c16="http://schemas.microsoft.com/office/drawing/2014/chart" uri="{C3380CC4-5D6E-409C-BE32-E72D297353CC}">
              <c16:uniqueId val="{00000002-04B6-450D-AD81-6BF382C059D1}"/>
            </c:ext>
          </c:extLst>
        </c:ser>
        <c:ser>
          <c:idx val="4"/>
          <c:order val="2"/>
          <c:tx>
            <c:strRef>
              <c:f>Projections!$A$105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Projections!$I$105:$AL$105</c15:sqref>
                  </c15:fullRef>
                </c:ext>
              </c:extLst>
              <c:f>Projections!$I$105:$AD$105</c:f>
              <c:numCache>
                <c:formatCode>#,##0</c:formatCode>
                <c:ptCount val="22"/>
                <c:pt idx="0">
                  <c:v>2.8210201330608342</c:v>
                </c:pt>
                <c:pt idx="1">
                  <c:v>5.6420402661216684</c:v>
                </c:pt>
                <c:pt idx="2">
                  <c:v>11.284080532243337</c:v>
                </c:pt>
                <c:pt idx="3">
                  <c:v>22.568161064486674</c:v>
                </c:pt>
                <c:pt idx="4">
                  <c:v>45.136322128973347</c:v>
                </c:pt>
                <c:pt idx="5">
                  <c:v>90.272644257946695</c:v>
                </c:pt>
                <c:pt idx="6">
                  <c:v>180.54528851589339</c:v>
                </c:pt>
                <c:pt idx="7">
                  <c:v>361.09057703178678</c:v>
                </c:pt>
                <c:pt idx="8">
                  <c:v>541.63586554768017</c:v>
                </c:pt>
                <c:pt idx="9">
                  <c:v>595.79945210244819</c:v>
                </c:pt>
                <c:pt idx="10">
                  <c:v>631.90850980562686</c:v>
                </c:pt>
                <c:pt idx="11">
                  <c:v>668.01756750880554</c:v>
                </c:pt>
                <c:pt idx="12">
                  <c:v>704.12662521198422</c:v>
                </c:pt>
                <c:pt idx="13">
                  <c:v>722.18115406357356</c:v>
                </c:pt>
                <c:pt idx="14">
                  <c:v>866.61738487628827</c:v>
                </c:pt>
                <c:pt idx="15">
                  <c:v>1011.053615689003</c:v>
                </c:pt>
                <c:pt idx="16">
                  <c:v>1155.4898465017177</c:v>
                </c:pt>
                <c:pt idx="17">
                  <c:v>1299.9260773144324</c:v>
                </c:pt>
                <c:pt idx="18">
                  <c:v>1444.3623081271471</c:v>
                </c:pt>
                <c:pt idx="19">
                  <c:v>2888.7246162542942</c:v>
                </c:pt>
                <c:pt idx="20">
                  <c:v>5777.4492325085885</c:v>
                </c:pt>
                <c:pt idx="21">
                  <c:v>11554.898465017177</c:v>
                </c:pt>
              </c:numCache>
            </c:numRef>
          </c:val>
          <c:smooth val="0"/>
          <c:extLst>
            <c:ext xmlns:c16="http://schemas.microsoft.com/office/drawing/2014/chart" uri="{C3380CC4-5D6E-409C-BE32-E72D297353CC}">
              <c16:uniqueId val="{00000004-04B6-450D-AD81-6BF382C059D1}"/>
            </c:ext>
          </c:extLst>
        </c:ser>
        <c:ser>
          <c:idx val="6"/>
          <c:order val="3"/>
          <c:tx>
            <c:strRef>
              <c:f>Projections!$A$107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Projections!$I$107:$AL$107</c15:sqref>
                  </c15:fullRef>
                </c:ext>
              </c:extLst>
              <c:f>Projections!$I$107:$AD$107</c:f>
              <c:numCache>
                <c:formatCode>#,##0</c:formatCode>
                <c:ptCount val="22"/>
                <c:pt idx="0">
                  <c:v>3.8007674914119232</c:v>
                </c:pt>
                <c:pt idx="1">
                  <c:v>7.6015349828238463</c:v>
                </c:pt>
                <c:pt idx="2">
                  <c:v>15.203069965647693</c:v>
                </c:pt>
                <c:pt idx="3">
                  <c:v>30.406139931295385</c:v>
                </c:pt>
                <c:pt idx="4">
                  <c:v>60.812279862590771</c:v>
                </c:pt>
                <c:pt idx="5">
                  <c:v>121.62455972518154</c:v>
                </c:pt>
                <c:pt idx="6">
                  <c:v>243.24911945036308</c:v>
                </c:pt>
                <c:pt idx="7">
                  <c:v>486.49823890072616</c:v>
                </c:pt>
                <c:pt idx="8">
                  <c:v>729.74735835108925</c:v>
                </c:pt>
                <c:pt idx="9">
                  <c:v>802.72209418619821</c:v>
                </c:pt>
                <c:pt idx="10">
                  <c:v>851.37191807627084</c:v>
                </c:pt>
                <c:pt idx="11">
                  <c:v>900.02174196634348</c:v>
                </c:pt>
                <c:pt idx="12">
                  <c:v>948.67156585641601</c:v>
                </c:pt>
                <c:pt idx="13">
                  <c:v>972.99647780145233</c:v>
                </c:pt>
                <c:pt idx="14">
                  <c:v>1167.5957733617429</c:v>
                </c:pt>
                <c:pt idx="15">
                  <c:v>1362.1950689220332</c:v>
                </c:pt>
                <c:pt idx="16">
                  <c:v>1556.7943644823238</c:v>
                </c:pt>
                <c:pt idx="17">
                  <c:v>1751.3936600426143</c:v>
                </c:pt>
                <c:pt idx="18">
                  <c:v>1945.9929556029047</c:v>
                </c:pt>
                <c:pt idx="19">
                  <c:v>3891.9859112058093</c:v>
                </c:pt>
                <c:pt idx="20">
                  <c:v>7783.9718224116186</c:v>
                </c:pt>
                <c:pt idx="21">
                  <c:v>15567.943644823237</c:v>
                </c:pt>
              </c:numCache>
            </c:numRef>
          </c:val>
          <c:smooth val="0"/>
          <c:extLst>
            <c:ext xmlns:c16="http://schemas.microsoft.com/office/drawing/2014/chart" uri="{C3380CC4-5D6E-409C-BE32-E72D297353CC}">
              <c16:uniqueId val="{00000006-04B6-450D-AD81-6BF382C059D1}"/>
            </c:ext>
          </c:extLst>
        </c:ser>
        <c:ser>
          <c:idx val="8"/>
          <c:order val="4"/>
          <c:tx>
            <c:strRef>
              <c:f>Projections!$A$109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Projections!$I$109:$AL$109</c15:sqref>
                  </c15:fullRef>
                </c:ext>
              </c:extLst>
              <c:f>Projections!$I$109:$AD$109</c:f>
              <c:numCache>
                <c:formatCode>#,##0</c:formatCode>
                <c:ptCount val="22"/>
                <c:pt idx="0">
                  <c:v>4.0317758838109317</c:v>
                </c:pt>
                <c:pt idx="1">
                  <c:v>8.0635517676218633</c:v>
                </c:pt>
                <c:pt idx="2">
                  <c:v>16.127103535243727</c:v>
                </c:pt>
                <c:pt idx="3">
                  <c:v>32.254207070487453</c:v>
                </c:pt>
                <c:pt idx="4">
                  <c:v>64.508414140974907</c:v>
                </c:pt>
                <c:pt idx="5">
                  <c:v>129.01682828194981</c:v>
                </c:pt>
                <c:pt idx="6">
                  <c:v>258.03365656389963</c:v>
                </c:pt>
                <c:pt idx="7">
                  <c:v>516.06731312779925</c:v>
                </c:pt>
                <c:pt idx="8">
                  <c:v>774.10096969169899</c:v>
                </c:pt>
                <c:pt idx="9">
                  <c:v>851.51106666086889</c:v>
                </c:pt>
                <c:pt idx="10">
                  <c:v>903.11779797364875</c:v>
                </c:pt>
                <c:pt idx="11">
                  <c:v>954.72452928642872</c:v>
                </c:pt>
                <c:pt idx="12">
                  <c:v>1006.3312605992086</c:v>
                </c:pt>
                <c:pt idx="13">
                  <c:v>1032.1346262555985</c:v>
                </c:pt>
                <c:pt idx="14">
                  <c:v>1238.5615515067184</c:v>
                </c:pt>
                <c:pt idx="15">
                  <c:v>1444.988476757838</c:v>
                </c:pt>
                <c:pt idx="16">
                  <c:v>1651.4154020089577</c:v>
                </c:pt>
                <c:pt idx="17">
                  <c:v>1857.8423272600776</c:v>
                </c:pt>
                <c:pt idx="18">
                  <c:v>2064.269252511197</c:v>
                </c:pt>
                <c:pt idx="19">
                  <c:v>4128.538505022394</c:v>
                </c:pt>
                <c:pt idx="20">
                  <c:v>8257.077010044788</c:v>
                </c:pt>
                <c:pt idx="21">
                  <c:v>16514.154020089576</c:v>
                </c:pt>
              </c:numCache>
            </c:numRef>
          </c:val>
          <c:smooth val="0"/>
          <c:extLst>
            <c:ext xmlns:c16="http://schemas.microsoft.com/office/drawing/2014/chart" uri="{C3380CC4-5D6E-409C-BE32-E72D297353CC}">
              <c16:uniqueId val="{00000008-04B6-450D-AD81-6BF382C059D1}"/>
            </c:ext>
          </c:extLst>
        </c:ser>
        <c:ser>
          <c:idx val="10"/>
          <c:order val="5"/>
          <c:tx>
            <c:strRef>
              <c:f>Projections!$A$111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Projections!$I$111:$AL$111</c15:sqref>
                  </c15:fullRef>
                </c:ext>
              </c:extLst>
              <c:f>Projections!$I$111:$AD$111</c:f>
              <c:numCache>
                <c:formatCode>#,##0</c:formatCode>
                <c:ptCount val="22"/>
                <c:pt idx="0">
                  <c:v>5.4246206026873072</c:v>
                </c:pt>
                <c:pt idx="1">
                  <c:v>10.849241205374614</c:v>
                </c:pt>
                <c:pt idx="2">
                  <c:v>21.698482410749229</c:v>
                </c:pt>
                <c:pt idx="3">
                  <c:v>43.396964821498457</c:v>
                </c:pt>
                <c:pt idx="4">
                  <c:v>86.793929642996915</c:v>
                </c:pt>
                <c:pt idx="5">
                  <c:v>173.58785928599383</c:v>
                </c:pt>
                <c:pt idx="6">
                  <c:v>347.17571857198766</c:v>
                </c:pt>
                <c:pt idx="7">
                  <c:v>694.35143714397532</c:v>
                </c:pt>
                <c:pt idx="8">
                  <c:v>1041.5271557159629</c:v>
                </c:pt>
                <c:pt idx="9">
                  <c:v>1145.6798712875593</c:v>
                </c:pt>
                <c:pt idx="10">
                  <c:v>1215.1150150019569</c:v>
                </c:pt>
                <c:pt idx="11">
                  <c:v>1284.5501587163542</c:v>
                </c:pt>
                <c:pt idx="12">
                  <c:v>1353.9853024307517</c:v>
                </c:pt>
                <c:pt idx="13">
                  <c:v>1388.7028742879506</c:v>
                </c:pt>
                <c:pt idx="14">
                  <c:v>1666.4434491455406</c:v>
                </c:pt>
                <c:pt idx="15">
                  <c:v>1944.1840240031308</c:v>
                </c:pt>
                <c:pt idx="16">
                  <c:v>2221.9245988607208</c:v>
                </c:pt>
                <c:pt idx="17">
                  <c:v>2499.6651737183111</c:v>
                </c:pt>
                <c:pt idx="18">
                  <c:v>2777.4057485759013</c:v>
                </c:pt>
                <c:pt idx="19">
                  <c:v>5554.8114971518025</c:v>
                </c:pt>
                <c:pt idx="20">
                  <c:v>11109.622994303605</c:v>
                </c:pt>
                <c:pt idx="21">
                  <c:v>22219.24598860721</c:v>
                </c:pt>
              </c:numCache>
            </c:numRef>
          </c:val>
          <c:smooth val="0"/>
          <c:extLst>
            <c:ext xmlns:c16="http://schemas.microsoft.com/office/drawing/2014/chart" uri="{C3380CC4-5D6E-409C-BE32-E72D297353CC}">
              <c16:uniqueId val="{0000000A-04B6-450D-AD81-6BF382C059D1}"/>
            </c:ext>
          </c:extLst>
        </c:ser>
        <c:ser>
          <c:idx val="12"/>
          <c:order val="6"/>
          <c:tx>
            <c:strRef>
              <c:f>Projections!$A$113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Projections!$I$113:$AL$113</c15:sqref>
                  </c15:fullRef>
                </c:ext>
              </c:extLst>
              <c:f>Projections!$I$113:$AD$113</c:f>
              <c:numCache>
                <c:formatCode>#,##0</c:formatCode>
                <c:ptCount val="22"/>
                <c:pt idx="0">
                  <c:v>7.1272883419576472</c:v>
                </c:pt>
                <c:pt idx="1">
                  <c:v>14.254576683915294</c:v>
                </c:pt>
                <c:pt idx="2">
                  <c:v>28.509153367830589</c:v>
                </c:pt>
                <c:pt idx="3">
                  <c:v>57.018306735661177</c:v>
                </c:pt>
                <c:pt idx="4">
                  <c:v>114.03661347132235</c:v>
                </c:pt>
                <c:pt idx="5">
                  <c:v>228.07322694264471</c:v>
                </c:pt>
                <c:pt idx="6">
                  <c:v>456.14645388528942</c:v>
                </c:pt>
                <c:pt idx="7">
                  <c:v>912.29290777057884</c:v>
                </c:pt>
                <c:pt idx="8">
                  <c:v>1368.4393616558682</c:v>
                </c:pt>
                <c:pt idx="9">
                  <c:v>1505.2832978214551</c:v>
                </c:pt>
                <c:pt idx="10">
                  <c:v>1596.5125885985128</c:v>
                </c:pt>
                <c:pt idx="11">
                  <c:v>1687.7418793755708</c:v>
                </c:pt>
                <c:pt idx="12">
                  <c:v>1778.9711701526287</c:v>
                </c:pt>
                <c:pt idx="13">
                  <c:v>1824.5858155411577</c:v>
                </c:pt>
                <c:pt idx="14">
                  <c:v>2189.5029786493892</c:v>
                </c:pt>
                <c:pt idx="15">
                  <c:v>2554.4201417576205</c:v>
                </c:pt>
                <c:pt idx="16">
                  <c:v>2919.3373048658523</c:v>
                </c:pt>
                <c:pt idx="17">
                  <c:v>3284.2544679740836</c:v>
                </c:pt>
                <c:pt idx="18">
                  <c:v>3649.1716310823153</c:v>
                </c:pt>
                <c:pt idx="19">
                  <c:v>7298.3432621646307</c:v>
                </c:pt>
                <c:pt idx="20">
                  <c:v>14596.686524329261</c:v>
                </c:pt>
                <c:pt idx="21">
                  <c:v>29193.373048658523</c:v>
                </c:pt>
              </c:numCache>
            </c:numRef>
          </c:val>
          <c:smooth val="0"/>
          <c:extLst>
            <c:ext xmlns:c16="http://schemas.microsoft.com/office/drawing/2014/chart" uri="{C3380CC4-5D6E-409C-BE32-E72D297353CC}">
              <c16:uniqueId val="{0000000C-04B6-450D-AD81-6BF382C059D1}"/>
            </c:ext>
          </c:extLst>
        </c:ser>
        <c:ser>
          <c:idx val="14"/>
          <c:order val="7"/>
          <c:tx>
            <c:strRef>
              <c:f>Projections!$A$115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Projections!$I$115:$AL$115</c15:sqref>
                  </c15:fullRef>
                </c:ext>
              </c:extLst>
              <c:f>Projections!$I$115:$AD$115</c:f>
              <c:numCache>
                <c:formatCode>#,##0</c:formatCode>
                <c:ptCount val="22"/>
                <c:pt idx="0">
                  <c:v>2.5995238509370791</c:v>
                </c:pt>
                <c:pt idx="1">
                  <c:v>5.1990477018741581</c:v>
                </c:pt>
                <c:pt idx="2">
                  <c:v>10.398095403748316</c:v>
                </c:pt>
                <c:pt idx="3">
                  <c:v>20.796190807496632</c:v>
                </c:pt>
                <c:pt idx="4">
                  <c:v>41.592381614993265</c:v>
                </c:pt>
                <c:pt idx="5">
                  <c:v>83.18476322998653</c:v>
                </c:pt>
                <c:pt idx="6">
                  <c:v>166.36952645997306</c:v>
                </c:pt>
                <c:pt idx="7">
                  <c:v>332.73905291994612</c:v>
                </c:pt>
                <c:pt idx="8">
                  <c:v>499.10857937991915</c:v>
                </c:pt>
                <c:pt idx="9">
                  <c:v>549.01943731791107</c:v>
                </c:pt>
                <c:pt idx="10">
                  <c:v>582.29334260990572</c:v>
                </c:pt>
                <c:pt idx="11">
                  <c:v>615.56724790190026</c:v>
                </c:pt>
                <c:pt idx="12">
                  <c:v>648.84115319389491</c:v>
                </c:pt>
                <c:pt idx="13">
                  <c:v>665.47810583989224</c:v>
                </c:pt>
                <c:pt idx="14">
                  <c:v>798.57372700787062</c:v>
                </c:pt>
                <c:pt idx="15">
                  <c:v>931.66934817584911</c:v>
                </c:pt>
                <c:pt idx="16">
                  <c:v>1064.7649693438275</c:v>
                </c:pt>
                <c:pt idx="17">
                  <c:v>1197.8605905118059</c:v>
                </c:pt>
                <c:pt idx="18">
                  <c:v>1330.9562116797845</c:v>
                </c:pt>
                <c:pt idx="19">
                  <c:v>2661.9124233595689</c:v>
                </c:pt>
                <c:pt idx="20">
                  <c:v>5323.8248467191379</c:v>
                </c:pt>
                <c:pt idx="21">
                  <c:v>10647.649693438276</c:v>
                </c:pt>
              </c:numCache>
            </c:numRef>
          </c:val>
          <c:smooth val="0"/>
          <c:extLst>
            <c:ext xmlns:c16="http://schemas.microsoft.com/office/drawing/2014/chart" uri="{C3380CC4-5D6E-409C-BE32-E72D297353CC}">
              <c16:uniqueId val="{0000000E-04B6-450D-AD81-6BF382C059D1}"/>
            </c:ext>
          </c:extLst>
        </c:ser>
        <c:ser>
          <c:idx val="16"/>
          <c:order val="8"/>
          <c:tx>
            <c:strRef>
              <c:f>Projections!$A$117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Projections!$I$117:$AL$117</c15:sqref>
                  </c15:fullRef>
                </c:ext>
              </c:extLst>
              <c:f>Projections!$I$117:$AD$117</c:f>
              <c:numCache>
                <c:formatCode>#,##0</c:formatCode>
                <c:ptCount val="22"/>
                <c:pt idx="0">
                  <c:v>1.4159455581162761</c:v>
                </c:pt>
                <c:pt idx="1">
                  <c:v>2.8318911162325522</c:v>
                </c:pt>
                <c:pt idx="2">
                  <c:v>5.6637822324651044</c:v>
                </c:pt>
                <c:pt idx="3">
                  <c:v>11.327564464930209</c:v>
                </c:pt>
                <c:pt idx="4">
                  <c:v>22.655128929860417</c:v>
                </c:pt>
                <c:pt idx="5">
                  <c:v>45.310257859720835</c:v>
                </c:pt>
                <c:pt idx="6">
                  <c:v>90.62051571944167</c:v>
                </c:pt>
                <c:pt idx="7">
                  <c:v>181.24103143888334</c:v>
                </c:pt>
                <c:pt idx="8">
                  <c:v>271.86154715832504</c:v>
                </c:pt>
                <c:pt idx="9">
                  <c:v>299.0477018741575</c:v>
                </c:pt>
                <c:pt idx="10">
                  <c:v>317.17180501804586</c:v>
                </c:pt>
                <c:pt idx="11">
                  <c:v>335.29590816193416</c:v>
                </c:pt>
                <c:pt idx="12">
                  <c:v>353.42001130582253</c:v>
                </c:pt>
                <c:pt idx="13">
                  <c:v>362.48206287776668</c:v>
                </c:pt>
                <c:pt idx="14">
                  <c:v>434.97847545332002</c:v>
                </c:pt>
                <c:pt idx="15">
                  <c:v>507.47488802887335</c:v>
                </c:pt>
                <c:pt idx="16">
                  <c:v>579.97130060442669</c:v>
                </c:pt>
                <c:pt idx="17">
                  <c:v>652.46771317998002</c:v>
                </c:pt>
                <c:pt idx="18">
                  <c:v>724.96412575553336</c:v>
                </c:pt>
                <c:pt idx="19">
                  <c:v>1449.9282515110667</c:v>
                </c:pt>
                <c:pt idx="20">
                  <c:v>2899.8565030221334</c:v>
                </c:pt>
                <c:pt idx="21">
                  <c:v>5799.7130060442669</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Projections!$I$102:$AL$102</c15:sqref>
                  </c15:fullRef>
                </c:ext>
              </c:extLst>
              <c:f>Projections!$I$102:$AD$102</c:f>
              <c:numCache>
                <c:formatCode>#,##0</c:formatCode>
                <c:ptCount val="22"/>
                <c:pt idx="0">
                  <c:v>0.37504891942427276</c:v>
                </c:pt>
                <c:pt idx="1">
                  <c:v>0.75009783884854553</c:v>
                </c:pt>
                <c:pt idx="2">
                  <c:v>1.5001956776970911</c:v>
                </c:pt>
                <c:pt idx="3">
                  <c:v>3.0003913553941821</c:v>
                </c:pt>
                <c:pt idx="4">
                  <c:v>6.0007827107883642</c:v>
                </c:pt>
                <c:pt idx="5">
                  <c:v>12.001565421576728</c:v>
                </c:pt>
                <c:pt idx="6">
                  <c:v>24.003130843153457</c:v>
                </c:pt>
                <c:pt idx="7">
                  <c:v>48.006261686306914</c:v>
                </c:pt>
                <c:pt idx="8">
                  <c:v>72.009392529460371</c:v>
                </c:pt>
                <c:pt idx="9">
                  <c:v>79.210331782406399</c:v>
                </c:pt>
                <c:pt idx="10">
                  <c:v>84.010957951037099</c:v>
                </c:pt>
                <c:pt idx="11">
                  <c:v>88.811584119667785</c:v>
                </c:pt>
                <c:pt idx="12">
                  <c:v>93.612210288298471</c:v>
                </c:pt>
                <c:pt idx="13">
                  <c:v>96.012523372613828</c:v>
                </c:pt>
                <c:pt idx="14">
                  <c:v>115.21502804713658</c:v>
                </c:pt>
                <c:pt idx="15">
                  <c:v>134.41753272165937</c:v>
                </c:pt>
                <c:pt idx="16">
                  <c:v>153.62003739618211</c:v>
                </c:pt>
                <c:pt idx="17">
                  <c:v>172.82254207070488</c:v>
                </c:pt>
                <c:pt idx="18">
                  <c:v>192.02504674522766</c:v>
                </c:pt>
                <c:pt idx="19">
                  <c:v>384.05009349045531</c:v>
                </c:pt>
                <c:pt idx="20">
                  <c:v>768.10018698091062</c:v>
                </c:pt>
                <c:pt idx="21">
                  <c:v>1536.2003739618212</c:v>
                </c:pt>
              </c:numCache>
            </c:numRef>
          </c:val>
          <c:smooth val="0"/>
          <c:extLst>
            <c:ext xmlns:c16="http://schemas.microsoft.com/office/drawing/2014/chart" uri="{C3380CC4-5D6E-409C-BE32-E72D297353CC}">
              <c16:uniqueId val="{00000001-EBAD-48A5-9277-83F388186C0C}"/>
            </c:ext>
          </c:extLst>
        </c:ser>
        <c:ser>
          <c:idx val="3"/>
          <c:order val="1"/>
          <c:tx>
            <c:strRef>
              <c:f>Projections!$A$103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Projections!$I$104:$AL$104</c15:sqref>
                  </c15:fullRef>
                </c:ext>
              </c:extLst>
              <c:f>Projections!$I$104:$AD$104</c:f>
              <c:numCache>
                <c:formatCode>#,##0</c:formatCode>
                <c:ptCount val="22"/>
                <c:pt idx="0">
                  <c:v>0.11550419619950429</c:v>
                </c:pt>
                <c:pt idx="1">
                  <c:v>0.23100839239900858</c:v>
                </c:pt>
                <c:pt idx="2">
                  <c:v>0.46201678479801717</c:v>
                </c:pt>
                <c:pt idx="3">
                  <c:v>0.92403356959603433</c:v>
                </c:pt>
                <c:pt idx="4">
                  <c:v>1.8480671391920687</c:v>
                </c:pt>
                <c:pt idx="5">
                  <c:v>3.6961342783841373</c:v>
                </c:pt>
                <c:pt idx="6">
                  <c:v>7.3922685567682747</c:v>
                </c:pt>
                <c:pt idx="7">
                  <c:v>14.784537113536549</c:v>
                </c:pt>
                <c:pt idx="8">
                  <c:v>22.176805670304823</c:v>
                </c:pt>
                <c:pt idx="9">
                  <c:v>24.394486237335308</c:v>
                </c:pt>
                <c:pt idx="10">
                  <c:v>25.872939948688959</c:v>
                </c:pt>
                <c:pt idx="11">
                  <c:v>27.351393660042614</c:v>
                </c:pt>
                <c:pt idx="12">
                  <c:v>28.829847371396273</c:v>
                </c:pt>
                <c:pt idx="13">
                  <c:v>29.569074227073099</c:v>
                </c:pt>
                <c:pt idx="14">
                  <c:v>35.482889072487716</c:v>
                </c:pt>
                <c:pt idx="15">
                  <c:v>41.396703917902336</c:v>
                </c:pt>
                <c:pt idx="16">
                  <c:v>47.310518763316949</c:v>
                </c:pt>
                <c:pt idx="17">
                  <c:v>53.224333608731577</c:v>
                </c:pt>
                <c:pt idx="18">
                  <c:v>59.138148454146197</c:v>
                </c:pt>
                <c:pt idx="19">
                  <c:v>118.27629690829239</c:v>
                </c:pt>
                <c:pt idx="20">
                  <c:v>236.55259381658479</c:v>
                </c:pt>
                <c:pt idx="21">
                  <c:v>473.10518763316958</c:v>
                </c:pt>
              </c:numCache>
            </c:numRef>
          </c:val>
          <c:smooth val="0"/>
          <c:extLst>
            <c:ext xmlns:c16="http://schemas.microsoft.com/office/drawing/2014/chart" uri="{C3380CC4-5D6E-409C-BE32-E72D297353CC}">
              <c16:uniqueId val="{00000003-EBAD-48A5-9277-83F388186C0C}"/>
            </c:ext>
          </c:extLst>
        </c:ser>
        <c:ser>
          <c:idx val="5"/>
          <c:order val="2"/>
          <c:tx>
            <c:strRef>
              <c:f>Projections!$A$105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Projections!$I$106:$AL$106</c15:sqref>
                  </c15:fullRef>
                </c:ext>
              </c:extLst>
              <c:f>Projections!$I$106:$AD$106</c:f>
              <c:numCache>
                <c:formatCode>#,##0</c:formatCode>
                <c:ptCount val="22"/>
                <c:pt idx="0">
                  <c:v>2.4459712136365611E-2</c:v>
                </c:pt>
                <c:pt idx="1">
                  <c:v>4.8919424272731223E-2</c:v>
                </c:pt>
                <c:pt idx="2">
                  <c:v>9.7838848545462445E-2</c:v>
                </c:pt>
                <c:pt idx="3">
                  <c:v>0.19567769709092489</c:v>
                </c:pt>
                <c:pt idx="4">
                  <c:v>0.39135539418184978</c:v>
                </c:pt>
                <c:pt idx="5">
                  <c:v>0.78271078836369956</c:v>
                </c:pt>
                <c:pt idx="6">
                  <c:v>1.5654215767273991</c:v>
                </c:pt>
                <c:pt idx="7">
                  <c:v>3.1308431534547982</c:v>
                </c:pt>
                <c:pt idx="8">
                  <c:v>4.6962647301821976</c:v>
                </c:pt>
                <c:pt idx="9">
                  <c:v>5.1658912032004176</c:v>
                </c:pt>
                <c:pt idx="10">
                  <c:v>5.478975518545897</c:v>
                </c:pt>
                <c:pt idx="11">
                  <c:v>5.7920598338913774</c:v>
                </c:pt>
                <c:pt idx="12">
                  <c:v>6.1051441492368568</c:v>
                </c:pt>
                <c:pt idx="13">
                  <c:v>6.2616863069095965</c:v>
                </c:pt>
                <c:pt idx="14">
                  <c:v>7.514023568291516</c:v>
                </c:pt>
                <c:pt idx="15">
                  <c:v>8.7663608296734346</c:v>
                </c:pt>
                <c:pt idx="16">
                  <c:v>10.018698091055354</c:v>
                </c:pt>
                <c:pt idx="17">
                  <c:v>11.271035352437274</c:v>
                </c:pt>
                <c:pt idx="18">
                  <c:v>12.523372613819193</c:v>
                </c:pt>
                <c:pt idx="19">
                  <c:v>25.046745227638386</c:v>
                </c:pt>
                <c:pt idx="20">
                  <c:v>50.093490455276772</c:v>
                </c:pt>
                <c:pt idx="21">
                  <c:v>100.18698091055354</c:v>
                </c:pt>
              </c:numCache>
            </c:numRef>
          </c:val>
          <c:smooth val="0"/>
          <c:extLst>
            <c:ext xmlns:c16="http://schemas.microsoft.com/office/drawing/2014/chart" uri="{C3380CC4-5D6E-409C-BE32-E72D297353CC}">
              <c16:uniqueId val="{00000005-EBAD-48A5-9277-83F388186C0C}"/>
            </c:ext>
          </c:extLst>
        </c:ser>
        <c:ser>
          <c:idx val="7"/>
          <c:order val="3"/>
          <c:tx>
            <c:strRef>
              <c:f>Projections!$A$107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Projections!$I$108:$AL$108</c15:sqref>
                  </c15:fullRef>
                </c:ext>
              </c:extLst>
              <c:f>Projections!$I$108:$AD$108</c:f>
              <c:numCache>
                <c:formatCode>#,##0</c:formatCode>
                <c:ptCount val="22"/>
                <c:pt idx="0">
                  <c:v>1.6306474757577075E-2</c:v>
                </c:pt>
                <c:pt idx="1">
                  <c:v>3.2612949515154151E-2</c:v>
                </c:pt>
                <c:pt idx="2">
                  <c:v>6.5225899030308301E-2</c:v>
                </c:pt>
                <c:pt idx="3">
                  <c:v>0.1304517980606166</c:v>
                </c:pt>
                <c:pt idx="4">
                  <c:v>0.26090359612123321</c:v>
                </c:pt>
                <c:pt idx="5">
                  <c:v>0.52180719224246641</c:v>
                </c:pt>
                <c:pt idx="6">
                  <c:v>1.0436143844849328</c:v>
                </c:pt>
                <c:pt idx="7">
                  <c:v>2.0872287689698656</c:v>
                </c:pt>
                <c:pt idx="8">
                  <c:v>3.1308431534547982</c:v>
                </c:pt>
                <c:pt idx="9">
                  <c:v>3.4439274688002781</c:v>
                </c:pt>
                <c:pt idx="10">
                  <c:v>3.652650345697265</c:v>
                </c:pt>
                <c:pt idx="11">
                  <c:v>3.8613732225942514</c:v>
                </c:pt>
                <c:pt idx="12">
                  <c:v>4.0700960994912379</c:v>
                </c:pt>
                <c:pt idx="13">
                  <c:v>4.1744575379397313</c:v>
                </c:pt>
                <c:pt idx="14">
                  <c:v>5.0093490455276779</c:v>
                </c:pt>
                <c:pt idx="15">
                  <c:v>5.8442405531156236</c:v>
                </c:pt>
                <c:pt idx="16">
                  <c:v>6.6791320607035702</c:v>
                </c:pt>
                <c:pt idx="17">
                  <c:v>7.5140235682915169</c:v>
                </c:pt>
                <c:pt idx="18">
                  <c:v>8.3489150758794626</c:v>
                </c:pt>
                <c:pt idx="19">
                  <c:v>16.697830151758925</c:v>
                </c:pt>
                <c:pt idx="20">
                  <c:v>33.39566030351785</c:v>
                </c:pt>
                <c:pt idx="21">
                  <c:v>66.791320607035701</c:v>
                </c:pt>
              </c:numCache>
            </c:numRef>
          </c:val>
          <c:smooth val="0"/>
          <c:extLst>
            <c:ext xmlns:c16="http://schemas.microsoft.com/office/drawing/2014/chart" uri="{C3380CC4-5D6E-409C-BE32-E72D297353CC}">
              <c16:uniqueId val="{00000007-EBAD-48A5-9277-83F388186C0C}"/>
            </c:ext>
          </c:extLst>
        </c:ser>
        <c:ser>
          <c:idx val="9"/>
          <c:order val="4"/>
          <c:tx>
            <c:strRef>
              <c:f>Projections!$A$109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Projections!$I$110:$AL$110</c15:sqref>
                  </c15:fullRef>
                </c:ext>
              </c:extLst>
              <c:f>Projections!$I$110:$AD$110</c:f>
              <c:numCache>
                <c:formatCode>#,##0</c:formatCode>
                <c:ptCount val="22"/>
                <c:pt idx="0">
                  <c:v>2.7177457929295126E-3</c:v>
                </c:pt>
                <c:pt idx="1">
                  <c:v>5.4354915858590251E-3</c:v>
                </c:pt>
                <c:pt idx="2">
                  <c:v>1.087098317171805E-2</c:v>
                </c:pt>
                <c:pt idx="3">
                  <c:v>2.17419663434361E-2</c:v>
                </c:pt>
                <c:pt idx="4">
                  <c:v>4.3483932686872201E-2</c:v>
                </c:pt>
                <c:pt idx="5">
                  <c:v>8.6967865373744402E-2</c:v>
                </c:pt>
                <c:pt idx="6">
                  <c:v>0.1739357307474888</c:v>
                </c:pt>
                <c:pt idx="7">
                  <c:v>0.34787146149497761</c:v>
                </c:pt>
                <c:pt idx="8">
                  <c:v>0.52180719224246652</c:v>
                </c:pt>
                <c:pt idx="9">
                  <c:v>0.57398791146671313</c:v>
                </c:pt>
                <c:pt idx="10">
                  <c:v>0.60877505761621087</c:v>
                </c:pt>
                <c:pt idx="11">
                  <c:v>0.64356220376570861</c:v>
                </c:pt>
                <c:pt idx="12">
                  <c:v>0.67834934991520635</c:v>
                </c:pt>
                <c:pt idx="13">
                  <c:v>0.69574292298995521</c:v>
                </c:pt>
                <c:pt idx="14">
                  <c:v>0.83489150758794639</c:v>
                </c:pt>
                <c:pt idx="15">
                  <c:v>0.97404009218593735</c:v>
                </c:pt>
                <c:pt idx="16">
                  <c:v>1.1131886767839283</c:v>
                </c:pt>
                <c:pt idx="17">
                  <c:v>1.2523372613819195</c:v>
                </c:pt>
                <c:pt idx="18">
                  <c:v>1.3914858459799104</c:v>
                </c:pt>
                <c:pt idx="19">
                  <c:v>2.7829716919598209</c:v>
                </c:pt>
                <c:pt idx="20">
                  <c:v>5.5659433839196417</c:v>
                </c:pt>
                <c:pt idx="21">
                  <c:v>11.131886767839283</c:v>
                </c:pt>
              </c:numCache>
            </c:numRef>
          </c:val>
          <c:smooth val="0"/>
          <c:extLst>
            <c:ext xmlns:c16="http://schemas.microsoft.com/office/drawing/2014/chart" uri="{C3380CC4-5D6E-409C-BE32-E72D297353CC}">
              <c16:uniqueId val="{00000009-EBAD-48A5-9277-83F388186C0C}"/>
            </c:ext>
          </c:extLst>
        </c:ser>
        <c:ser>
          <c:idx val="11"/>
          <c:order val="5"/>
          <c:tx>
            <c:strRef>
              <c:f>Projections!$A$111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Projections!$I$112:$AL$112</c15:sqref>
                  </c15:fullRef>
                </c:ext>
              </c:extLst>
              <c:f>Projections!$I$112:$AD$112</c:f>
              <c:numCache>
                <c:formatCode>#,##0</c:formatCode>
                <c:ptCount val="22"/>
                <c:pt idx="0">
                  <c:v>2.7177457929295126E-3</c:v>
                </c:pt>
                <c:pt idx="1">
                  <c:v>5.4354915858590251E-3</c:v>
                </c:pt>
                <c:pt idx="2">
                  <c:v>1.087098317171805E-2</c:v>
                </c:pt>
                <c:pt idx="3">
                  <c:v>2.17419663434361E-2</c:v>
                </c:pt>
                <c:pt idx="4">
                  <c:v>4.3483932686872201E-2</c:v>
                </c:pt>
                <c:pt idx="5">
                  <c:v>8.6967865373744402E-2</c:v>
                </c:pt>
                <c:pt idx="6">
                  <c:v>0.1739357307474888</c:v>
                </c:pt>
                <c:pt idx="7">
                  <c:v>0.34787146149497761</c:v>
                </c:pt>
                <c:pt idx="8">
                  <c:v>0.5218071922424663</c:v>
                </c:pt>
                <c:pt idx="9">
                  <c:v>0.57398791146671302</c:v>
                </c:pt>
                <c:pt idx="10">
                  <c:v>0.60877505761621076</c:v>
                </c:pt>
                <c:pt idx="11">
                  <c:v>0.6435622037657085</c:v>
                </c:pt>
                <c:pt idx="12">
                  <c:v>0.67834934991520623</c:v>
                </c:pt>
                <c:pt idx="13">
                  <c:v>0.69574292298995521</c:v>
                </c:pt>
                <c:pt idx="14">
                  <c:v>0.83489150758794617</c:v>
                </c:pt>
                <c:pt idx="15">
                  <c:v>0.97404009218593723</c:v>
                </c:pt>
                <c:pt idx="16">
                  <c:v>1.1131886767839281</c:v>
                </c:pt>
                <c:pt idx="17">
                  <c:v>1.2523372613819193</c:v>
                </c:pt>
                <c:pt idx="18">
                  <c:v>1.3914858459799104</c:v>
                </c:pt>
                <c:pt idx="19">
                  <c:v>2.7829716919598209</c:v>
                </c:pt>
                <c:pt idx="20">
                  <c:v>5.5659433839196417</c:v>
                </c:pt>
                <c:pt idx="21">
                  <c:v>11.131886767839283</c:v>
                </c:pt>
              </c:numCache>
            </c:numRef>
          </c:val>
          <c:smooth val="0"/>
          <c:extLst>
            <c:ext xmlns:c16="http://schemas.microsoft.com/office/drawing/2014/chart" uri="{C3380CC4-5D6E-409C-BE32-E72D297353CC}">
              <c16:uniqueId val="{0000000B-EBAD-48A5-9277-83F388186C0C}"/>
            </c:ext>
          </c:extLst>
        </c:ser>
        <c:ser>
          <c:idx val="13"/>
          <c:order val="6"/>
          <c:tx>
            <c:strRef>
              <c:f>Projections!$A$113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Projections!$I$114:$AL$114</c15:sqref>
                  </c15:fullRef>
                </c:ext>
              </c:extLst>
              <c:f>Projections!$I$114:$AD$114</c:f>
              <c:numCache>
                <c:formatCode>#,##0</c:formatCode>
                <c:ptCount val="22"/>
                <c:pt idx="0">
                  <c:v>1.3588728964647563E-3</c:v>
                </c:pt>
                <c:pt idx="1">
                  <c:v>2.7177457929295126E-3</c:v>
                </c:pt>
                <c:pt idx="2">
                  <c:v>5.4354915858590251E-3</c:v>
                </c:pt>
                <c:pt idx="3">
                  <c:v>1.087098317171805E-2</c:v>
                </c:pt>
                <c:pt idx="4">
                  <c:v>2.17419663434361E-2</c:v>
                </c:pt>
                <c:pt idx="5">
                  <c:v>4.3483932686872201E-2</c:v>
                </c:pt>
                <c:pt idx="6">
                  <c:v>8.6967865373744402E-2</c:v>
                </c:pt>
                <c:pt idx="7">
                  <c:v>0.1739357307474888</c:v>
                </c:pt>
                <c:pt idx="8">
                  <c:v>0.26090359612123321</c:v>
                </c:pt>
                <c:pt idx="9">
                  <c:v>0.28699395573335651</c:v>
                </c:pt>
                <c:pt idx="10">
                  <c:v>0.30438752880810538</c:v>
                </c:pt>
                <c:pt idx="11">
                  <c:v>0.32178110188285425</c:v>
                </c:pt>
                <c:pt idx="12">
                  <c:v>0.33917467495760317</c:v>
                </c:pt>
                <c:pt idx="13">
                  <c:v>0.34787146149497761</c:v>
                </c:pt>
                <c:pt idx="14">
                  <c:v>0.41744575379397314</c:v>
                </c:pt>
                <c:pt idx="15">
                  <c:v>0.48702004609296862</c:v>
                </c:pt>
                <c:pt idx="16">
                  <c:v>0.55659433839196415</c:v>
                </c:pt>
                <c:pt idx="17">
                  <c:v>0.62616863069095963</c:v>
                </c:pt>
                <c:pt idx="18">
                  <c:v>0.69574292298995521</c:v>
                </c:pt>
                <c:pt idx="19">
                  <c:v>1.3914858459799104</c:v>
                </c:pt>
                <c:pt idx="20">
                  <c:v>2.7829716919598209</c:v>
                </c:pt>
                <c:pt idx="21">
                  <c:v>5.5659433839196417</c:v>
                </c:pt>
              </c:numCache>
            </c:numRef>
          </c:val>
          <c:smooth val="0"/>
          <c:extLst>
            <c:ext xmlns:c16="http://schemas.microsoft.com/office/drawing/2014/chart" uri="{C3380CC4-5D6E-409C-BE32-E72D297353CC}">
              <c16:uniqueId val="{0000000D-EBAD-48A5-9277-83F388186C0C}"/>
            </c:ext>
          </c:extLst>
        </c:ser>
        <c:ser>
          <c:idx val="15"/>
          <c:order val="7"/>
          <c:tx>
            <c:strRef>
              <c:f>Projections!$A$115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Projections!$I$116:$AL$116</c15:sqref>
                  </c15:fullRef>
                </c:ext>
              </c:extLst>
              <c:f>Projections!$I$116:$AD$116</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F-EBAD-48A5-9277-83F388186C0C}"/>
            </c:ext>
          </c:extLst>
        </c:ser>
        <c:ser>
          <c:idx val="17"/>
          <c:order val="8"/>
          <c:tx>
            <c:strRef>
              <c:f>Projections!$A$117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Projections!$I$118:$AL$118</c15:sqref>
                  </c15:fullRef>
                </c:ext>
              </c:extLst>
              <c:f>Projections!$I$118:$AD$118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Projections!$A$130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Projections!$I$130:$AL$130</c15:sqref>
                  </c15:fullRef>
                </c:ext>
              </c:extLst>
              <c:f>Projections!$I$130:$AD$130</c:f>
              <c:numCache>
                <c:formatCode>#,##0</c:formatCode>
                <c:ptCount val="22"/>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3392</c:v>
                </c:pt>
                <c:pt idx="20">
                  <c:v>6784</c:v>
                </c:pt>
                <c:pt idx="21">
                  <c:v>13568</c:v>
                </c:pt>
              </c:numCache>
            </c:numRef>
          </c:val>
          <c:smooth val="0"/>
          <c:extLst>
            <c:ext xmlns:c16="http://schemas.microsoft.com/office/drawing/2014/chart" uri="{C3380CC4-5D6E-409C-BE32-E72D297353CC}">
              <c16:uniqueId val="{0000001E-05DD-4DD4-A5B5-12D162507280}"/>
            </c:ext>
          </c:extLst>
        </c:ser>
        <c:ser>
          <c:idx val="4"/>
          <c:order val="1"/>
          <c:tx>
            <c:strRef>
              <c:f>Projections!$A$128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Projections!$I$128:$AL$128</c15:sqref>
                  </c15:fullRef>
                </c:ext>
              </c:extLst>
              <c:f>Projections!$I$128:$AD$128</c:f>
              <c:numCache>
                <c:formatCode>#,##0</c:formatCode>
                <c:ptCount val="22"/>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9920</c:v>
                </c:pt>
                <c:pt idx="20">
                  <c:v>19840</c:v>
                </c:pt>
                <c:pt idx="21">
                  <c:v>39680</c:v>
                </c:pt>
              </c:numCache>
            </c:numRef>
          </c:val>
          <c:smooth val="0"/>
          <c:extLst>
            <c:ext xmlns:c16="http://schemas.microsoft.com/office/drawing/2014/chart" uri="{C3380CC4-5D6E-409C-BE32-E72D297353CC}">
              <c16:uniqueId val="{0000001C-05DD-4DD4-A5B5-12D162507280}"/>
            </c:ext>
          </c:extLst>
        </c:ser>
        <c:ser>
          <c:idx val="10"/>
          <c:order val="2"/>
          <c:tx>
            <c:strRef>
              <c:f>Projections!$A$134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Projections!$I$134:$AL$134</c15:sqref>
                  </c15:fullRef>
                </c:ext>
              </c:extLst>
              <c:f>Projections!$I$134:$AD$134</c:f>
              <c:numCache>
                <c:formatCode>#,##0</c:formatCode>
                <c:ptCount val="22"/>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4864</c:v>
                </c:pt>
                <c:pt idx="20">
                  <c:v>9728</c:v>
                </c:pt>
                <c:pt idx="21">
                  <c:v>19456</c:v>
                </c:pt>
              </c:numCache>
            </c:numRef>
          </c:val>
          <c:smooth val="0"/>
          <c:extLst>
            <c:ext xmlns:c16="http://schemas.microsoft.com/office/drawing/2014/chart" uri="{C3380CC4-5D6E-409C-BE32-E72D297353CC}">
              <c16:uniqueId val="{00000022-05DD-4DD4-A5B5-12D162507280}"/>
            </c:ext>
          </c:extLst>
        </c:ser>
        <c:ser>
          <c:idx val="0"/>
          <c:order val="3"/>
          <c:tx>
            <c:strRef>
              <c:f>Projections!$A$124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Projections!$I$124:$AL$124</c15:sqref>
                  </c15:fullRef>
                </c:ext>
              </c:extLst>
              <c:f>Projections!$I$124:$AD$124</c:f>
              <c:numCache>
                <c:formatCode>#,##0</c:formatCode>
                <c:ptCount val="22"/>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1600</c:v>
                </c:pt>
                <c:pt idx="20">
                  <c:v>3200</c:v>
                </c:pt>
                <c:pt idx="21">
                  <c:v>6400</c:v>
                </c:pt>
              </c:numCache>
            </c:numRef>
          </c:val>
          <c:smooth val="0"/>
          <c:extLst>
            <c:ext xmlns:c16="http://schemas.microsoft.com/office/drawing/2014/chart" uri="{C3380CC4-5D6E-409C-BE32-E72D297353CC}">
              <c16:uniqueId val="{00000018-05DD-4DD4-A5B5-12D162507280}"/>
            </c:ext>
          </c:extLst>
        </c:ser>
        <c:ser>
          <c:idx val="2"/>
          <c:order val="4"/>
          <c:tx>
            <c:strRef>
              <c:f>Projections!$A$126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Projections!$I$126:$AL$126</c15:sqref>
                  </c15:fullRef>
                </c:ext>
              </c:extLst>
              <c:f>Projections!$I$126:$AD$126</c:f>
              <c:numCache>
                <c:formatCode>#,##0</c:formatCode>
                <c:ptCount val="22"/>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1568</c:v>
                </c:pt>
                <c:pt idx="20">
                  <c:v>3136</c:v>
                </c:pt>
                <c:pt idx="21">
                  <c:v>6272</c:v>
                </c:pt>
              </c:numCache>
            </c:numRef>
          </c:val>
          <c:smooth val="0"/>
          <c:extLst>
            <c:ext xmlns:c16="http://schemas.microsoft.com/office/drawing/2014/chart" uri="{C3380CC4-5D6E-409C-BE32-E72D297353CC}">
              <c16:uniqueId val="{0000001A-05DD-4DD4-A5B5-12D162507280}"/>
            </c:ext>
          </c:extLst>
        </c:ser>
        <c:ser>
          <c:idx val="8"/>
          <c:order val="5"/>
          <c:tx>
            <c:strRef>
              <c:f>Projections!$A$132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Projections!$I$132:$AL$132</c15:sqref>
                  </c15:fullRef>
                </c:ext>
              </c:extLst>
              <c:f>Projections!$I$132:$AD$132</c:f>
              <c:numCache>
                <c:formatCode>#,##0</c:formatCode>
                <c:ptCount val="22"/>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576</c:v>
                </c:pt>
                <c:pt idx="20">
                  <c:v>1152</c:v>
                </c:pt>
                <c:pt idx="21">
                  <c:v>2304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Projections!$A$130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Projections!$I$131:$AL$131</c15:sqref>
                  </c15:fullRef>
                </c:ext>
              </c:extLst>
              <c:f>Projections!$I$131:$AD$131</c:f>
              <c:numCache>
                <c:formatCode>#,##0</c:formatCode>
                <c:ptCount val="22"/>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203.51999999999998</c:v>
                </c:pt>
                <c:pt idx="20">
                  <c:v>407.03999999999996</c:v>
                </c:pt>
                <c:pt idx="21">
                  <c:v>814.07999999999993</c:v>
                </c:pt>
              </c:numCache>
            </c:numRef>
          </c:val>
          <c:smooth val="0"/>
          <c:extLst>
            <c:ext xmlns:c16="http://schemas.microsoft.com/office/drawing/2014/chart" uri="{C3380CC4-5D6E-409C-BE32-E72D297353CC}">
              <c16:uniqueId val="{00000007-65B4-47F9-9B97-64FB989C8893}"/>
            </c:ext>
          </c:extLst>
        </c:ser>
        <c:ser>
          <c:idx val="5"/>
          <c:order val="1"/>
          <c:tx>
            <c:strRef>
              <c:f>Projections!$A$128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Projections!$I$129:$AL$129</c15:sqref>
                  </c15:fullRef>
                </c:ext>
              </c:extLst>
              <c:f>Projections!$I$129:$AD$129</c:f>
              <c:numCache>
                <c:formatCode>#,##0</c:formatCode>
                <c:ptCount val="22"/>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624.96</c:v>
                </c:pt>
                <c:pt idx="20">
                  <c:v>1249.92</c:v>
                </c:pt>
                <c:pt idx="21">
                  <c:v>2499.84</c:v>
                </c:pt>
              </c:numCache>
            </c:numRef>
          </c:val>
          <c:smooth val="0"/>
          <c:extLst>
            <c:ext xmlns:c16="http://schemas.microsoft.com/office/drawing/2014/chart" uri="{C3380CC4-5D6E-409C-BE32-E72D297353CC}">
              <c16:uniqueId val="{00000005-65B4-47F9-9B97-64FB989C8893}"/>
            </c:ext>
          </c:extLst>
        </c:ser>
        <c:ser>
          <c:idx val="1"/>
          <c:order val="2"/>
          <c:tx>
            <c:strRef>
              <c:f>Projections!$A$124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Projections!$I$125:$AL$125</c15:sqref>
                  </c15:fullRef>
                </c:ext>
              </c:extLst>
              <c:f>Projections!$I$125:$AD$125</c:f>
              <c:numCache>
                <c:formatCode>#,##0</c:formatCode>
                <c:ptCount val="22"/>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168</c:v>
                </c:pt>
                <c:pt idx="20">
                  <c:v>336</c:v>
                </c:pt>
                <c:pt idx="21">
                  <c:v>672</c:v>
                </c:pt>
              </c:numCache>
            </c:numRef>
          </c:val>
          <c:smooth val="0"/>
          <c:extLst>
            <c:ext xmlns:c16="http://schemas.microsoft.com/office/drawing/2014/chart" uri="{C3380CC4-5D6E-409C-BE32-E72D297353CC}">
              <c16:uniqueId val="{00000001-65B4-47F9-9B97-64FB989C8893}"/>
            </c:ext>
          </c:extLst>
        </c:ser>
        <c:ser>
          <c:idx val="3"/>
          <c:order val="3"/>
          <c:tx>
            <c:strRef>
              <c:f>Projections!$A$126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Projections!$I$127:$AL$127</c15:sqref>
                  </c15:fullRef>
                </c:ext>
              </c:extLst>
              <c:f>Projections!$I$127:$AD$127</c:f>
              <c:numCache>
                <c:formatCode>#,##0</c:formatCode>
                <c:ptCount val="22"/>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114.464</c:v>
                </c:pt>
                <c:pt idx="20">
                  <c:v>228.928</c:v>
                </c:pt>
                <c:pt idx="21">
                  <c:v>457.85599999999999</c:v>
                </c:pt>
              </c:numCache>
            </c:numRef>
          </c:val>
          <c:smooth val="0"/>
          <c:extLst>
            <c:ext xmlns:c16="http://schemas.microsoft.com/office/drawing/2014/chart" uri="{C3380CC4-5D6E-409C-BE32-E72D297353CC}">
              <c16:uniqueId val="{00000003-65B4-47F9-9B97-64FB989C8893}"/>
            </c:ext>
          </c:extLst>
        </c:ser>
        <c:ser>
          <c:idx val="9"/>
          <c:order val="4"/>
          <c:tx>
            <c:strRef>
              <c:f>Projections!$A$132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Projections!$I$68:$AL$68</c15:sqref>
                  </c15:fullRef>
                </c:ext>
              </c:extLst>
              <c:f>Projections!$I$68:$AD$68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44070</c:v>
                </c:pt>
                <c:pt idx="20">
                  <c:v>44098</c:v>
                </c:pt>
                <c:pt idx="21">
                  <c:v>44126</c:v>
                </c:pt>
              </c:numCache>
            </c:numRef>
          </c:cat>
          <c:val>
            <c:numRef>
              <c:extLst>
                <c:ext xmlns:c15="http://schemas.microsoft.com/office/drawing/2012/chart" uri="{02D57815-91ED-43cb-92C2-25804820EDAC}">
                  <c15:fullRef>
                    <c15:sqref>Projections!$I$133:$AL$133</c15:sqref>
                  </c15:fullRef>
                </c:ext>
              </c:extLst>
              <c:f>Projections!$I$133:$AD$133</c:f>
              <c:numCache>
                <c:formatCode>#,##0</c:formatCode>
                <c:ptCount val="22"/>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32.256</c:v>
                </c:pt>
                <c:pt idx="20">
                  <c:v>64.512</c:v>
                </c:pt>
                <c:pt idx="21">
                  <c:v>129.024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581026</xdr:colOff>
      <xdr:row>67</xdr:row>
      <xdr:rowOff>66675</xdr:rowOff>
    </xdr:from>
    <xdr:to>
      <xdr:col>51</xdr:col>
      <xdr:colOff>409575</xdr:colOff>
      <xdr:row>99</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545955</xdr:colOff>
      <xdr:row>139</xdr:row>
      <xdr:rowOff>82014</xdr:rowOff>
    </xdr:from>
    <xdr:to>
      <xdr:col>51</xdr:col>
      <xdr:colOff>438150</xdr:colOff>
      <xdr:row>162</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574531</xdr:colOff>
      <xdr:row>163</xdr:row>
      <xdr:rowOff>86776</xdr:rowOff>
    </xdr:from>
    <xdr:to>
      <xdr:col>51</xdr:col>
      <xdr:colOff>447675</xdr:colOff>
      <xdr:row>180</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550717</xdr:colOff>
      <xdr:row>181</xdr:row>
      <xdr:rowOff>67725</xdr:rowOff>
    </xdr:from>
    <xdr:to>
      <xdr:col>51</xdr:col>
      <xdr:colOff>457199</xdr:colOff>
      <xdr:row>197</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550719</xdr:colOff>
      <xdr:row>198</xdr:row>
      <xdr:rowOff>86775</xdr:rowOff>
    </xdr:from>
    <xdr:to>
      <xdr:col>51</xdr:col>
      <xdr:colOff>438150</xdr:colOff>
      <xdr:row>217</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547687</xdr:colOff>
      <xdr:row>101</xdr:row>
      <xdr:rowOff>80962</xdr:rowOff>
    </xdr:from>
    <xdr:to>
      <xdr:col>51</xdr:col>
      <xdr:colOff>438150</xdr:colOff>
      <xdr:row>121</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549728</xdr:colOff>
      <xdr:row>122</xdr:row>
      <xdr:rowOff>78921</xdr:rowOff>
    </xdr:from>
    <xdr:to>
      <xdr:col>51</xdr:col>
      <xdr:colOff>400050</xdr:colOff>
      <xdr:row>138</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419101</xdr:colOff>
      <xdr:row>67</xdr:row>
      <xdr:rowOff>66675</xdr:rowOff>
    </xdr:from>
    <xdr:to>
      <xdr:col>64</xdr:col>
      <xdr:colOff>581025</xdr:colOff>
      <xdr:row>99</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417367</xdr:colOff>
      <xdr:row>139</xdr:row>
      <xdr:rowOff>62964</xdr:rowOff>
    </xdr:from>
    <xdr:to>
      <xdr:col>65</xdr:col>
      <xdr:colOff>19050</xdr:colOff>
      <xdr:row>162</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407843</xdr:colOff>
      <xdr:row>163</xdr:row>
      <xdr:rowOff>77251</xdr:rowOff>
    </xdr:from>
    <xdr:to>
      <xdr:col>65</xdr:col>
      <xdr:colOff>9525</xdr:colOff>
      <xdr:row>180</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422129</xdr:colOff>
      <xdr:row>181</xdr:row>
      <xdr:rowOff>67725</xdr:rowOff>
    </xdr:from>
    <xdr:to>
      <xdr:col>65</xdr:col>
      <xdr:colOff>28574</xdr:colOff>
      <xdr:row>197</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52</xdr:col>
      <xdr:colOff>441181</xdr:colOff>
      <xdr:row>198</xdr:row>
      <xdr:rowOff>86775</xdr:rowOff>
    </xdr:from>
    <xdr:to>
      <xdr:col>65</xdr:col>
      <xdr:colOff>38100</xdr:colOff>
      <xdr:row>217</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409574</xdr:colOff>
      <xdr:row>101</xdr:row>
      <xdr:rowOff>90487</xdr:rowOff>
    </xdr:from>
    <xdr:to>
      <xdr:col>65</xdr:col>
      <xdr:colOff>9525</xdr:colOff>
      <xdr:row>121</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416378</xdr:colOff>
      <xdr:row>122</xdr:row>
      <xdr:rowOff>78921</xdr:rowOff>
    </xdr:from>
    <xdr:to>
      <xdr:col>64</xdr:col>
      <xdr:colOff>581025</xdr:colOff>
      <xdr:row>138</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/Projections!B57</f>
        <v>99.999999999999986</v>
      </c>
      <c r="C17" s="116"/>
      <c r="D17" s="117"/>
      <c r="E17" s="111">
        <f>B17*2</f>
        <v>199.99999999999997</v>
      </c>
      <c r="F17" s="116"/>
      <c r="G17" s="111"/>
      <c r="H17" s="111">
        <f>E17*2</f>
        <v>399.99999999999994</v>
      </c>
      <c r="I17" s="116"/>
      <c r="J17" s="117"/>
      <c r="K17" s="108">
        <f>H17*2</f>
        <v>799.99999999999989</v>
      </c>
      <c r="L17" s="106"/>
      <c r="M17" s="107"/>
      <c r="N17" s="108">
        <f>K17*2</f>
        <v>1599.9999999999998</v>
      </c>
      <c r="O17" s="106"/>
      <c r="P17" s="107"/>
      <c r="Q17" s="108">
        <f>N17*2</f>
        <v>3199.9999999999995</v>
      </c>
      <c r="R17" s="106"/>
      <c r="S17" s="107"/>
      <c r="T17" s="108">
        <f>Q17*2</f>
        <v>6399.9999999999991</v>
      </c>
      <c r="U17" s="106"/>
      <c r="V17" s="107"/>
      <c r="W17" s="108">
        <f>T17*2</f>
        <v>12799.999999999998</v>
      </c>
      <c r="X17" s="106"/>
      <c r="Y17" s="107"/>
      <c r="Z17" s="108">
        <f>W17*2</f>
        <v>25599.999999999996</v>
      </c>
      <c r="AA17" s="106"/>
      <c r="AB17" s="107"/>
      <c r="AC17" s="108">
        <f>Z17*2</f>
        <v>51199.999999999993</v>
      </c>
      <c r="AD17" s="106"/>
      <c r="AE17" s="107"/>
      <c r="AF17" s="108">
        <f>AC17*2</f>
        <v>102399.99999999999</v>
      </c>
      <c r="AG17" s="106"/>
      <c r="AH17" s="107"/>
      <c r="AI17" s="108">
        <f>AF17*2</f>
        <v>204799.99999999997</v>
      </c>
      <c r="AJ17" s="106"/>
      <c r="AK17" s="107"/>
      <c r="AL17" s="108">
        <f>AI17*2</f>
        <v>409599.99999999994</v>
      </c>
      <c r="AM17" s="106"/>
      <c r="AN17" s="107"/>
      <c r="AO17" s="108">
        <f>AL17*2</f>
        <v>819199.99999999988</v>
      </c>
      <c r="AP17" s="111"/>
      <c r="AQ17" t="s">
        <v>190</v>
      </c>
    </row>
    <row r="18" spans="1:43" s="81" customFormat="1" x14ac:dyDescent="0.25">
      <c r="A18" s="81" t="s">
        <v>273</v>
      </c>
      <c r="B18" s="100">
        <f>B17*$E$34</f>
        <v>13.043478260869554</v>
      </c>
      <c r="C18" s="118"/>
      <c r="D18" s="118"/>
      <c r="E18" s="118">
        <f>E17*$E$34</f>
        <v>26.086956521739108</v>
      </c>
      <c r="F18" s="118"/>
      <c r="G18" s="45"/>
      <c r="H18" s="118">
        <f>H17*$E$34</f>
        <v>52.173913043478215</v>
      </c>
      <c r="I18" s="118"/>
      <c r="J18" s="118"/>
      <c r="K18" s="118">
        <f>K17*$E$34</f>
        <v>104.34782608695643</v>
      </c>
      <c r="L18" s="118"/>
      <c r="M18" s="118"/>
      <c r="N18" s="118">
        <f>N17*$E$34</f>
        <v>208.69565217391286</v>
      </c>
      <c r="O18" s="118"/>
      <c r="P18" s="118"/>
      <c r="Q18" s="118">
        <f>Q17*$E$34</f>
        <v>417.39130434782572</v>
      </c>
      <c r="R18" s="118"/>
      <c r="S18" s="118"/>
      <c r="T18" s="118">
        <f>T17*$E$34</f>
        <v>834.78260869565145</v>
      </c>
      <c r="U18" s="118"/>
      <c r="V18" s="118"/>
      <c r="W18" s="118">
        <f>W17*$E$34</f>
        <v>1669.5652173913029</v>
      </c>
      <c r="X18" s="118"/>
      <c r="Y18" s="118"/>
      <c r="Z18" s="118">
        <f>Z17*$E$34</f>
        <v>3339.1304347826058</v>
      </c>
      <c r="AA18" s="118"/>
      <c r="AB18" s="118"/>
      <c r="AC18" s="118">
        <f>AC17*$E$34</f>
        <v>6678.2608695652116</v>
      </c>
      <c r="AD18" s="118"/>
      <c r="AE18" s="118"/>
      <c r="AF18" s="118">
        <f>AF17*$E$34</f>
        <v>13356.521739130423</v>
      </c>
      <c r="AG18" s="118"/>
      <c r="AH18" s="118"/>
      <c r="AI18" s="118">
        <f>AI17*$E$34</f>
        <v>26713.043478260846</v>
      </c>
      <c r="AJ18" s="118"/>
      <c r="AK18" s="118"/>
      <c r="AL18" s="118">
        <f>AL17*$E$34</f>
        <v>53426.086956521693</v>
      </c>
      <c r="AM18" s="118"/>
      <c r="AN18" s="118"/>
      <c r="AO18" s="118">
        <f>AO17*$E$34</f>
        <v>106852.17391304339</v>
      </c>
      <c r="AP18" s="45"/>
      <c r="AQ18" s="81" t="s">
        <v>273</v>
      </c>
    </row>
    <row r="19" spans="1:43" s="81" customFormat="1" x14ac:dyDescent="0.25">
      <c r="A19" s="59" t="s">
        <v>275</v>
      </c>
      <c r="B19" s="98">
        <f>B18</f>
        <v>13.043478260869554</v>
      </c>
      <c r="C19" s="99"/>
      <c r="D19" s="99"/>
      <c r="E19" s="99">
        <f>E18</f>
        <v>26.086956521739108</v>
      </c>
      <c r="F19" s="99"/>
      <c r="G19" s="46"/>
      <c r="H19" s="99">
        <f>H18</f>
        <v>52.173913043478215</v>
      </c>
      <c r="I19" s="99"/>
      <c r="J19" s="99"/>
      <c r="K19" s="99">
        <f>K18</f>
        <v>104.34782608695643</v>
      </c>
      <c r="L19" s="99"/>
      <c r="M19" s="99"/>
      <c r="N19" s="99">
        <f>N18</f>
        <v>208.69565217391286</v>
      </c>
      <c r="O19" s="99"/>
      <c r="P19" s="99"/>
      <c r="Q19" s="99">
        <f>Q18</f>
        <v>417.39130434782572</v>
      </c>
      <c r="R19" s="99"/>
      <c r="S19" s="99"/>
      <c r="T19" s="99">
        <f>T18</f>
        <v>834.78260869565145</v>
      </c>
      <c r="U19" s="99"/>
      <c r="V19" s="99"/>
      <c r="W19" s="135">
        <f>W18-B18</f>
        <v>1656.5217391304334</v>
      </c>
      <c r="X19" s="135"/>
      <c r="Y19" s="135"/>
      <c r="Z19" s="135">
        <f>Z18-E18</f>
        <v>3313.0434782608668</v>
      </c>
      <c r="AA19" s="135"/>
      <c r="AB19" s="135"/>
      <c r="AC19" s="135">
        <f>AC18-H18</f>
        <v>6626.0869565217336</v>
      </c>
      <c r="AD19" s="135"/>
      <c r="AE19" s="135"/>
      <c r="AF19" s="135">
        <f>AF18-K18</f>
        <v>13252.173913043467</v>
      </c>
      <c r="AG19" s="135"/>
      <c r="AH19" s="135"/>
      <c r="AI19" s="135">
        <f>AI18-N18</f>
        <v>26504.347826086934</v>
      </c>
      <c r="AJ19" s="135"/>
      <c r="AK19" s="135"/>
      <c r="AL19" s="135">
        <f>AL18-Q18</f>
        <v>53008.695652173868</v>
      </c>
      <c r="AM19" s="135"/>
      <c r="AN19" s="135"/>
      <c r="AO19" s="135">
        <f>AO18-T18</f>
        <v>106017.39130434774</v>
      </c>
      <c r="AP19" s="136"/>
      <c r="AQ19" s="59" t="s">
        <v>275</v>
      </c>
    </row>
    <row r="20" spans="1:43" s="81" customFormat="1" x14ac:dyDescent="0.25">
      <c r="A20" t="s">
        <v>191</v>
      </c>
      <c r="B20" s="100"/>
      <c r="C20" s="118"/>
      <c r="D20" s="118"/>
      <c r="E20" s="118"/>
      <c r="F20" s="118"/>
      <c r="G20" s="45"/>
      <c r="H20" s="119"/>
      <c r="I20" s="120"/>
      <c r="J20" s="121"/>
      <c r="K20" s="145">
        <f>B17*(1-E34)</f>
        <v>86.956521739130437</v>
      </c>
      <c r="L20" s="142"/>
      <c r="M20" s="143"/>
      <c r="N20" s="144">
        <f>E17*(1-E34)</f>
        <v>173.91304347826087</v>
      </c>
      <c r="O20" s="142"/>
      <c r="P20" s="143"/>
      <c r="Q20" s="144">
        <f>H17*(1-E34)</f>
        <v>347.82608695652175</v>
      </c>
      <c r="R20" s="142"/>
      <c r="S20" s="143"/>
      <c r="T20" s="144">
        <f>K17*(1-E34)</f>
        <v>695.6521739130435</v>
      </c>
      <c r="U20" s="142"/>
      <c r="V20" s="143"/>
      <c r="W20" s="144">
        <f>N17*(1-E34)</f>
        <v>1391.304347826087</v>
      </c>
      <c r="X20" s="142"/>
      <c r="Y20" s="143"/>
      <c r="Z20" s="144">
        <f>Q17*(1-E34)</f>
        <v>2782.608695652174</v>
      </c>
      <c r="AA20" s="142"/>
      <c r="AB20" s="143"/>
      <c r="AC20" s="144">
        <f>T17*(1-E34)</f>
        <v>5565.217391304348</v>
      </c>
      <c r="AD20" s="142"/>
      <c r="AE20" s="143"/>
      <c r="AF20" s="144">
        <f>W17*(1-E34)</f>
        <v>11130.434782608696</v>
      </c>
      <c r="AG20" s="142"/>
      <c r="AH20" s="143"/>
      <c r="AI20" s="144">
        <f>Z17*(1-E34)</f>
        <v>22260.869565217392</v>
      </c>
      <c r="AJ20" s="142"/>
      <c r="AK20" s="143"/>
      <c r="AL20" s="144">
        <f>AC17*(1-E34)</f>
        <v>44521.739130434784</v>
      </c>
      <c r="AM20" s="142"/>
      <c r="AN20" s="143"/>
      <c r="AO20" s="144">
        <f>AF17*(1-E34)</f>
        <v>89043.478260869568</v>
      </c>
      <c r="AP20" s="91"/>
      <c r="AQ20" t="s">
        <v>191</v>
      </c>
    </row>
    <row r="21" spans="1:43" s="81" customFormat="1" x14ac:dyDescent="0.25">
      <c r="A21" s="81" t="s">
        <v>172</v>
      </c>
      <c r="B21" s="92"/>
      <c r="C21" s="93"/>
      <c r="D21" s="93"/>
      <c r="E21" s="93"/>
      <c r="F21" s="93"/>
      <c r="G21" s="94"/>
      <c r="H21" s="137">
        <f>B17-B18</f>
        <v>86.956521739130437</v>
      </c>
      <c r="I21" s="137"/>
      <c r="J21" s="137"/>
      <c r="K21" s="137">
        <f>E17-E18</f>
        <v>173.91304347826087</v>
      </c>
      <c r="L21" s="137"/>
      <c r="M21" s="137"/>
      <c r="N21" s="137">
        <f>(H17-H18)*$E$35</f>
        <v>320</v>
      </c>
      <c r="O21" s="137"/>
      <c r="P21" s="137"/>
      <c r="Q21" s="137">
        <f>(K17-K18)*$E$35</f>
        <v>640</v>
      </c>
      <c r="R21" s="137"/>
      <c r="S21" s="137"/>
      <c r="T21" s="137">
        <f>(N17-N18)*$E$35</f>
        <v>1280</v>
      </c>
      <c r="U21" s="137"/>
      <c r="V21" s="137"/>
      <c r="W21" s="137">
        <f>((Q17-Q18)*$E$35)-(H21*$E$35)</f>
        <v>2480</v>
      </c>
      <c r="X21" s="137"/>
      <c r="Y21" s="137"/>
      <c r="Z21" s="137">
        <f>((T17-T18)*$E$35)-(K21*$E$35)</f>
        <v>4960</v>
      </c>
      <c r="AA21" s="137"/>
      <c r="AB21" s="137"/>
      <c r="AC21" s="137">
        <f>((W17-W18)*$E$35)-N21</f>
        <v>9920</v>
      </c>
      <c r="AD21" s="137"/>
      <c r="AE21" s="137"/>
      <c r="AF21" s="137">
        <f>((Z17-Z18)*$E$35)-Q21</f>
        <v>19840</v>
      </c>
      <c r="AG21" s="137"/>
      <c r="AH21" s="137"/>
      <c r="AI21" s="137">
        <f>((AC17-AC18)*$E$35)-T21</f>
        <v>39680</v>
      </c>
      <c r="AJ21" s="137"/>
      <c r="AK21" s="137"/>
      <c r="AL21" s="137">
        <f>((AF17-AF18)*$E$35)-W21</f>
        <v>79440</v>
      </c>
      <c r="AM21" s="137"/>
      <c r="AN21" s="137"/>
      <c r="AO21" s="137">
        <f>((AI17-AI18)*$E$35)-Z21</f>
        <v>158880</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27.826086956521742</v>
      </c>
      <c r="O22" s="139"/>
      <c r="P22" s="139"/>
      <c r="Q22" s="139">
        <f>(K17-K18)*($E$36+$E$37)</f>
        <v>55.652173913043484</v>
      </c>
      <c r="R22" s="139"/>
      <c r="S22" s="139"/>
      <c r="T22" s="139">
        <f>(N17-N18)*$E$36</f>
        <v>69.565217391304358</v>
      </c>
      <c r="U22" s="139"/>
      <c r="V22" s="139"/>
      <c r="W22" s="139">
        <f>(Q17-Q18)*$E$36</f>
        <v>139.13043478260872</v>
      </c>
      <c r="X22" s="139"/>
      <c r="Y22" s="139"/>
      <c r="Z22" s="139">
        <f>(T17-T18)*$E$36</f>
        <v>278.26086956521743</v>
      </c>
      <c r="AA22" s="139"/>
      <c r="AB22" s="139"/>
      <c r="AC22" s="139">
        <f>(W17-W18)*$E$36</f>
        <v>556.52173913043487</v>
      </c>
      <c r="AD22" s="139"/>
      <c r="AE22" s="139"/>
      <c r="AF22" s="139">
        <f>(Z17-Z18)*$E$36</f>
        <v>1113.0434782608697</v>
      </c>
      <c r="AG22" s="139"/>
      <c r="AH22" s="139"/>
      <c r="AI22" s="139">
        <f>(AC17-AC18)*$E$36</f>
        <v>2226.0869565217395</v>
      </c>
      <c r="AJ22" s="139"/>
      <c r="AK22" s="139"/>
      <c r="AL22" s="139">
        <f>(AF17-AF18)*$E$36</f>
        <v>4452.1739130434789</v>
      </c>
      <c r="AM22" s="139"/>
      <c r="AN22" s="139"/>
      <c r="AO22" s="139">
        <f>(AI17-AI18)*$E$36</f>
        <v>8904.3478260869579</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41.739130434782609</v>
      </c>
      <c r="U23" s="52"/>
      <c r="V23" s="52"/>
      <c r="W23" s="52">
        <f>(Q17-Q18)*$E$37</f>
        <v>83.478260869565219</v>
      </c>
      <c r="X23" s="52"/>
      <c r="Y23" s="52"/>
      <c r="Z23" s="52">
        <f>(T17-T18)*$E$37</f>
        <v>166.95652173913044</v>
      </c>
      <c r="AA23" s="52"/>
      <c r="AB23" s="52"/>
      <c r="AC23" s="52">
        <f>(W17-W18)*$E$37</f>
        <v>333.91304347826087</v>
      </c>
      <c r="AD23" s="52"/>
      <c r="AE23" s="52"/>
      <c r="AF23" s="52">
        <f>(Z17-Z18)*$E$37</f>
        <v>667.82608695652175</v>
      </c>
      <c r="AG23" s="52"/>
      <c r="AH23" s="52"/>
      <c r="AI23" s="52">
        <f>(AC17-AC18)*$E$37</f>
        <v>1335.6521739130435</v>
      </c>
      <c r="AJ23" s="52"/>
      <c r="AK23" s="52"/>
      <c r="AL23" s="52">
        <f>(AF17-AF18)*$E$37</f>
        <v>2671.304347826087</v>
      </c>
      <c r="AM23" s="52"/>
      <c r="AN23" s="52"/>
      <c r="AO23" s="52">
        <f>(AI17-AI18)*$E$37</f>
        <v>5342.608695652174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80</v>
      </c>
      <c r="W24" s="122"/>
      <c r="X24" s="122"/>
      <c r="Y24" s="122">
        <f>K21*$E$35</f>
        <v>160</v>
      </c>
      <c r="Z24" s="122"/>
      <c r="AA24" s="122"/>
      <c r="AB24" s="122">
        <f>N21</f>
        <v>320</v>
      </c>
      <c r="AC24" s="122"/>
      <c r="AD24" s="122"/>
      <c r="AE24" s="122">
        <f>Q21</f>
        <v>640</v>
      </c>
      <c r="AF24" s="122"/>
      <c r="AG24" s="122"/>
      <c r="AH24" s="122">
        <f>T21</f>
        <v>1280</v>
      </c>
      <c r="AI24" s="122"/>
      <c r="AJ24" s="122"/>
      <c r="AK24" s="122">
        <f>W21</f>
        <v>2480</v>
      </c>
      <c r="AL24" s="122"/>
      <c r="AM24" s="122"/>
      <c r="AN24" s="122">
        <f>Z21</f>
        <v>4960</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44019.856085069441</v>
      </c>
      <c r="C26" s="103">
        <f t="shared" ca="1" si="0"/>
        <v>44020.856085069441</v>
      </c>
      <c r="D26" s="103">
        <f t="shared" ca="1" si="0"/>
        <v>44021.856085069441</v>
      </c>
      <c r="E26" s="103">
        <f t="shared" ca="1" si="0"/>
        <v>44022.856085069441</v>
      </c>
      <c r="F26" s="103">
        <f t="shared" ca="1" si="0"/>
        <v>44023.856085069441</v>
      </c>
      <c r="G26" s="104">
        <f t="shared" ca="1" si="0"/>
        <v>44024.856085069441</v>
      </c>
      <c r="H26" s="103">
        <f t="shared" ref="H26:U26" ca="1" si="1">I26-1</f>
        <v>44025.856085069441</v>
      </c>
      <c r="I26" s="103">
        <f t="shared" ca="1" si="1"/>
        <v>44026.856085069441</v>
      </c>
      <c r="J26" s="103">
        <f t="shared" ca="1" si="1"/>
        <v>44027.856085069441</v>
      </c>
      <c r="K26" s="103">
        <f t="shared" ca="1" si="1"/>
        <v>44028.856085069441</v>
      </c>
      <c r="L26" s="103">
        <f t="shared" ca="1" si="1"/>
        <v>44029.856085069441</v>
      </c>
      <c r="M26" s="103">
        <f t="shared" ca="1" si="1"/>
        <v>44030.856085069441</v>
      </c>
      <c r="N26" s="104">
        <f t="shared" ca="1" si="1"/>
        <v>44031.856085069441</v>
      </c>
      <c r="O26" s="102">
        <f t="shared" ca="1" si="1"/>
        <v>44032.856085069441</v>
      </c>
      <c r="P26" s="103">
        <f t="shared" ca="1" si="1"/>
        <v>44033.856085069441</v>
      </c>
      <c r="Q26" s="103">
        <f t="shared" ca="1" si="1"/>
        <v>44034.856085069441</v>
      </c>
      <c r="R26" s="103">
        <f t="shared" ca="1" si="1"/>
        <v>44035.856085069441</v>
      </c>
      <c r="S26" s="103">
        <f t="shared" ca="1" si="1"/>
        <v>44036.856085069441</v>
      </c>
      <c r="T26" s="103">
        <f t="shared" ca="1" si="1"/>
        <v>44037.856085069441</v>
      </c>
      <c r="U26" s="104">
        <f t="shared" ca="1" si="1"/>
        <v>44038.856085069441</v>
      </c>
      <c r="V26" s="102">
        <f t="shared" ref="V26:AN26" ca="1" si="2">W26-1</f>
        <v>44039.856085069441</v>
      </c>
      <c r="W26" s="103">
        <f t="shared" ca="1" si="2"/>
        <v>44040.856085069441</v>
      </c>
      <c r="X26" s="103">
        <f t="shared" ca="1" si="2"/>
        <v>44041.856085069441</v>
      </c>
      <c r="Y26" s="103">
        <f t="shared" ca="1" si="2"/>
        <v>44042.856085069441</v>
      </c>
      <c r="Z26" s="103">
        <f t="shared" ca="1" si="2"/>
        <v>44043.856085069441</v>
      </c>
      <c r="AA26" s="103">
        <f t="shared" ca="1" si="2"/>
        <v>44044.856085069441</v>
      </c>
      <c r="AB26" s="104">
        <f t="shared" ca="1" si="2"/>
        <v>44045.856085069441</v>
      </c>
      <c r="AC26" s="102">
        <f t="shared" ca="1" si="2"/>
        <v>44046.856085069441</v>
      </c>
      <c r="AD26" s="103">
        <f t="shared" ca="1" si="2"/>
        <v>44047.856085069441</v>
      </c>
      <c r="AE26" s="103">
        <f t="shared" ca="1" si="2"/>
        <v>44048.856085069441</v>
      </c>
      <c r="AF26" s="103">
        <f t="shared" ca="1" si="2"/>
        <v>44049.856085069441</v>
      </c>
      <c r="AG26" s="103">
        <f t="shared" ca="1" si="2"/>
        <v>44050.856085069441</v>
      </c>
      <c r="AH26" s="103">
        <f t="shared" ca="1" si="2"/>
        <v>44051.856085069441</v>
      </c>
      <c r="AI26" s="104">
        <f t="shared" ca="1" si="2"/>
        <v>44052.856085069441</v>
      </c>
      <c r="AJ26" s="102">
        <f t="shared" ca="1" si="2"/>
        <v>44053.856085069441</v>
      </c>
      <c r="AK26" s="103">
        <f t="shared" ca="1" si="2"/>
        <v>44054.856085069441</v>
      </c>
      <c r="AL26" s="103">
        <f t="shared" ca="1" si="2"/>
        <v>44055.856085069441</v>
      </c>
      <c r="AM26" s="103">
        <f t="shared" ca="1" si="2"/>
        <v>44056.856085069441</v>
      </c>
      <c r="AN26" s="103">
        <f t="shared" ca="1" si="2"/>
        <v>44057.856085069441</v>
      </c>
      <c r="AO26" s="103">
        <f ca="1">AP26-1</f>
        <v>44058.856085069441</v>
      </c>
      <c r="AP26" s="124">
        <f ca="1">NOW()</f>
        <v>44059.856085069441</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320" t="s">
        <v>166</v>
      </c>
      <c r="C28" s="321"/>
      <c r="D28" s="321"/>
      <c r="E28" s="321"/>
      <c r="F28" s="321"/>
      <c r="G28" s="322"/>
      <c r="H28" s="326" t="s">
        <v>154</v>
      </c>
      <c r="I28" s="326"/>
      <c r="J28" s="326"/>
      <c r="K28" s="326"/>
      <c r="L28" s="326"/>
      <c r="M28" s="326"/>
      <c r="N28" s="327"/>
      <c r="O28" s="325" t="s">
        <v>155</v>
      </c>
      <c r="P28" s="326"/>
      <c r="Q28" s="326"/>
      <c r="R28" s="326"/>
      <c r="S28" s="326"/>
      <c r="T28" s="326"/>
      <c r="U28" s="327"/>
      <c r="V28" s="325" t="s">
        <v>156</v>
      </c>
      <c r="W28" s="326"/>
      <c r="X28" s="326"/>
      <c r="Y28" s="326"/>
      <c r="Z28" s="326"/>
      <c r="AA28" s="326"/>
      <c r="AB28" s="327"/>
      <c r="AC28" s="325" t="s">
        <v>157</v>
      </c>
      <c r="AD28" s="326"/>
      <c r="AE28" s="326"/>
      <c r="AF28" s="326"/>
      <c r="AG28" s="326"/>
      <c r="AH28" s="326"/>
      <c r="AI28" s="327"/>
      <c r="AJ28" s="325" t="s">
        <v>158</v>
      </c>
      <c r="AK28" s="326"/>
      <c r="AL28" s="326"/>
      <c r="AM28" s="326"/>
      <c r="AN28" s="326"/>
      <c r="AO28" s="326"/>
      <c r="AP28" s="327"/>
    </row>
    <row r="29" spans="1:43" x14ac:dyDescent="0.25">
      <c r="B29" s="63" t="s">
        <v>178</v>
      </c>
      <c r="C29" s="109"/>
      <c r="D29" s="109"/>
      <c r="E29" s="109"/>
      <c r="F29" s="109"/>
      <c r="G29" s="110"/>
      <c r="H29" s="323" t="s">
        <v>165</v>
      </c>
      <c r="I29" s="323"/>
      <c r="J29" s="323"/>
      <c r="K29" s="323"/>
      <c r="L29" s="323"/>
      <c r="M29" s="323"/>
      <c r="N29" s="323"/>
      <c r="O29" s="323"/>
      <c r="P29" s="323"/>
      <c r="Q29" s="323"/>
      <c r="R29" s="323"/>
      <c r="S29" s="323"/>
      <c r="T29" s="323"/>
      <c r="U29" s="323"/>
      <c r="V29" s="323"/>
      <c r="W29" s="323"/>
      <c r="X29" s="323"/>
      <c r="Y29" s="323"/>
      <c r="Z29" s="323"/>
      <c r="AA29" s="323"/>
      <c r="AB29" s="323"/>
      <c r="AC29" s="323"/>
      <c r="AD29" s="323"/>
      <c r="AE29" s="323"/>
      <c r="AF29" s="323"/>
      <c r="AG29" s="323"/>
      <c r="AH29" s="323"/>
      <c r="AI29" s="323"/>
      <c r="AJ29" s="323"/>
      <c r="AK29" s="323"/>
      <c r="AL29" s="323"/>
      <c r="AM29" s="323"/>
      <c r="AN29" s="323"/>
      <c r="AO29" s="323"/>
      <c r="AP29" s="324"/>
    </row>
    <row r="31" spans="1:43" x14ac:dyDescent="0.25">
      <c r="B31" s="69" t="s">
        <v>167</v>
      </c>
      <c r="C31" s="152" t="s">
        <v>287</v>
      </c>
      <c r="D31" s="21"/>
      <c r="E31" s="97">
        <f>VLOOKUP(C31,B43:C54,2,FALSE)</f>
        <v>1.15E-2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286</v>
      </c>
      <c r="C34" s="28"/>
      <c r="D34" s="28"/>
      <c r="E34" s="154">
        <f>1-Projections!B57</f>
        <v>0.13043478260869557</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287</v>
      </c>
      <c r="C45" s="39">
        <f>Projections!B64</f>
        <v>1.15E-2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137"/>
  <sheetViews>
    <sheetView tabSelected="1" topLeftCell="A57" zoomScale="85" zoomScaleNormal="85" workbookViewId="0">
      <selection activeCell="W61" sqref="W61"/>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6" width="13.5703125" customWidth="1"/>
    <col min="7" max="7" width="10.7109375" bestFit="1" customWidth="1"/>
    <col min="8" max="8" width="11.28515625" customWidth="1"/>
    <col min="9" max="9" width="10.7109375" customWidth="1"/>
    <col min="10" max="10" width="10.85546875" bestFit="1" customWidth="1"/>
    <col min="11" max="11" width="10.7109375" bestFit="1" customWidth="1"/>
    <col min="12" max="13" width="10.85546875" bestFit="1" customWidth="1"/>
    <col min="14" max="14" width="10.5703125" customWidth="1"/>
    <col min="15" max="15" width="11.28515625" bestFit="1" customWidth="1"/>
    <col min="16" max="21" width="11" customWidth="1"/>
    <col min="22" max="26" width="10.7109375" customWidth="1"/>
    <col min="27" max="28" width="10.85546875" bestFit="1" customWidth="1"/>
    <col min="29" max="29" width="10.85546875" customWidth="1"/>
    <col min="30" max="30" width="10.7109375" bestFit="1" customWidth="1"/>
    <col min="31" max="31" width="10.85546875" bestFit="1" customWidth="1"/>
    <col min="32" max="32" width="11.28515625" customWidth="1"/>
    <col min="33" max="34" width="10.7109375" bestFit="1" customWidth="1"/>
    <col min="35" max="35" width="10.7109375" customWidth="1"/>
    <col min="36" max="36" width="11.28515625" customWidth="1"/>
    <col min="37" max="37" width="10.85546875" bestFit="1" customWidth="1"/>
    <col min="38" max="38" width="11.28515625" bestFit="1" customWidth="1"/>
    <col min="39" max="39" width="10.5703125" style="81" bestFit="1" customWidth="1"/>
    <col min="40" max="40" width="11.140625" bestFit="1" customWidth="1"/>
    <col min="41" max="41" width="12.140625" bestFit="1" customWidth="1"/>
  </cols>
  <sheetData>
    <row r="1" spans="7:21" x14ac:dyDescent="0.25">
      <c r="G1" t="s">
        <v>218</v>
      </c>
    </row>
    <row r="2" spans="7:21" x14ac:dyDescent="0.25">
      <c r="G2" s="173">
        <v>43862</v>
      </c>
      <c r="H2" s="174" t="s">
        <v>265</v>
      </c>
      <c r="I2" s="173">
        <f>G2+14</f>
        <v>43876</v>
      </c>
    </row>
    <row r="3" spans="7:21" x14ac:dyDescent="0.25">
      <c r="H3" s="173">
        <v>43891</v>
      </c>
      <c r="I3" s="174" t="s">
        <v>266</v>
      </c>
      <c r="J3" s="174"/>
      <c r="K3" s="174"/>
      <c r="L3" s="173">
        <f>H3+14</f>
        <v>43905</v>
      </c>
    </row>
    <row r="4" spans="7:21" x14ac:dyDescent="0.25">
      <c r="I4" s="173">
        <v>43895</v>
      </c>
      <c r="J4" s="174" t="s">
        <v>267</v>
      </c>
      <c r="K4" s="174"/>
      <c r="L4" s="174"/>
      <c r="M4" s="173">
        <f>I4+14</f>
        <v>43909</v>
      </c>
    </row>
    <row r="5" spans="7:21" x14ac:dyDescent="0.25">
      <c r="K5" s="173">
        <v>43901</v>
      </c>
      <c r="L5" s="174" t="s">
        <v>269</v>
      </c>
      <c r="M5" s="174"/>
      <c r="N5" s="174"/>
      <c r="O5" s="173">
        <f>K5+14</f>
        <v>43915</v>
      </c>
    </row>
    <row r="6" spans="7:21" x14ac:dyDescent="0.25">
      <c r="L6" s="173">
        <v>43906</v>
      </c>
      <c r="M6" s="174" t="s">
        <v>344</v>
      </c>
      <c r="N6" s="174"/>
      <c r="O6" s="174"/>
      <c r="P6" s="173">
        <f>L6+14</f>
        <v>43920</v>
      </c>
      <c r="Q6" s="181"/>
    </row>
    <row r="7" spans="7:21" x14ac:dyDescent="0.25">
      <c r="M7" s="173">
        <v>43908</v>
      </c>
      <c r="N7" s="207" t="s">
        <v>268</v>
      </c>
      <c r="O7" s="207"/>
      <c r="P7" s="173">
        <f>M7+14</f>
        <v>43922</v>
      </c>
      <c r="Q7" s="181"/>
    </row>
    <row r="8" spans="7:21" x14ac:dyDescent="0.25">
      <c r="M8" s="173">
        <v>43909</v>
      </c>
      <c r="N8" s="174" t="s">
        <v>289</v>
      </c>
      <c r="O8" s="174"/>
      <c r="P8" s="173">
        <v>43923</v>
      </c>
    </row>
    <row r="9" spans="7:21" x14ac:dyDescent="0.25">
      <c r="N9" s="173">
        <v>43911</v>
      </c>
      <c r="O9" s="174" t="s">
        <v>291</v>
      </c>
      <c r="P9" s="173">
        <f>N9+14</f>
        <v>43925</v>
      </c>
      <c r="Q9" s="181"/>
      <c r="R9" s="181"/>
      <c r="S9" s="181"/>
    </row>
    <row r="10" spans="7:21" x14ac:dyDescent="0.25">
      <c r="N10" s="173">
        <v>43913</v>
      </c>
      <c r="O10" s="174" t="s">
        <v>216</v>
      </c>
      <c r="P10" s="173">
        <f>N10+14</f>
        <v>43927</v>
      </c>
      <c r="Q10" s="181"/>
      <c r="R10" s="181"/>
      <c r="S10" s="181"/>
    </row>
    <row r="11" spans="7:21" x14ac:dyDescent="0.25">
      <c r="O11" s="175">
        <v>43914</v>
      </c>
      <c r="P11" s="207" t="s">
        <v>345</v>
      </c>
      <c r="Q11" s="175">
        <v>43928</v>
      </c>
    </row>
    <row r="12" spans="7:21" x14ac:dyDescent="0.25">
      <c r="N12" s="28"/>
      <c r="O12" s="175">
        <v>43915</v>
      </c>
      <c r="P12" s="207" t="s">
        <v>290</v>
      </c>
      <c r="Q12" s="175">
        <v>43929</v>
      </c>
    </row>
    <row r="13" spans="7:21" x14ac:dyDescent="0.25">
      <c r="O13" s="175">
        <v>43915</v>
      </c>
      <c r="P13" s="207" t="s">
        <v>346</v>
      </c>
      <c r="Q13" s="175">
        <f>O13+14</f>
        <v>43929</v>
      </c>
      <c r="R13" s="81"/>
      <c r="S13" s="81"/>
      <c r="T13" s="81"/>
    </row>
    <row r="14" spans="7:21" x14ac:dyDescent="0.25">
      <c r="P14" s="173">
        <v>43920</v>
      </c>
      <c r="Q14" s="174" t="s">
        <v>217</v>
      </c>
      <c r="R14" s="173">
        <f>P14+14</f>
        <v>43934</v>
      </c>
      <c r="S14" s="181"/>
      <c r="T14" s="181"/>
    </row>
    <row r="15" spans="7:21" x14ac:dyDescent="0.25">
      <c r="R15" s="276">
        <v>43948</v>
      </c>
      <c r="S15" t="s">
        <v>295</v>
      </c>
    </row>
    <row r="16" spans="7:21" x14ac:dyDescent="0.25">
      <c r="O16" s="59"/>
      <c r="P16" s="59"/>
      <c r="Q16" s="59"/>
      <c r="R16" s="291">
        <v>43949</v>
      </c>
      <c r="S16" s="292" t="s">
        <v>296</v>
      </c>
      <c r="T16" s="59"/>
      <c r="U16" s="181"/>
    </row>
    <row r="17" spans="17:21" x14ac:dyDescent="0.25">
      <c r="R17" s="276">
        <v>43959</v>
      </c>
      <c r="S17" t="s">
        <v>303</v>
      </c>
      <c r="U17" s="181"/>
    </row>
    <row r="18" spans="17:21" x14ac:dyDescent="0.25">
      <c r="Q18" s="276"/>
      <c r="R18" s="289">
        <v>43961</v>
      </c>
      <c r="S18" s="290" t="s">
        <v>304</v>
      </c>
      <c r="U18" s="181"/>
    </row>
    <row r="19" spans="17:21" x14ac:dyDescent="0.25">
      <c r="R19" s="276">
        <v>43964</v>
      </c>
      <c r="S19" t="s">
        <v>305</v>
      </c>
    </row>
    <row r="20" spans="17:21" x14ac:dyDescent="0.25">
      <c r="S20" s="276">
        <v>43968</v>
      </c>
      <c r="T20" t="s">
        <v>306</v>
      </c>
    </row>
    <row r="21" spans="17:21" x14ac:dyDescent="0.25">
      <c r="S21" s="276">
        <v>43969</v>
      </c>
      <c r="T21" t="s">
        <v>307</v>
      </c>
    </row>
    <row r="22" spans="17:21" x14ac:dyDescent="0.25">
      <c r="S22" s="276">
        <v>43969</v>
      </c>
      <c r="T22" t="s">
        <v>308</v>
      </c>
    </row>
    <row r="23" spans="17:21" x14ac:dyDescent="0.25">
      <c r="S23" s="276">
        <v>43970</v>
      </c>
      <c r="T23" t="s">
        <v>309</v>
      </c>
      <c r="U23" s="181"/>
    </row>
    <row r="24" spans="17:21" x14ac:dyDescent="0.25">
      <c r="S24" s="276">
        <v>43972</v>
      </c>
      <c r="T24" t="s">
        <v>312</v>
      </c>
      <c r="U24" s="181"/>
    </row>
    <row r="25" spans="17:21" x14ac:dyDescent="0.25">
      <c r="S25" s="276">
        <v>43979</v>
      </c>
      <c r="T25" t="s">
        <v>314</v>
      </c>
      <c r="U25" s="81"/>
    </row>
    <row r="26" spans="17:21" x14ac:dyDescent="0.25">
      <c r="S26" s="276">
        <v>43980</v>
      </c>
      <c r="T26" t="s">
        <v>313</v>
      </c>
      <c r="U26" s="181"/>
    </row>
    <row r="27" spans="17:21" x14ac:dyDescent="0.25">
      <c r="S27" s="276">
        <v>43981</v>
      </c>
      <c r="T27" t="s">
        <v>317</v>
      </c>
    </row>
    <row r="28" spans="17:21" x14ac:dyDescent="0.25">
      <c r="S28" s="289">
        <v>43983</v>
      </c>
      <c r="T28" s="290" t="s">
        <v>315</v>
      </c>
    </row>
    <row r="29" spans="17:21" x14ac:dyDescent="0.25">
      <c r="S29" s="276">
        <v>43987</v>
      </c>
      <c r="T29" t="s">
        <v>316</v>
      </c>
    </row>
    <row r="30" spans="17:21" x14ac:dyDescent="0.25">
      <c r="S30" s="276">
        <v>43988</v>
      </c>
      <c r="T30" t="s">
        <v>318</v>
      </c>
    </row>
    <row r="31" spans="17:21" x14ac:dyDescent="0.25">
      <c r="S31" s="276">
        <v>43990</v>
      </c>
      <c r="T31" t="s">
        <v>321</v>
      </c>
    </row>
    <row r="32" spans="17:21" x14ac:dyDescent="0.25">
      <c r="S32" s="276">
        <v>43991</v>
      </c>
      <c r="T32" t="s">
        <v>319</v>
      </c>
    </row>
    <row r="33" spans="19:26" x14ac:dyDescent="0.25">
      <c r="S33" s="276">
        <v>43995</v>
      </c>
      <c r="T33" t="s">
        <v>324</v>
      </c>
    </row>
    <row r="34" spans="19:26" x14ac:dyDescent="0.25">
      <c r="T34" s="276">
        <v>44001</v>
      </c>
      <c r="U34" t="s">
        <v>322</v>
      </c>
    </row>
    <row r="35" spans="19:26" x14ac:dyDescent="0.25">
      <c r="T35" s="276">
        <v>44002</v>
      </c>
      <c r="U35" t="s">
        <v>323</v>
      </c>
    </row>
    <row r="36" spans="19:26" x14ac:dyDescent="0.25">
      <c r="T36" s="276">
        <v>44006</v>
      </c>
      <c r="U36" t="s">
        <v>326</v>
      </c>
    </row>
    <row r="37" spans="19:26" x14ac:dyDescent="0.25">
      <c r="T37" s="276">
        <v>44009</v>
      </c>
      <c r="U37" t="s">
        <v>327</v>
      </c>
    </row>
    <row r="38" spans="19:26" x14ac:dyDescent="0.25">
      <c r="T38" s="276">
        <v>44010</v>
      </c>
      <c r="U38" t="s">
        <v>325</v>
      </c>
    </row>
    <row r="39" spans="19:26" x14ac:dyDescent="0.25">
      <c r="U39" s="173">
        <v>44013</v>
      </c>
      <c r="V39" s="174" t="s">
        <v>328</v>
      </c>
    </row>
    <row r="40" spans="19:26" x14ac:dyDescent="0.25">
      <c r="U40" s="276">
        <v>44013</v>
      </c>
      <c r="V40" t="s">
        <v>330</v>
      </c>
      <c r="X40" s="293"/>
      <c r="Y40" s="293"/>
      <c r="Z40" s="293"/>
    </row>
    <row r="41" spans="19:26" x14ac:dyDescent="0.25">
      <c r="V41" s="173">
        <v>44016</v>
      </c>
      <c r="W41" s="318" t="s">
        <v>334</v>
      </c>
      <c r="X41" s="293"/>
      <c r="Y41" s="293"/>
      <c r="Z41" s="293"/>
    </row>
    <row r="42" spans="19:26" x14ac:dyDescent="0.25">
      <c r="V42" s="276">
        <v>44018</v>
      </c>
      <c r="W42" t="s">
        <v>332</v>
      </c>
    </row>
    <row r="43" spans="19:26" x14ac:dyDescent="0.25">
      <c r="V43" s="276">
        <v>44019</v>
      </c>
      <c r="W43" t="s">
        <v>333</v>
      </c>
    </row>
    <row r="44" spans="19:26" x14ac:dyDescent="0.25">
      <c r="V44" s="319">
        <v>44019</v>
      </c>
      <c r="W44" s="318" t="s">
        <v>336</v>
      </c>
    </row>
    <row r="45" spans="19:26" x14ac:dyDescent="0.25">
      <c r="V45" s="276">
        <v>44021</v>
      </c>
      <c r="W45" t="s">
        <v>347</v>
      </c>
    </row>
    <row r="46" spans="19:26" x14ac:dyDescent="0.25">
      <c r="W46" s="276">
        <v>44023</v>
      </c>
      <c r="X46" t="s">
        <v>337</v>
      </c>
    </row>
    <row r="47" spans="19:26" x14ac:dyDescent="0.25">
      <c r="W47" s="313">
        <v>44024</v>
      </c>
      <c r="X47" s="312" t="s">
        <v>335</v>
      </c>
    </row>
    <row r="48" spans="19:26" x14ac:dyDescent="0.25">
      <c r="W48" s="313">
        <v>44025</v>
      </c>
      <c r="X48" s="312" t="s">
        <v>331</v>
      </c>
    </row>
    <row r="49" spans="1:37" x14ac:dyDescent="0.25">
      <c r="W49" s="276">
        <v>44026</v>
      </c>
      <c r="X49" s="312" t="s">
        <v>340</v>
      </c>
    </row>
    <row r="50" spans="1:37" x14ac:dyDescent="0.25">
      <c r="X50" s="276">
        <v>44030</v>
      </c>
      <c r="Y50" s="312" t="s">
        <v>341</v>
      </c>
    </row>
    <row r="51" spans="1:37" x14ac:dyDescent="0.25">
      <c r="X51" s="313">
        <v>44032</v>
      </c>
      <c r="Y51" s="312" t="s">
        <v>320</v>
      </c>
    </row>
    <row r="52" spans="1:37" x14ac:dyDescent="0.25">
      <c r="X52" s="173">
        <v>44033</v>
      </c>
      <c r="Y52" s="318" t="s">
        <v>338</v>
      </c>
    </row>
    <row r="53" spans="1:37" x14ac:dyDescent="0.25">
      <c r="Y53" s="173">
        <v>44034</v>
      </c>
      <c r="Z53" s="318" t="s">
        <v>339</v>
      </c>
    </row>
    <row r="54" spans="1:37" x14ac:dyDescent="0.25">
      <c r="AA54" s="173">
        <v>44045</v>
      </c>
      <c r="AB54" s="174" t="s">
        <v>348</v>
      </c>
    </row>
    <row r="55" spans="1:37" x14ac:dyDescent="0.25">
      <c r="A55" s="16" t="s">
        <v>0</v>
      </c>
      <c r="B55" s="169">
        <v>25634000</v>
      </c>
      <c r="C55" t="s">
        <v>151</v>
      </c>
    </row>
    <row r="56" spans="1:37" x14ac:dyDescent="0.25">
      <c r="A56" s="69" t="s">
        <v>310</v>
      </c>
      <c r="B56" s="287">
        <v>0.01</v>
      </c>
    </row>
    <row r="57" spans="1:37" x14ac:dyDescent="0.25">
      <c r="A57" s="16" t="s">
        <v>213</v>
      </c>
      <c r="B57" s="170">
        <f>B56/B64</f>
        <v>0.86956521739130443</v>
      </c>
      <c r="C57" t="s">
        <v>311</v>
      </c>
    </row>
    <row r="58" spans="1:37" x14ac:dyDescent="0.25">
      <c r="A58" s="49" t="s">
        <v>215</v>
      </c>
      <c r="B58" s="128">
        <v>0.2</v>
      </c>
    </row>
    <row r="59" spans="1:37" x14ac:dyDescent="0.25">
      <c r="A59" s="53" t="s">
        <v>144</v>
      </c>
      <c r="B59" s="125">
        <v>2.6</v>
      </c>
      <c r="C59" s="76">
        <f>(B55/1000)*B59</f>
        <v>66648.400000000009</v>
      </c>
      <c r="N59" s="164"/>
    </row>
    <row r="60" spans="1:37" x14ac:dyDescent="0.25">
      <c r="A60" s="53" t="s">
        <v>145</v>
      </c>
      <c r="B60" s="125">
        <v>7.4</v>
      </c>
      <c r="C60" s="73">
        <f>(B55/100000)*B60</f>
        <v>1896.9159999999999</v>
      </c>
      <c r="Q60" s="191"/>
      <c r="R60" s="191"/>
      <c r="S60" s="191"/>
      <c r="AD60" s="134"/>
      <c r="AE60" s="276"/>
    </row>
    <row r="61" spans="1:37" x14ac:dyDescent="0.25">
      <c r="A61" s="16" t="s">
        <v>172</v>
      </c>
      <c r="B61" s="126">
        <v>0.9</v>
      </c>
      <c r="C61" s="2" t="s">
        <v>284</v>
      </c>
      <c r="Q61" s="276"/>
      <c r="R61" s="276"/>
      <c r="S61" s="276"/>
      <c r="T61" s="276"/>
      <c r="U61" s="276"/>
      <c r="V61" s="276"/>
      <c r="AC61" s="276"/>
      <c r="AD61" s="134"/>
      <c r="AG61" s="276"/>
    </row>
    <row r="62" spans="1:37" x14ac:dyDescent="0.25">
      <c r="A62" s="53" t="s">
        <v>173</v>
      </c>
      <c r="B62" s="127">
        <v>0.09</v>
      </c>
      <c r="C62" s="2" t="s">
        <v>283</v>
      </c>
      <c r="AD62" s="134"/>
      <c r="AE62" s="276"/>
      <c r="AF62" s="276"/>
    </row>
    <row r="63" spans="1:37" x14ac:dyDescent="0.25">
      <c r="A63" s="49" t="s">
        <v>209</v>
      </c>
      <c r="B63" s="128">
        <v>0.01</v>
      </c>
      <c r="C63" s="2" t="s">
        <v>282</v>
      </c>
      <c r="D63" s="233" t="s">
        <v>277</v>
      </c>
      <c r="E63" s="233"/>
      <c r="F63" s="233"/>
      <c r="M63" s="164"/>
      <c r="Q63" s="191"/>
      <c r="R63" s="191"/>
      <c r="S63" s="191"/>
      <c r="U63" s="59"/>
      <c r="V63" s="81"/>
      <c r="W63" s="166"/>
      <c r="X63" s="166"/>
      <c r="Y63" s="166"/>
      <c r="Z63" s="166"/>
      <c r="AA63" s="81"/>
      <c r="AK63" s="191"/>
    </row>
    <row r="64" spans="1:37" x14ac:dyDescent="0.25">
      <c r="A64" s="49" t="s">
        <v>214</v>
      </c>
      <c r="B64" s="77">
        <v>1.15E-2</v>
      </c>
      <c r="C64" s="2"/>
      <c r="D64" s="194" t="s">
        <v>264</v>
      </c>
      <c r="E64" s="28"/>
      <c r="F64" s="28"/>
      <c r="M64" s="164"/>
      <c r="N64" s="59"/>
      <c r="O64" s="59"/>
      <c r="P64" s="59"/>
      <c r="R64" s="59"/>
      <c r="S64" s="59"/>
      <c r="T64" s="59"/>
      <c r="U64" s="164"/>
      <c r="V64" s="81"/>
      <c r="W64" s="81"/>
      <c r="X64" s="81"/>
      <c r="Y64" s="81"/>
      <c r="Z64" s="81"/>
      <c r="AA64" s="81"/>
      <c r="AJ64" s="192"/>
    </row>
    <row r="65" spans="1:42" x14ac:dyDescent="0.25">
      <c r="A65" s="167" t="s">
        <v>202</v>
      </c>
      <c r="B65" s="168">
        <v>43855</v>
      </c>
      <c r="C65" s="2"/>
      <c r="D65" s="249">
        <f>(AJ68-I68)/(LOG(AJ69/I69)/LOG(2))</f>
        <v>22.333333333333332</v>
      </c>
      <c r="E65" s="308"/>
      <c r="F65" s="308"/>
      <c r="G65" s="191"/>
      <c r="L65" s="28"/>
      <c r="M65" s="59"/>
      <c r="N65" s="59"/>
      <c r="O65" s="59"/>
      <c r="P65" s="59"/>
      <c r="Q65" s="59" t="s">
        <v>278</v>
      </c>
      <c r="R65" s="59"/>
      <c r="S65" s="59"/>
      <c r="T65" s="59"/>
      <c r="U65" s="59"/>
      <c r="V65" s="81"/>
      <c r="W65" s="81"/>
      <c r="X65" s="81"/>
      <c r="Y65" s="81"/>
      <c r="Z65" s="81"/>
      <c r="AA65" s="81"/>
    </row>
    <row r="66" spans="1:42" x14ac:dyDescent="0.25">
      <c r="A66" s="28"/>
      <c r="B66" s="62" t="s">
        <v>150</v>
      </c>
      <c r="C66" s="22"/>
      <c r="D66" s="28"/>
      <c r="E66" s="28"/>
      <c r="F66" s="28"/>
      <c r="G66" s="28"/>
      <c r="H66" s="28"/>
      <c r="I66" s="28"/>
      <c r="J66" s="28"/>
      <c r="K66" s="28"/>
      <c r="L66" s="28"/>
      <c r="M66" s="59"/>
      <c r="N66" s="59"/>
      <c r="O66" t="s">
        <v>293</v>
      </c>
      <c r="P66" s="59"/>
      <c r="R66" s="59"/>
      <c r="S66" s="59" t="s">
        <v>294</v>
      </c>
      <c r="T66" s="59"/>
      <c r="U66" s="59"/>
      <c r="V66" s="59"/>
      <c r="W66" s="59"/>
      <c r="X66" s="59"/>
      <c r="Y66" s="59"/>
      <c r="Z66" s="59"/>
      <c r="AA66" s="59"/>
      <c r="AB66" s="28"/>
      <c r="AC66" s="28"/>
      <c r="AD66" s="28"/>
      <c r="AE66" s="28"/>
      <c r="AF66" s="28"/>
      <c r="AG66" s="28"/>
      <c r="AH66" s="28"/>
      <c r="AI66" s="28"/>
      <c r="AJ66" s="233" t="s">
        <v>279</v>
      </c>
      <c r="AM66" s="166"/>
    </row>
    <row r="67" spans="1:42" x14ac:dyDescent="0.25">
      <c r="A67" s="65" t="s">
        <v>133</v>
      </c>
      <c r="B67" s="206">
        <v>43892</v>
      </c>
      <c r="C67" s="206">
        <v>43908</v>
      </c>
      <c r="D67" s="206">
        <v>43914</v>
      </c>
      <c r="E67" s="206">
        <v>43919</v>
      </c>
      <c r="F67" s="206">
        <v>44014</v>
      </c>
      <c r="G67" s="206"/>
      <c r="H67" s="206"/>
      <c r="I67" s="147" t="s">
        <v>161</v>
      </c>
      <c r="J67" s="28"/>
      <c r="K67" s="28"/>
      <c r="L67" s="28"/>
      <c r="M67" s="59"/>
      <c r="N67" s="59"/>
      <c r="O67" s="59"/>
      <c r="P67" s="288"/>
      <c r="Q67" s="194" t="s">
        <v>292</v>
      </c>
      <c r="R67" s="197"/>
      <c r="S67" s="197"/>
      <c r="T67" s="311" t="s">
        <v>329</v>
      </c>
      <c r="U67" s="28"/>
      <c r="V67" s="28"/>
      <c r="W67" s="28"/>
      <c r="X67" s="28"/>
      <c r="Y67" s="28"/>
      <c r="Z67" s="28"/>
      <c r="AA67" s="28" t="s">
        <v>343</v>
      </c>
      <c r="AC67" s="28"/>
      <c r="AG67" s="28"/>
      <c r="AH67" s="28"/>
      <c r="AI67" s="28"/>
      <c r="AM67" s="247" t="s">
        <v>285</v>
      </c>
    </row>
    <row r="68" spans="1:42" x14ac:dyDescent="0.25">
      <c r="A68" s="16" t="s">
        <v>12</v>
      </c>
      <c r="B68" s="171">
        <v>4</v>
      </c>
      <c r="C68" s="172">
        <v>3</v>
      </c>
      <c r="D68" s="96">
        <v>5</v>
      </c>
      <c r="E68" s="21">
        <v>95</v>
      </c>
      <c r="F68" s="310">
        <v>28</v>
      </c>
      <c r="G68" s="21"/>
      <c r="H68" s="21"/>
      <c r="I68" s="294">
        <v>43892</v>
      </c>
      <c r="J68" s="295">
        <f t="shared" ref="J68:P68" si="0">I68+HLOOKUP(I68+1, $B$67:$H$68,2,TRUE)</f>
        <v>43896</v>
      </c>
      <c r="K68" s="295">
        <f t="shared" si="0"/>
        <v>43900</v>
      </c>
      <c r="L68" s="295">
        <f t="shared" si="0"/>
        <v>43904</v>
      </c>
      <c r="M68" s="295">
        <f t="shared" si="0"/>
        <v>43908</v>
      </c>
      <c r="N68" s="296">
        <f t="shared" si="0"/>
        <v>43911</v>
      </c>
      <c r="O68" s="296">
        <f t="shared" si="0"/>
        <v>43914</v>
      </c>
      <c r="P68" s="297">
        <f t="shared" si="0"/>
        <v>43919</v>
      </c>
      <c r="Q68" s="298">
        <f>$P$68+(($V$68-$P$68)*0.11)</f>
        <v>43929.45</v>
      </c>
      <c r="R68" s="298">
        <f>$P$68+(($V$68-$P$68)*0.23)</f>
        <v>43940.85</v>
      </c>
      <c r="S68" s="298">
        <f>$P$68+(($V$68-$P$68)*0.5)</f>
        <v>43966.5</v>
      </c>
      <c r="T68" s="298">
        <f>$P$68+(($V$68-$P$68)*0.87)</f>
        <v>44001.65</v>
      </c>
      <c r="U68" s="298">
        <f>$P$68+(($V$68-$P$68)*0.97)</f>
        <v>44011.15</v>
      </c>
      <c r="V68" s="314">
        <f>P68+HLOOKUP(P68+1, $B$67:$H$68,2,TRUE)</f>
        <v>44014</v>
      </c>
      <c r="W68" s="328">
        <f>$V$68+(($AA$68-$V$68)*0.33)</f>
        <v>44023.24</v>
      </c>
      <c r="X68" s="328">
        <f>$V$68+(($AA$68-$V$68)*0.55)</f>
        <v>44029.4</v>
      </c>
      <c r="Y68" s="328">
        <f>$V$68+(($AA$68-$V$68)*0.72)</f>
        <v>44034.16</v>
      </c>
      <c r="Z68" s="328">
        <f>$V$68+(($AA$68-$V$68)*0.86)</f>
        <v>44038.080000000002</v>
      </c>
      <c r="AA68" s="329">
        <f>V68+HLOOKUP(V68+1, $B$67:$H$68,2,TRUE)</f>
        <v>44042</v>
      </c>
      <c r="AB68" s="277">
        <f t="shared" ref="AB68:AL68" si="1">AA68+HLOOKUP(AA68+1, $B$67:$H$68,2,TRUE)</f>
        <v>44070</v>
      </c>
      <c r="AC68" s="277">
        <f t="shared" si="1"/>
        <v>44098</v>
      </c>
      <c r="AD68" s="277">
        <f t="shared" si="1"/>
        <v>44126</v>
      </c>
      <c r="AE68" s="277">
        <f t="shared" si="1"/>
        <v>44154</v>
      </c>
      <c r="AF68" s="277">
        <f t="shared" si="1"/>
        <v>44182</v>
      </c>
      <c r="AG68" s="277">
        <f t="shared" si="1"/>
        <v>44210</v>
      </c>
      <c r="AH68" s="277">
        <f t="shared" si="1"/>
        <v>44238</v>
      </c>
      <c r="AI68" s="277">
        <f t="shared" si="1"/>
        <v>44266</v>
      </c>
      <c r="AJ68" s="278">
        <f t="shared" si="1"/>
        <v>44294</v>
      </c>
      <c r="AK68" s="279">
        <f t="shared" si="1"/>
        <v>44322</v>
      </c>
      <c r="AL68" s="280">
        <f t="shared" si="1"/>
        <v>44350</v>
      </c>
      <c r="AM68" s="248">
        <f>AL68+(7*8)</f>
        <v>44406</v>
      </c>
      <c r="AN68" s="82"/>
      <c r="AO68" s="82"/>
      <c r="AP68" s="81"/>
    </row>
    <row r="69" spans="1:42" x14ac:dyDescent="0.25">
      <c r="A69" s="53" t="s">
        <v>207</v>
      </c>
      <c r="B69" s="28"/>
      <c r="C69" s="28"/>
      <c r="D69" s="28"/>
      <c r="E69" s="28"/>
      <c r="F69" s="28"/>
      <c r="G69" s="28"/>
      <c r="H69" s="28"/>
      <c r="I69" s="272">
        <v>31.25</v>
      </c>
      <c r="J69" s="273">
        <f>I69*2</f>
        <v>62.5</v>
      </c>
      <c r="K69" s="273">
        <f t="shared" ref="K69:AH69" si="2">J69*2</f>
        <v>125</v>
      </c>
      <c r="L69" s="273">
        <f t="shared" si="2"/>
        <v>250</v>
      </c>
      <c r="M69" s="274">
        <f t="shared" si="2"/>
        <v>500</v>
      </c>
      <c r="N69" s="275">
        <f t="shared" si="2"/>
        <v>1000</v>
      </c>
      <c r="O69" s="273">
        <f t="shared" si="2"/>
        <v>2000</v>
      </c>
      <c r="P69" s="273">
        <f t="shared" si="2"/>
        <v>4000</v>
      </c>
      <c r="Q69" s="275">
        <f>$P$69+(($V$69-$P$69)*0.5)</f>
        <v>6000</v>
      </c>
      <c r="R69" s="273">
        <f>$P$69+(($V$69-$P$69)*0.65)</f>
        <v>6600</v>
      </c>
      <c r="S69" s="273">
        <f>$P$69+(($V$69-$P$69)*0.75)</f>
        <v>7000</v>
      </c>
      <c r="T69" s="273">
        <f>$P$69+(($V$69-$P$69)*0.85)</f>
        <v>7400</v>
      </c>
      <c r="U69" s="273">
        <f>$P$69+(($V$69-$P$69)*0.95)</f>
        <v>7800</v>
      </c>
      <c r="V69" s="274">
        <f>P69*2</f>
        <v>8000</v>
      </c>
      <c r="W69" s="273">
        <f>$V$69+(($AA$69-$V$69)*0.2)</f>
        <v>9600</v>
      </c>
      <c r="X69" s="273">
        <f>$V$69+(($AA$69-$V$69)*0.4)</f>
        <v>11200</v>
      </c>
      <c r="Y69" s="273">
        <f>$V$69+(($AA$69-$V$69)*0.6)</f>
        <v>12800</v>
      </c>
      <c r="Z69" s="273">
        <f>$V$69+(($AA$69-$V$69)*0.8)</f>
        <v>14400</v>
      </c>
      <c r="AA69" s="273">
        <f>V69*2</f>
        <v>16000</v>
      </c>
      <c r="AB69" s="273">
        <f>AA69*2</f>
        <v>32000</v>
      </c>
      <c r="AC69" s="273">
        <f>AB69*2</f>
        <v>64000</v>
      </c>
      <c r="AD69" s="273">
        <f>AC69*2</f>
        <v>128000</v>
      </c>
      <c r="AE69" s="273">
        <f t="shared" si="2"/>
        <v>256000</v>
      </c>
      <c r="AF69" s="273">
        <f t="shared" si="2"/>
        <v>512000</v>
      </c>
      <c r="AG69" s="273">
        <f t="shared" si="2"/>
        <v>1024000</v>
      </c>
      <c r="AH69" s="273">
        <f t="shared" si="2"/>
        <v>2048000</v>
      </c>
      <c r="AI69" s="273">
        <f>AH69*2</f>
        <v>4096000</v>
      </c>
      <c r="AJ69" s="274">
        <f>AI69*2</f>
        <v>8192000</v>
      </c>
      <c r="AK69" s="263">
        <f>AJ69*2</f>
        <v>16384000</v>
      </c>
      <c r="AL69" s="222">
        <f>B55</f>
        <v>25634000</v>
      </c>
      <c r="AM69" s="241">
        <f>B55*AM70</f>
        <v>5126800</v>
      </c>
      <c r="AN69" s="57"/>
      <c r="AO69" s="57"/>
      <c r="AP69" s="81"/>
    </row>
    <row r="70" spans="1:42" x14ac:dyDescent="0.25">
      <c r="A70" s="53" t="s">
        <v>208</v>
      </c>
      <c r="B70" s="28"/>
      <c r="C70" s="28"/>
      <c r="D70" s="28"/>
      <c r="E70" s="28"/>
      <c r="F70" s="28"/>
      <c r="G70" s="28"/>
      <c r="H70" s="28"/>
      <c r="I70" s="210">
        <f t="shared" ref="I70:AH70" si="3">I69/$B$55</f>
        <v>1.2190840290239525E-6</v>
      </c>
      <c r="J70" s="211">
        <f t="shared" si="3"/>
        <v>2.438168058047905E-6</v>
      </c>
      <c r="K70" s="78">
        <f t="shared" si="3"/>
        <v>4.87633611609581E-6</v>
      </c>
      <c r="L70" s="48">
        <f t="shared" si="3"/>
        <v>9.7526722321916199E-6</v>
      </c>
      <c r="M70" s="209">
        <f t="shared" si="3"/>
        <v>1.950534446438324E-5</v>
      </c>
      <c r="N70" s="101">
        <f t="shared" si="3"/>
        <v>3.901068892876648E-5</v>
      </c>
      <c r="O70" s="48">
        <f t="shared" si="3"/>
        <v>7.8021377857532959E-5</v>
      </c>
      <c r="P70" s="48">
        <f t="shared" si="3"/>
        <v>1.5604275571506592E-4</v>
      </c>
      <c r="Q70" s="101">
        <f t="shared" ref="Q70:U70" si="4">Q69/$B$55</f>
        <v>2.3406413357259889E-4</v>
      </c>
      <c r="R70" s="48">
        <f t="shared" si="4"/>
        <v>2.5747054692985876E-4</v>
      </c>
      <c r="S70" s="48">
        <f t="shared" ref="S70:T70" si="5">S69/$B$55</f>
        <v>2.7307482250136535E-4</v>
      </c>
      <c r="T70" s="48">
        <f t="shared" si="5"/>
        <v>2.8867909807287195E-4</v>
      </c>
      <c r="U70" s="48">
        <f t="shared" si="4"/>
        <v>3.0428337364437854E-4</v>
      </c>
      <c r="V70" s="307">
        <f t="shared" si="3"/>
        <v>3.1208551143013184E-4</v>
      </c>
      <c r="W70" s="26">
        <f t="shared" si="3"/>
        <v>3.7450261371615822E-4</v>
      </c>
      <c r="X70" s="26">
        <f t="shared" si="3"/>
        <v>4.3691971600218459E-4</v>
      </c>
      <c r="Y70" s="26">
        <f t="shared" si="3"/>
        <v>4.9933681828821092E-4</v>
      </c>
      <c r="Z70" s="26">
        <f>Z69/$B$55</f>
        <v>5.617539205742373E-4</v>
      </c>
      <c r="AA70" s="26">
        <f>AA69/$B$55</f>
        <v>6.2417102286026367E-4</v>
      </c>
      <c r="AB70" s="26">
        <f>AB69/$B$55</f>
        <v>1.2483420457205273E-3</v>
      </c>
      <c r="AC70" s="26">
        <f>AC69/$B$55</f>
        <v>2.4966840914410547E-3</v>
      </c>
      <c r="AD70" s="27">
        <f>AD69/$B$55</f>
        <v>4.9933681828821094E-3</v>
      </c>
      <c r="AE70" s="87">
        <f t="shared" si="3"/>
        <v>9.9867363657642188E-3</v>
      </c>
      <c r="AF70" s="87">
        <f t="shared" si="3"/>
        <v>1.9973472731528438E-2</v>
      </c>
      <c r="AG70" s="87">
        <f t="shared" si="3"/>
        <v>3.9946945463056875E-2</v>
      </c>
      <c r="AH70" s="87">
        <f t="shared" si="3"/>
        <v>7.989389092611375E-2</v>
      </c>
      <c r="AI70" s="87">
        <f>AI69/$B$55</f>
        <v>0.1597877818522275</v>
      </c>
      <c r="AJ70" s="267">
        <f>AJ69/$B$55</f>
        <v>0.319575563704455</v>
      </c>
      <c r="AK70" s="264">
        <f>AK69/$B$55</f>
        <v>0.63915112740891</v>
      </c>
      <c r="AL70" s="193">
        <f>AL69/$B$55</f>
        <v>1</v>
      </c>
      <c r="AM70" s="242">
        <f>B58</f>
        <v>0.2</v>
      </c>
      <c r="AN70" s="37"/>
      <c r="AO70" s="37"/>
      <c r="AP70" s="81"/>
    </row>
    <row r="71" spans="1:42" x14ac:dyDescent="0.25">
      <c r="A71" s="53" t="s">
        <v>260</v>
      </c>
      <c r="B71" s="28"/>
      <c r="C71" s="28"/>
      <c r="D71" s="28"/>
      <c r="E71" s="28"/>
      <c r="F71" s="28"/>
      <c r="G71" s="28"/>
      <c r="H71" s="28"/>
      <c r="I71" s="250">
        <f t="shared" ref="I71:AA71" si="6">MAX(I69-(I77-I78)-(I79-I80)-(I81-I82),0)</f>
        <v>23.339870251730574</v>
      </c>
      <c r="J71" s="251">
        <f t="shared" si="6"/>
        <v>50.956240335526303</v>
      </c>
      <c r="K71" s="251">
        <f t="shared" si="6"/>
        <v>108.1534511528987</v>
      </c>
      <c r="L71" s="251">
        <f t="shared" si="6"/>
        <v>225.41475079984619</v>
      </c>
      <c r="M71" s="252">
        <f t="shared" si="6"/>
        <v>465.64632137246281</v>
      </c>
      <c r="N71" s="250">
        <f t="shared" si="6"/>
        <v>936.18472046206671</v>
      </c>
      <c r="O71" s="251">
        <f t="shared" si="6"/>
        <v>1900.037878787879</v>
      </c>
      <c r="P71" s="251">
        <f t="shared" si="6"/>
        <v>3747.1727000372321</v>
      </c>
      <c r="Q71" s="250">
        <f t="shared" ref="Q71:U71" si="7">MAX(Q69-(Q77-Q78)-(Q79-Q80)-(Q81-Q82),0)</f>
        <v>3357.5982368581508</v>
      </c>
      <c r="R71" s="251">
        <f t="shared" si="7"/>
        <v>490.58791187367626</v>
      </c>
      <c r="S71" s="251">
        <f t="shared" ref="S71:T71" si="8">MAX(S69-(S77-S78)-(S79-S80)-(S81-S82),0)</f>
        <v>0</v>
      </c>
      <c r="T71" s="251">
        <f t="shared" si="8"/>
        <v>0</v>
      </c>
      <c r="U71" s="251">
        <f t="shared" si="7"/>
        <v>0</v>
      </c>
      <c r="V71" s="252">
        <f>MAX(V69-(V77-V78)-(V79-V80)-(V81-V82),0)</f>
        <v>0</v>
      </c>
      <c r="W71" s="251">
        <f t="shared" ref="W71:Z71" si="9">MAX(W69-(W77-W78)-(W79-W80)-(W81-W82),0)</f>
        <v>19.90339690223459</v>
      </c>
      <c r="X71" s="251">
        <f t="shared" si="9"/>
        <v>2751.0049488667191</v>
      </c>
      <c r="Y71" s="251">
        <f t="shared" si="9"/>
        <v>2630.8926357490323</v>
      </c>
      <c r="Z71" s="251">
        <f t="shared" si="9"/>
        <v>4739.6164677669904</v>
      </c>
      <c r="AA71" s="251">
        <f t="shared" si="6"/>
        <v>4643.5777192111636</v>
      </c>
      <c r="AB71" s="251">
        <f>MAX(AB69-(AB77-AB78)-(AB79-AB80)-(AB81-AB82),0)</f>
        <v>5935.3289275619218</v>
      </c>
      <c r="AC71" s="251">
        <f t="shared" ref="AC71:AL71" si="10">MAX(AC69-(AC77-AC78)-(AC79-AC80)-(AC81-AC82),0)</f>
        <v>14158.926342909117</v>
      </c>
      <c r="AD71" s="251">
        <f t="shared" si="10"/>
        <v>31060.587248927739</v>
      </c>
      <c r="AE71" s="251">
        <f t="shared" si="10"/>
        <v>66035.33245071143</v>
      </c>
      <c r="AF71" s="251">
        <f t="shared" si="10"/>
        <v>138102.05212229866</v>
      </c>
      <c r="AG71" s="251">
        <f t="shared" si="10"/>
        <v>285782.72526561271</v>
      </c>
      <c r="AH71" s="251">
        <f t="shared" si="10"/>
        <v>587145.44204032468</v>
      </c>
      <c r="AI71" s="251">
        <f t="shared" si="10"/>
        <v>1200128.6929948411</v>
      </c>
      <c r="AJ71" s="252">
        <f t="shared" si="10"/>
        <v>2443800.5457715434</v>
      </c>
      <c r="AK71" s="265">
        <f t="shared" si="10"/>
        <v>4961981.1029464891</v>
      </c>
      <c r="AL71" s="215">
        <f t="shared" si="10"/>
        <v>2918492.0510001676</v>
      </c>
      <c r="AM71" s="243"/>
      <c r="AN71" s="57"/>
      <c r="AO71" s="57"/>
      <c r="AP71" s="81"/>
    </row>
    <row r="72" spans="1:42" x14ac:dyDescent="0.25">
      <c r="A72" s="53" t="s">
        <v>280</v>
      </c>
      <c r="B72" s="28"/>
      <c r="C72" s="28"/>
      <c r="D72" s="28"/>
      <c r="E72" s="28"/>
      <c r="F72" s="28"/>
      <c r="G72" s="28"/>
      <c r="H72" s="28"/>
      <c r="I72" s="98">
        <f>I69-I71</f>
        <v>7.9101297482694264</v>
      </c>
      <c r="J72" s="99">
        <f t="shared" ref="J72:AL72" si="11">J69-J71</f>
        <v>11.543759664473697</v>
      </c>
      <c r="K72" s="99">
        <f t="shared" si="11"/>
        <v>16.846548847101303</v>
      </c>
      <c r="L72" s="99">
        <f t="shared" si="11"/>
        <v>24.585249200153811</v>
      </c>
      <c r="M72" s="136">
        <f t="shared" si="11"/>
        <v>34.353678627537192</v>
      </c>
      <c r="N72" s="268">
        <f t="shared" si="11"/>
        <v>63.815279537933293</v>
      </c>
      <c r="O72" s="135">
        <f t="shared" si="11"/>
        <v>99.962121212121019</v>
      </c>
      <c r="P72" s="135">
        <f t="shared" si="11"/>
        <v>252.82729996276794</v>
      </c>
      <c r="Q72" s="301">
        <f t="shared" ref="Q72:U72" si="12">Q69-Q71</f>
        <v>2642.4017631418492</v>
      </c>
      <c r="R72" s="300">
        <f t="shared" si="12"/>
        <v>6109.4120881263234</v>
      </c>
      <c r="S72" s="300">
        <f t="shared" ref="S72:T72" si="13">S69-S71</f>
        <v>7000</v>
      </c>
      <c r="T72" s="300">
        <f t="shared" si="13"/>
        <v>7400</v>
      </c>
      <c r="U72" s="300">
        <f t="shared" si="12"/>
        <v>7800</v>
      </c>
      <c r="V72" s="136">
        <f>V69-V71</f>
        <v>8000</v>
      </c>
      <c r="W72" s="135">
        <f t="shared" ref="W72:Z72" si="14">W69-W71</f>
        <v>9580.0966030977652</v>
      </c>
      <c r="X72" s="135">
        <f t="shared" si="14"/>
        <v>8448.9950511332809</v>
      </c>
      <c r="Y72" s="135">
        <f t="shared" si="14"/>
        <v>10169.107364250967</v>
      </c>
      <c r="Z72" s="135">
        <f t="shared" si="14"/>
        <v>9660.3835322330087</v>
      </c>
      <c r="AA72" s="135">
        <f t="shared" si="11"/>
        <v>11356.422280788836</v>
      </c>
      <c r="AB72" s="135">
        <f t="shared" si="11"/>
        <v>26064.671072438079</v>
      </c>
      <c r="AC72" s="135">
        <f t="shared" si="11"/>
        <v>49841.073657090885</v>
      </c>
      <c r="AD72" s="135">
        <f t="shared" si="11"/>
        <v>96939.412751072261</v>
      </c>
      <c r="AE72" s="135">
        <f t="shared" si="11"/>
        <v>189964.66754928857</v>
      </c>
      <c r="AF72" s="135">
        <f t="shared" si="11"/>
        <v>373897.94787770137</v>
      </c>
      <c r="AG72" s="135">
        <f t="shared" si="11"/>
        <v>738217.27473438729</v>
      </c>
      <c r="AH72" s="135">
        <f t="shared" si="11"/>
        <v>1460854.5579596753</v>
      </c>
      <c r="AI72" s="135">
        <f t="shared" si="11"/>
        <v>2895871.3070051586</v>
      </c>
      <c r="AJ72" s="136">
        <f t="shared" si="11"/>
        <v>5748199.4542284571</v>
      </c>
      <c r="AK72" s="235">
        <f t="shared" si="11"/>
        <v>11422018.89705351</v>
      </c>
      <c r="AL72" s="234">
        <f t="shared" si="11"/>
        <v>22715507.948999833</v>
      </c>
      <c r="AM72" s="244"/>
      <c r="AN72" s="37"/>
      <c r="AO72" s="37"/>
      <c r="AP72" s="81"/>
    </row>
    <row r="73" spans="1:42" x14ac:dyDescent="0.25">
      <c r="A73" s="16" t="s">
        <v>272</v>
      </c>
      <c r="B73" s="21"/>
      <c r="C73" s="21"/>
      <c r="D73" s="21"/>
      <c r="E73" s="21"/>
      <c r="F73" s="21"/>
      <c r="G73" s="21"/>
      <c r="H73" s="21"/>
      <c r="I73" s="231">
        <f t="shared" ref="I73:AJ73" si="15">I69/$B$57</f>
        <v>35.937499999999993</v>
      </c>
      <c r="J73" s="232">
        <f t="shared" si="15"/>
        <v>71.874999999999986</v>
      </c>
      <c r="K73" s="232">
        <f t="shared" si="15"/>
        <v>143.74999999999997</v>
      </c>
      <c r="L73" s="232">
        <f t="shared" si="15"/>
        <v>287.49999999999994</v>
      </c>
      <c r="M73" s="232">
        <f t="shared" si="15"/>
        <v>574.99999999999989</v>
      </c>
      <c r="N73" s="231">
        <f t="shared" si="15"/>
        <v>1149.9999999999998</v>
      </c>
      <c r="O73" s="232">
        <f t="shared" si="15"/>
        <v>2299.9999999999995</v>
      </c>
      <c r="P73" s="232">
        <f t="shared" si="15"/>
        <v>4599.9999999999991</v>
      </c>
      <c r="Q73" s="231">
        <f t="shared" ref="Q73:R73" si="16">Q69/$B$57</f>
        <v>6899.9999999999991</v>
      </c>
      <c r="R73" s="232">
        <f t="shared" si="16"/>
        <v>7589.9999999999991</v>
      </c>
      <c r="S73" s="232">
        <f t="shared" ref="S73:T73" si="17">S69/$B$57</f>
        <v>8049.9999999999991</v>
      </c>
      <c r="T73" s="232">
        <f t="shared" si="17"/>
        <v>8510</v>
      </c>
      <c r="U73" s="232">
        <f>U69/$B$57</f>
        <v>8970</v>
      </c>
      <c r="V73" s="240">
        <f t="shared" si="15"/>
        <v>9199.9999999999982</v>
      </c>
      <c r="W73" s="232">
        <f t="shared" ref="W73:Z73" si="18">W69/$B$57</f>
        <v>11039.999999999998</v>
      </c>
      <c r="X73" s="232">
        <f t="shared" si="18"/>
        <v>12879.999999999998</v>
      </c>
      <c r="Y73" s="232">
        <f t="shared" si="18"/>
        <v>14719.999999999998</v>
      </c>
      <c r="Z73" s="232">
        <f t="shared" si="18"/>
        <v>16560</v>
      </c>
      <c r="AA73" s="232">
        <f t="shared" si="15"/>
        <v>18399.999999999996</v>
      </c>
      <c r="AB73" s="232">
        <f t="shared" si="15"/>
        <v>36799.999999999993</v>
      </c>
      <c r="AC73" s="232">
        <f t="shared" si="15"/>
        <v>73599.999999999985</v>
      </c>
      <c r="AD73" s="232">
        <f t="shared" si="15"/>
        <v>147199.99999999997</v>
      </c>
      <c r="AE73" s="232">
        <f t="shared" si="15"/>
        <v>294399.99999999994</v>
      </c>
      <c r="AF73" s="232">
        <f t="shared" si="15"/>
        <v>588799.99999999988</v>
      </c>
      <c r="AG73" s="232">
        <f t="shared" si="15"/>
        <v>1177599.9999999998</v>
      </c>
      <c r="AH73" s="232">
        <f t="shared" si="15"/>
        <v>2355199.9999999995</v>
      </c>
      <c r="AI73" s="232">
        <f t="shared" si="15"/>
        <v>4710399.9999999991</v>
      </c>
      <c r="AJ73" s="240">
        <f t="shared" si="15"/>
        <v>9420799.9999999981</v>
      </c>
      <c r="AK73" s="265">
        <f>AK69/$B$57</f>
        <v>18841599.999999996</v>
      </c>
      <c r="AL73" s="215">
        <f>AL69</f>
        <v>25634000</v>
      </c>
      <c r="AM73" s="243">
        <f>($B$55*$B$58)/$B$57</f>
        <v>5895819.9999999991</v>
      </c>
      <c r="AN73" s="37"/>
      <c r="AO73" s="37"/>
      <c r="AP73" s="81"/>
    </row>
    <row r="74" spans="1:42" x14ac:dyDescent="0.25">
      <c r="A74" s="53" t="s">
        <v>212</v>
      </c>
      <c r="B74" s="28"/>
      <c r="C74" s="28"/>
      <c r="D74" s="28"/>
      <c r="E74" s="28"/>
      <c r="F74" s="28"/>
      <c r="G74" s="28"/>
      <c r="H74" s="28"/>
      <c r="I74" s="210">
        <f>I73/$B$55</f>
        <v>1.4019466333775452E-6</v>
      </c>
      <c r="J74" s="78">
        <f t="shared" ref="J74:AJ74" si="19">J73/$B$55</f>
        <v>2.8038932667550904E-6</v>
      </c>
      <c r="K74" s="78">
        <f t="shared" si="19"/>
        <v>5.6077865335101807E-6</v>
      </c>
      <c r="L74" s="48">
        <f t="shared" si="19"/>
        <v>1.1215573067020361E-5</v>
      </c>
      <c r="M74" s="48">
        <f t="shared" si="19"/>
        <v>2.2431146134040723E-5</v>
      </c>
      <c r="N74" s="101">
        <f t="shared" si="19"/>
        <v>4.4862292268081446E-5</v>
      </c>
      <c r="O74" s="48">
        <f t="shared" si="19"/>
        <v>8.9724584536162892E-5</v>
      </c>
      <c r="P74" s="26">
        <f t="shared" si="19"/>
        <v>1.7944916907232578E-4</v>
      </c>
      <c r="Q74" s="18">
        <f t="shared" ref="Q74:U74" si="20">Q73/$B$55</f>
        <v>2.691737536084887E-4</v>
      </c>
      <c r="R74" s="26">
        <f t="shared" si="20"/>
        <v>2.9609112896933755E-4</v>
      </c>
      <c r="S74" s="26">
        <f t="shared" ref="S74:T74" si="21">S73/$B$55</f>
        <v>3.1403604587657013E-4</v>
      </c>
      <c r="T74" s="26">
        <f t="shared" si="21"/>
        <v>3.3198096278380277E-4</v>
      </c>
      <c r="U74" s="26">
        <f t="shared" si="20"/>
        <v>3.4992587969103536E-4</v>
      </c>
      <c r="V74" s="302">
        <f t="shared" si="19"/>
        <v>3.5889833814465157E-4</v>
      </c>
      <c r="W74" s="27">
        <f t="shared" ref="W74:Z74" si="22">W73/$B$55</f>
        <v>4.306780057735819E-4</v>
      </c>
      <c r="X74" s="27">
        <f t="shared" si="22"/>
        <v>5.0245767340251224E-4</v>
      </c>
      <c r="Y74" s="27">
        <f t="shared" si="22"/>
        <v>5.7423734103144257E-4</v>
      </c>
      <c r="Z74" s="27">
        <f t="shared" si="22"/>
        <v>6.4601700866037291E-4</v>
      </c>
      <c r="AA74" s="27">
        <f t="shared" si="19"/>
        <v>7.1779667628930313E-4</v>
      </c>
      <c r="AB74" s="27">
        <f t="shared" si="19"/>
        <v>1.4355933525786063E-3</v>
      </c>
      <c r="AC74" s="27">
        <f t="shared" si="19"/>
        <v>2.8711867051572125E-3</v>
      </c>
      <c r="AD74" s="27">
        <f t="shared" si="19"/>
        <v>5.7423734103144251E-3</v>
      </c>
      <c r="AE74" s="87">
        <f t="shared" si="19"/>
        <v>1.148474682062885E-2</v>
      </c>
      <c r="AF74" s="87">
        <f t="shared" si="19"/>
        <v>2.29694936412577E-2</v>
      </c>
      <c r="AG74" s="87">
        <f t="shared" si="19"/>
        <v>4.5938987282515401E-2</v>
      </c>
      <c r="AH74" s="87">
        <f t="shared" si="19"/>
        <v>9.1877974565030801E-2</v>
      </c>
      <c r="AI74" s="87">
        <f t="shared" si="19"/>
        <v>0.1837559491300616</v>
      </c>
      <c r="AJ74" s="267">
        <f t="shared" si="19"/>
        <v>0.3675118982601232</v>
      </c>
      <c r="AK74" s="264">
        <f>AK73/$B$55</f>
        <v>0.73502379652024641</v>
      </c>
      <c r="AL74" s="193">
        <v>1</v>
      </c>
      <c r="AM74" s="242">
        <f>AM73/B55</f>
        <v>0.22999999999999995</v>
      </c>
      <c r="AN74" s="37"/>
      <c r="AO74" s="37"/>
      <c r="AP74" s="81"/>
    </row>
    <row r="75" spans="1:42" x14ac:dyDescent="0.25">
      <c r="A75" s="53" t="s">
        <v>270</v>
      </c>
      <c r="B75" s="28"/>
      <c r="C75" s="28"/>
      <c r="D75" s="28"/>
      <c r="E75" s="28"/>
      <c r="F75" s="28"/>
      <c r="G75" s="28"/>
      <c r="H75" s="28"/>
      <c r="I75" s="212">
        <f t="shared" ref="I75:AJ75" si="23">I73-I69</f>
        <v>4.6874999999999929</v>
      </c>
      <c r="J75" s="213">
        <f t="shared" si="23"/>
        <v>9.3749999999999858</v>
      </c>
      <c r="K75" s="213">
        <f t="shared" si="23"/>
        <v>18.749999999999972</v>
      </c>
      <c r="L75" s="213">
        <f t="shared" si="23"/>
        <v>37.499999999999943</v>
      </c>
      <c r="M75" s="213">
        <f t="shared" si="23"/>
        <v>74.999999999999886</v>
      </c>
      <c r="N75" s="212">
        <f t="shared" si="23"/>
        <v>149.99999999999977</v>
      </c>
      <c r="O75" s="213">
        <f t="shared" si="23"/>
        <v>299.99999999999955</v>
      </c>
      <c r="P75" s="213">
        <f t="shared" si="23"/>
        <v>599.99999999999909</v>
      </c>
      <c r="Q75" s="212">
        <f t="shared" ref="Q75:R75" si="24">Q73-Q69</f>
        <v>899.99999999999909</v>
      </c>
      <c r="R75" s="213">
        <f t="shared" si="24"/>
        <v>989.99999999999909</v>
      </c>
      <c r="S75" s="213">
        <f t="shared" ref="S75:T75" si="25">S73-S69</f>
        <v>1049.9999999999991</v>
      </c>
      <c r="T75" s="213">
        <f t="shared" si="25"/>
        <v>1110</v>
      </c>
      <c r="U75" s="213">
        <f>U73-U69</f>
        <v>1170</v>
      </c>
      <c r="V75" s="214">
        <f t="shared" si="23"/>
        <v>1199.9999999999982</v>
      </c>
      <c r="W75" s="213">
        <f t="shared" ref="W75:Z75" si="26">W73-W69</f>
        <v>1439.9999999999982</v>
      </c>
      <c r="X75" s="213">
        <f t="shared" si="26"/>
        <v>1679.9999999999982</v>
      </c>
      <c r="Y75" s="213">
        <f t="shared" si="26"/>
        <v>1919.9999999999982</v>
      </c>
      <c r="Z75" s="213">
        <f t="shared" si="26"/>
        <v>2160</v>
      </c>
      <c r="AA75" s="213">
        <f t="shared" si="23"/>
        <v>2399.9999999999964</v>
      </c>
      <c r="AB75" s="213">
        <f t="shared" si="23"/>
        <v>4799.9999999999927</v>
      </c>
      <c r="AC75" s="213">
        <f t="shared" si="23"/>
        <v>9599.9999999999854</v>
      </c>
      <c r="AD75" s="213">
        <f>AD73-AD69</f>
        <v>19199.999999999971</v>
      </c>
      <c r="AE75" s="213">
        <f t="shared" si="23"/>
        <v>38399.999999999942</v>
      </c>
      <c r="AF75" s="213">
        <f t="shared" si="23"/>
        <v>76799.999999999884</v>
      </c>
      <c r="AG75" s="213">
        <f t="shared" si="23"/>
        <v>153599.99999999977</v>
      </c>
      <c r="AH75" s="213">
        <f t="shared" si="23"/>
        <v>307199.99999999953</v>
      </c>
      <c r="AI75" s="213">
        <f t="shared" si="23"/>
        <v>614399.99999999907</v>
      </c>
      <c r="AJ75" s="214">
        <f t="shared" si="23"/>
        <v>1228799.9999999981</v>
      </c>
      <c r="AK75" s="265">
        <f>AK73</f>
        <v>18841599.999999996</v>
      </c>
      <c r="AL75" s="215">
        <f>AL73</f>
        <v>25634000</v>
      </c>
      <c r="AM75" s="245">
        <f>AM73-AM69</f>
        <v>769019.99999999907</v>
      </c>
      <c r="AN75" s="37"/>
      <c r="AO75" s="37"/>
      <c r="AP75" s="81"/>
    </row>
    <row r="76" spans="1:42" x14ac:dyDescent="0.25">
      <c r="A76" s="49" t="s">
        <v>271</v>
      </c>
      <c r="B76" s="51"/>
      <c r="C76" s="51"/>
      <c r="D76" s="51"/>
      <c r="E76" s="51"/>
      <c r="F76" s="51"/>
      <c r="G76" s="51"/>
      <c r="H76" s="51"/>
      <c r="I76" s="216">
        <f>MIN((1/$B$57)*(2^(((I68 - 14) - $B$65)/$I$94)),I75)</f>
        <v>4.6874999999999929</v>
      </c>
      <c r="J76" s="217">
        <f>MIN((1/$B$57)*(2^(((J68 - 14) - $B$65)/$I$94)),J75)</f>
        <v>9.3749999999999858</v>
      </c>
      <c r="K76" s="217">
        <f>MIN((1/$B$57)*(2^(((K68 - 14) - $B$65)/$I$94)),K75)</f>
        <v>18.749999999999972</v>
      </c>
      <c r="L76" s="217">
        <f>MIN((1/$B$57)*(2^(((L68 - 14) - $B$65)/$I$94)),L75)</f>
        <v>31.414485089085435</v>
      </c>
      <c r="M76" s="219">
        <f t="shared" ref="M76:AL76" si="27">MIN(($I$69/$B$57)*(2^(((M68 - 14) - $I$68)/HLOOKUP((M68-14)-$B$65,$I$92:$AM$94,3,TRUE))),M75)</f>
        <v>43.413989474360172</v>
      </c>
      <c r="N76" s="220">
        <f t="shared" si="27"/>
        <v>80.6456829325531</v>
      </c>
      <c r="O76" s="219">
        <f t="shared" si="27"/>
        <v>126.32575757575754</v>
      </c>
      <c r="P76" s="219">
        <f t="shared" si="27"/>
        <v>319.5070274254756</v>
      </c>
      <c r="Q76" s="220">
        <f t="shared" si="27"/>
        <v>899.99999999999909</v>
      </c>
      <c r="R76" s="219">
        <f t="shared" si="27"/>
        <v>989.99999999999909</v>
      </c>
      <c r="S76" s="219">
        <f t="shared" si="27"/>
        <v>1049.9999999999991</v>
      </c>
      <c r="T76" s="219">
        <f t="shared" si="27"/>
        <v>1110</v>
      </c>
      <c r="U76" s="219">
        <f t="shared" si="27"/>
        <v>1170</v>
      </c>
      <c r="V76" s="218">
        <f t="shared" si="27"/>
        <v>1199.9999999999982</v>
      </c>
      <c r="W76" s="219">
        <f t="shared" si="27"/>
        <v>1439.9999999999982</v>
      </c>
      <c r="X76" s="219">
        <f t="shared" si="27"/>
        <v>1679.9999999999982</v>
      </c>
      <c r="Y76" s="219">
        <f t="shared" si="27"/>
        <v>1919.9999999999982</v>
      </c>
      <c r="Z76" s="219">
        <f t="shared" si="27"/>
        <v>2160</v>
      </c>
      <c r="AA76" s="219">
        <f t="shared" si="27"/>
        <v>2399.9999999999964</v>
      </c>
      <c r="AB76" s="219">
        <f t="shared" si="27"/>
        <v>4799.9999999999927</v>
      </c>
      <c r="AC76" s="219">
        <f t="shared" si="27"/>
        <v>9599.9999999999854</v>
      </c>
      <c r="AD76" s="219">
        <f t="shared" si="27"/>
        <v>19199.999999999971</v>
      </c>
      <c r="AE76" s="219">
        <f t="shared" si="27"/>
        <v>38399.999999999942</v>
      </c>
      <c r="AF76" s="219">
        <f t="shared" si="27"/>
        <v>76799.999999999884</v>
      </c>
      <c r="AG76" s="219">
        <f t="shared" si="27"/>
        <v>153599.99999999977</v>
      </c>
      <c r="AH76" s="219">
        <f t="shared" si="27"/>
        <v>307199.99999999953</v>
      </c>
      <c r="AI76" s="219">
        <f t="shared" si="27"/>
        <v>614399.99999999907</v>
      </c>
      <c r="AJ76" s="218">
        <f t="shared" si="27"/>
        <v>1228799.9999999981</v>
      </c>
      <c r="AK76" s="265">
        <f t="shared" si="27"/>
        <v>13750076.66569693</v>
      </c>
      <c r="AL76" s="221">
        <f t="shared" si="27"/>
        <v>25634000</v>
      </c>
      <c r="AM76" s="245"/>
      <c r="AN76" s="37"/>
      <c r="AO76" s="37"/>
      <c r="AP76" s="81"/>
    </row>
    <row r="77" spans="1:42" x14ac:dyDescent="0.25">
      <c r="A77" s="53" t="s">
        <v>263</v>
      </c>
      <c r="B77" s="28"/>
      <c r="C77" s="28"/>
      <c r="D77" s="28"/>
      <c r="E77" s="28"/>
      <c r="F77" s="28"/>
      <c r="G77" s="28"/>
      <c r="H77" s="28"/>
      <c r="I77" s="236">
        <f t="shared" ref="I77:AL77" si="28">I69*$B$61</f>
        <v>28.125</v>
      </c>
      <c r="J77" s="237">
        <f t="shared" si="28"/>
        <v>56.25</v>
      </c>
      <c r="K77" s="237">
        <f t="shared" si="28"/>
        <v>112.5</v>
      </c>
      <c r="L77" s="237">
        <f t="shared" si="28"/>
        <v>225</v>
      </c>
      <c r="M77" s="237">
        <f t="shared" si="28"/>
        <v>450</v>
      </c>
      <c r="N77" s="236">
        <f t="shared" si="28"/>
        <v>900</v>
      </c>
      <c r="O77" s="237">
        <f t="shared" si="28"/>
        <v>1800</v>
      </c>
      <c r="P77" s="237">
        <f t="shared" si="28"/>
        <v>3600</v>
      </c>
      <c r="Q77" s="236">
        <f t="shared" ref="Q77:U77" si="29">Q69*$B$61</f>
        <v>5400</v>
      </c>
      <c r="R77" s="237">
        <f t="shared" si="29"/>
        <v>5940</v>
      </c>
      <c r="S77" s="237">
        <f t="shared" ref="S77:T77" si="30">S69*$B$61</f>
        <v>6300</v>
      </c>
      <c r="T77" s="237">
        <f t="shared" si="30"/>
        <v>6660</v>
      </c>
      <c r="U77" s="237">
        <f t="shared" si="29"/>
        <v>7020</v>
      </c>
      <c r="V77" s="269">
        <f t="shared" si="28"/>
        <v>7200</v>
      </c>
      <c r="W77" s="237">
        <f t="shared" ref="W77:Z77" si="31">W69*$B$61</f>
        <v>8640</v>
      </c>
      <c r="X77" s="237">
        <f t="shared" si="31"/>
        <v>10080</v>
      </c>
      <c r="Y77" s="237">
        <f t="shared" si="31"/>
        <v>11520</v>
      </c>
      <c r="Z77" s="237">
        <f t="shared" si="31"/>
        <v>12960</v>
      </c>
      <c r="AA77" s="237">
        <f t="shared" si="28"/>
        <v>14400</v>
      </c>
      <c r="AB77" s="237">
        <f t="shared" si="28"/>
        <v>28800</v>
      </c>
      <c r="AC77" s="237">
        <f t="shared" si="28"/>
        <v>57600</v>
      </c>
      <c r="AD77" s="237">
        <f t="shared" si="28"/>
        <v>115200</v>
      </c>
      <c r="AE77" s="237">
        <f t="shared" si="28"/>
        <v>230400</v>
      </c>
      <c r="AF77" s="237">
        <f t="shared" si="28"/>
        <v>460800</v>
      </c>
      <c r="AG77" s="237">
        <f t="shared" si="28"/>
        <v>921600</v>
      </c>
      <c r="AH77" s="237">
        <f t="shared" si="28"/>
        <v>1843200</v>
      </c>
      <c r="AI77" s="237">
        <f t="shared" si="28"/>
        <v>3686400</v>
      </c>
      <c r="AJ77" s="269">
        <f t="shared" si="28"/>
        <v>7372800</v>
      </c>
      <c r="AK77" s="263">
        <f t="shared" si="28"/>
        <v>14745600</v>
      </c>
      <c r="AL77" s="215">
        <f t="shared" si="28"/>
        <v>23070600</v>
      </c>
      <c r="AM77" s="245">
        <f>AM69*B61</f>
        <v>4614120</v>
      </c>
      <c r="AN77" s="37"/>
      <c r="AO77" s="37"/>
      <c r="AP77" s="81"/>
    </row>
    <row r="78" spans="1:42" x14ac:dyDescent="0.25">
      <c r="A78" s="53" t="s">
        <v>281</v>
      </c>
      <c r="B78" s="28"/>
      <c r="C78" s="28"/>
      <c r="D78" s="28"/>
      <c r="E78" s="28"/>
      <c r="F78" s="28"/>
      <c r="G78" s="28"/>
      <c r="H78" s="28"/>
      <c r="I78" s="216">
        <f>I77-(1*$B$61)*(2^(((I68 - 14) - $B$65)/$I$94))</f>
        <v>20.214870251730574</v>
      </c>
      <c r="J78" s="217">
        <f>J77-(1*$B$61)*(2^(((J68 - 14) - $B$65)/$I$94))</f>
        <v>44.706240335526303</v>
      </c>
      <c r="K78" s="217">
        <f>K77-(1*$B$61)*(2^(((K68 - 14) - $B$65)/$I$94))</f>
        <v>95.653451152898697</v>
      </c>
      <c r="L78" s="217">
        <f>L77-(1*$B$61)*(2^(((L68 - 14) - $B$65)/$I$94))</f>
        <v>200.41475079984619</v>
      </c>
      <c r="M78" s="223">
        <f t="shared" ref="M78:AL78" si="32">MAX(M77-(($I$69*$B$61)*(2^(((M68 -14) - $I$68)/HLOOKUP((M68-14)-$B$65,$I$92:$AM$94,3,TRUE)))),0)</f>
        <v>416.02383432441377</v>
      </c>
      <c r="N78" s="224">
        <f t="shared" si="32"/>
        <v>836.88598727017586</v>
      </c>
      <c r="O78" s="223">
        <f t="shared" si="32"/>
        <v>1701.1363636363637</v>
      </c>
      <c r="P78" s="223">
        <f t="shared" si="32"/>
        <v>3349.951022014845</v>
      </c>
      <c r="Q78" s="224">
        <f t="shared" si="32"/>
        <v>2786.6356188706982</v>
      </c>
      <c r="R78" s="223">
        <f t="shared" si="32"/>
        <v>0</v>
      </c>
      <c r="S78" s="223">
        <f t="shared" si="32"/>
        <v>0</v>
      </c>
      <c r="T78" s="223">
        <f t="shared" si="32"/>
        <v>0</v>
      </c>
      <c r="U78" s="223">
        <f t="shared" si="32"/>
        <v>0</v>
      </c>
      <c r="V78" s="238">
        <f t="shared" si="32"/>
        <v>0</v>
      </c>
      <c r="W78" s="223">
        <f t="shared" si="32"/>
        <v>0</v>
      </c>
      <c r="X78" s="223">
        <f t="shared" si="32"/>
        <v>2817.4778158140616</v>
      </c>
      <c r="Y78" s="223">
        <f t="shared" si="32"/>
        <v>2522.3903650115662</v>
      </c>
      <c r="Z78" s="223">
        <f t="shared" si="32"/>
        <v>4517.4435187223644</v>
      </c>
      <c r="AA78" s="223">
        <f t="shared" si="32"/>
        <v>4399.9968885712969</v>
      </c>
      <c r="AB78" s="223">
        <f t="shared" si="32"/>
        <v>4010.7651811366086</v>
      </c>
      <c r="AC78" s="223">
        <f t="shared" si="32"/>
        <v>10758.313013533967</v>
      </c>
      <c r="AD78" s="223">
        <f t="shared" si="32"/>
        <v>23958.54983826034</v>
      </c>
      <c r="AE78" s="223">
        <f t="shared" si="32"/>
        <v>51546.735956260294</v>
      </c>
      <c r="AF78" s="223">
        <f t="shared" si="32"/>
        <v>108699.60513626965</v>
      </c>
      <c r="AG78" s="223">
        <f t="shared" si="32"/>
        <v>226318.1189854804</v>
      </c>
      <c r="AH78" s="223">
        <f t="shared" si="32"/>
        <v>467162.93090944947</v>
      </c>
      <c r="AI78" s="223">
        <f t="shared" si="32"/>
        <v>958443.03287198534</v>
      </c>
      <c r="AJ78" s="238">
        <f t="shared" si="32"/>
        <v>1957565.5145449564</v>
      </c>
      <c r="AK78" s="266">
        <f t="shared" si="32"/>
        <v>3984670.4355415311</v>
      </c>
      <c r="AL78" s="221">
        <f t="shared" si="32"/>
        <v>1668980.7765949592</v>
      </c>
      <c r="AM78" s="243"/>
      <c r="AN78" s="37"/>
      <c r="AO78" s="37"/>
      <c r="AP78" s="81"/>
    </row>
    <row r="79" spans="1:42" x14ac:dyDescent="0.25">
      <c r="A79" s="74" t="s">
        <v>210</v>
      </c>
      <c r="B79" s="21"/>
      <c r="C79" s="21"/>
      <c r="D79" s="21"/>
      <c r="E79" s="21"/>
      <c r="F79" s="21"/>
      <c r="G79" s="21"/>
      <c r="H79" s="21"/>
      <c r="I79" s="270">
        <f>(1*($B$62+$B$63))*(2^(((I68 - 7) - $B$65)/$I$94))</f>
        <v>1.7030504712717078</v>
      </c>
      <c r="J79" s="271">
        <f>(1*($B$62+$B$63))*(2^(((J68 - 7) - $B$65)/$I$94))</f>
        <v>2.4853707793011099</v>
      </c>
      <c r="K79" s="232">
        <f t="shared" ref="K79:AK79" si="33">($I$69*($B$62+$B$63))*(2^(((K68-7)-$I$68)/HLOOKUP((K68-7)-$B$65,$I$92:$AM$94,3,TRUE)))</f>
        <v>3.4347168367228527</v>
      </c>
      <c r="L79" s="232">
        <f t="shared" si="33"/>
        <v>7.012668081091574</v>
      </c>
      <c r="M79" s="232">
        <f t="shared" si="33"/>
        <v>12.853963939235117</v>
      </c>
      <c r="N79" s="231">
        <f t="shared" si="33"/>
        <v>23.484848484848467</v>
      </c>
      <c r="O79" s="232">
        <f t="shared" si="33"/>
        <v>38.884113117712715</v>
      </c>
      <c r="P79" s="232">
        <f t="shared" si="33"/>
        <v>121.92507093173786</v>
      </c>
      <c r="Q79" s="231">
        <f t="shared" si="33"/>
        <v>731.45879127056787</v>
      </c>
      <c r="R79" s="232">
        <f t="shared" si="33"/>
        <v>1057.2071025929192</v>
      </c>
      <c r="S79" s="232">
        <f t="shared" si="33"/>
        <v>4736.5220443738754</v>
      </c>
      <c r="T79" s="299">
        <f t="shared" si="33"/>
        <v>5036.877634524013</v>
      </c>
      <c r="U79" s="281">
        <f t="shared" si="33"/>
        <v>793.7863905260831</v>
      </c>
      <c r="V79" s="303">
        <f t="shared" si="33"/>
        <v>913.72758617240356</v>
      </c>
      <c r="W79" s="281">
        <f t="shared" si="33"/>
        <v>838.03803288898689</v>
      </c>
      <c r="X79" s="281">
        <f t="shared" si="33"/>
        <v>1105.7781760119433</v>
      </c>
      <c r="Y79" s="281">
        <f t="shared" si="33"/>
        <v>1071.5242888737735</v>
      </c>
      <c r="Z79" s="281">
        <f t="shared" si="33"/>
        <v>1142.5332127234392</v>
      </c>
      <c r="AA79" s="281">
        <f t="shared" si="33"/>
        <v>1265.0464107428936</v>
      </c>
      <c r="AB79" s="281">
        <f t="shared" si="33"/>
        <v>3678.9942813779135</v>
      </c>
      <c r="AC79" s="299">
        <f t="shared" si="33"/>
        <v>6820.9049438098973</v>
      </c>
      <c r="AD79" s="299">
        <f t="shared" si="33"/>
        <v>13111.925613685384</v>
      </c>
      <c r="AE79" s="232">
        <f t="shared" si="33"/>
        <v>25445.355079917525</v>
      </c>
      <c r="AF79" s="232">
        <f t="shared" si="33"/>
        <v>49699.037778199985</v>
      </c>
      <c r="AG79" s="232">
        <f t="shared" si="33"/>
        <v>97515.70889639169</v>
      </c>
      <c r="AH79" s="232">
        <f t="shared" si="33"/>
        <v>191983.28427109413</v>
      </c>
      <c r="AI79" s="232">
        <f t="shared" si="33"/>
        <v>378930.43769837328</v>
      </c>
      <c r="AJ79" s="240">
        <f t="shared" si="33"/>
        <v>749400.74608912191</v>
      </c>
      <c r="AK79" s="263">
        <f t="shared" si="33"/>
        <v>1484389.6113271271</v>
      </c>
      <c r="AL79" s="222">
        <f>($I$69*($B$62+$B$63))*(2^(((AL68 - 7) - $I$68)/AL94))</f>
        <v>1972995.0936648995</v>
      </c>
      <c r="AM79" s="243">
        <f>AM69*(B62+B63)</f>
        <v>512679.99999999994</v>
      </c>
      <c r="AN79" s="57"/>
      <c r="AO79" s="57"/>
      <c r="AP79" s="81"/>
    </row>
    <row r="80" spans="1:42" x14ac:dyDescent="0.25">
      <c r="A80" s="49" t="s">
        <v>261</v>
      </c>
      <c r="B80" s="50"/>
      <c r="C80" s="51"/>
      <c r="D80" s="51"/>
      <c r="E80" s="51"/>
      <c r="F80" s="51"/>
      <c r="G80" s="51"/>
      <c r="H80" s="51"/>
      <c r="I80" s="216">
        <f t="shared" ref="I80:L80" si="34">I79</f>
        <v>1.7030504712717078</v>
      </c>
      <c r="J80" s="217">
        <f t="shared" si="34"/>
        <v>2.4853707793011099</v>
      </c>
      <c r="K80" s="219">
        <f t="shared" si="34"/>
        <v>3.4347168367228527</v>
      </c>
      <c r="L80" s="219">
        <f t="shared" si="34"/>
        <v>7.012668081091574</v>
      </c>
      <c r="M80" s="219">
        <f>M79-M82</f>
        <v>12.476450987284158</v>
      </c>
      <c r="N80" s="220">
        <f t="shared" ref="N80:O80" si="35">N79-N82</f>
        <v>22.78358167673931</v>
      </c>
      <c r="O80" s="219">
        <f t="shared" si="35"/>
        <v>37.785628269227864</v>
      </c>
      <c r="P80" s="219">
        <f>P79-P82</f>
        <v>119.14674895412503</v>
      </c>
      <c r="Q80" s="220">
        <f t="shared" ref="Q80" si="36">Q79-Q82</f>
        <v>702.81532221750035</v>
      </c>
      <c r="R80" s="219">
        <f t="shared" ref="R80:AL80" si="37">MAX(R79-($I$69*$B$62)*(2^(((R68 - 42) - $I$68)/HLOOKUP((R68-42)-$B$65,$I$92:$AM$94,3,TRUE)))-R82,0)</f>
        <v>891.00001542967982</v>
      </c>
      <c r="S80" s="219">
        <f t="shared" si="37"/>
        <v>3640.6446906322476</v>
      </c>
      <c r="T80" s="219">
        <f t="shared" si="37"/>
        <v>466.85149796662057</v>
      </c>
      <c r="U80" s="220">
        <f t="shared" si="37"/>
        <v>0</v>
      </c>
      <c r="V80" s="218">
        <f t="shared" si="37"/>
        <v>0</v>
      </c>
      <c r="W80" s="219">
        <f t="shared" si="37"/>
        <v>0</v>
      </c>
      <c r="X80" s="219">
        <f t="shared" si="37"/>
        <v>0</v>
      </c>
      <c r="Y80" s="219">
        <f t="shared" si="37"/>
        <v>0</v>
      </c>
      <c r="Z80" s="219">
        <f t="shared" si="37"/>
        <v>0</v>
      </c>
      <c r="AA80" s="219">
        <f t="shared" si="37"/>
        <v>0</v>
      </c>
      <c r="AB80" s="219">
        <f t="shared" si="37"/>
        <v>2530.0626688775169</v>
      </c>
      <c r="AC80" s="219">
        <f t="shared" si="37"/>
        <v>4189.4177013228382</v>
      </c>
      <c r="AD80" s="219">
        <f t="shared" si="37"/>
        <v>8096.0535187337728</v>
      </c>
      <c r="AE80" s="219">
        <f t="shared" si="37"/>
        <v>15645.144135737211</v>
      </c>
      <c r="AF80" s="219">
        <f t="shared" si="37"/>
        <v>30446.020272220765</v>
      </c>
      <c r="AG80" s="219">
        <f t="shared" si="37"/>
        <v>59550.218954343989</v>
      </c>
      <c r="AH80" s="219">
        <f t="shared" si="37"/>
        <v>116917.36629160856</v>
      </c>
      <c r="AI80" s="219">
        <f t="shared" si="37"/>
        <v>230214.42624833857</v>
      </c>
      <c r="AJ80" s="218">
        <f t="shared" si="37"/>
        <v>454328.82108554617</v>
      </c>
      <c r="AK80" s="266">
        <f t="shared" si="37"/>
        <v>898240.35334099643</v>
      </c>
      <c r="AL80" s="221">
        <f t="shared" si="37"/>
        <v>807545.32920282031</v>
      </c>
      <c r="AM80" s="245"/>
      <c r="AN80" s="57"/>
      <c r="AO80" s="57"/>
      <c r="AP80" s="81"/>
    </row>
    <row r="81" spans="1:42" x14ac:dyDescent="0.25">
      <c r="A81" s="60" t="s">
        <v>211</v>
      </c>
      <c r="C81" s="21"/>
      <c r="D81" s="21"/>
      <c r="E81" s="21"/>
      <c r="F81" s="21"/>
      <c r="G81" s="21"/>
      <c r="H81" s="21"/>
      <c r="I81" s="270">
        <f>(1*$B$63)*(2^(((I68 - 14) -$B$65)/$I$94))</f>
        <v>8.7890330536326944E-2</v>
      </c>
      <c r="J81" s="271">
        <f>(1*$B$63)*(2^(((J68 - 14) -$B$65)/$I$94))</f>
        <v>0.12826399627192997</v>
      </c>
      <c r="K81" s="271">
        <f>(1*$B$63)*(2^(((K68 - 14) -$B$65)/$I$94))</f>
        <v>0.18718387607890333</v>
      </c>
      <c r="L81" s="271">
        <f>(1*$B$63)*(2^(((L68 - 14) -$B$65)/$I$94))</f>
        <v>0.27316943555726469</v>
      </c>
      <c r="M81" s="240">
        <f t="shared" ref="M81:AL81" si="38">($I$69*$B$63)*(2^(((M68 - 14) - $I$68)/HLOOKUP((M68-14)-$B$65,$I$92:$AM$94,3,TRUE)))</f>
        <v>0.37751295195095813</v>
      </c>
      <c r="N81" s="232">
        <f t="shared" si="38"/>
        <v>0.70126680810915754</v>
      </c>
      <c r="O81" s="232">
        <f t="shared" si="38"/>
        <v>1.0984848484848484</v>
      </c>
      <c r="P81" s="232">
        <f t="shared" si="38"/>
        <v>2.7783219776128321</v>
      </c>
      <c r="Q81" s="231">
        <f t="shared" si="38"/>
        <v>29.037382012547795</v>
      </c>
      <c r="R81" s="232">
        <f t="shared" si="38"/>
        <v>160.9005489972343</v>
      </c>
      <c r="S81" s="232">
        <f t="shared" si="38"/>
        <v>221.62491061296288</v>
      </c>
      <c r="T81" s="299">
        <f t="shared" si="38"/>
        <v>304.40064840296537</v>
      </c>
      <c r="U81" s="299">
        <f t="shared" si="38"/>
        <v>602.94013751455145</v>
      </c>
      <c r="V81" s="315">
        <f t="shared" si="38"/>
        <v>740.15517913279825</v>
      </c>
      <c r="W81" s="281">
        <f t="shared" si="38"/>
        <v>102.05857020877852</v>
      </c>
      <c r="X81" s="281">
        <f t="shared" si="38"/>
        <v>80.694690935399308</v>
      </c>
      <c r="Y81" s="281">
        <f t="shared" si="38"/>
        <v>99.973440388760366</v>
      </c>
      <c r="Z81" s="281">
        <f t="shared" si="38"/>
        <v>93.806183125307072</v>
      </c>
      <c r="AA81" s="281">
        <f t="shared" si="38"/>
        <v>111.11114568254115</v>
      </c>
      <c r="AB81" s="281">
        <f t="shared" si="38"/>
        <v>275.43594243181542</v>
      </c>
      <c r="AC81" s="281">
        <f t="shared" si="38"/>
        <v>520.46318873851146</v>
      </c>
      <c r="AD81" s="299">
        <f t="shared" si="38"/>
        <v>1013.7938906859962</v>
      </c>
      <c r="AE81" s="232">
        <f t="shared" si="38"/>
        <v>1987.2584893748856</v>
      </c>
      <c r="AF81" s="232">
        <f t="shared" si="38"/>
        <v>3912.2266095970044</v>
      </c>
      <c r="AG81" s="232">
        <f t="shared" si="38"/>
        <v>7725.3542334946624</v>
      </c>
      <c r="AH81" s="232">
        <f t="shared" si="38"/>
        <v>15289.300767672785</v>
      </c>
      <c r="AI81" s="232">
        <f t="shared" si="38"/>
        <v>30310.632968089052</v>
      </c>
      <c r="AJ81" s="240">
        <f t="shared" si="38"/>
        <v>60169.272060611591</v>
      </c>
      <c r="AK81" s="263">
        <f t="shared" si="38"/>
        <v>119565.88404953855</v>
      </c>
      <c r="AL81" s="222">
        <f t="shared" si="38"/>
        <v>237795.76914894488</v>
      </c>
      <c r="AM81" s="243">
        <f>AM69*B63</f>
        <v>51268</v>
      </c>
      <c r="AN81" s="57"/>
      <c r="AO81" s="57"/>
      <c r="AP81" s="81"/>
    </row>
    <row r="82" spans="1:42" x14ac:dyDescent="0.25">
      <c r="A82" s="53" t="s">
        <v>262</v>
      </c>
      <c r="B82" s="27"/>
      <c r="C82" s="28"/>
      <c r="D82" s="28"/>
      <c r="E82" s="28"/>
      <c r="F82" s="28"/>
      <c r="G82" s="28"/>
      <c r="H82" s="28"/>
      <c r="I82" s="216">
        <f t="shared" ref="I82:L82" si="39">I81</f>
        <v>8.7890330536326944E-2</v>
      </c>
      <c r="J82" s="217">
        <f t="shared" si="39"/>
        <v>0.12826399627192997</v>
      </c>
      <c r="K82" s="217">
        <f t="shared" si="39"/>
        <v>0.18718387607890333</v>
      </c>
      <c r="L82" s="217">
        <f t="shared" si="39"/>
        <v>0.27316943555726469</v>
      </c>
      <c r="M82" s="218">
        <f>M81</f>
        <v>0.37751295195095813</v>
      </c>
      <c r="N82" s="219">
        <f t="shared" ref="N82:P82" si="40">N81</f>
        <v>0.70126680810915754</v>
      </c>
      <c r="O82" s="219">
        <f t="shared" si="40"/>
        <v>1.0984848484848484</v>
      </c>
      <c r="P82" s="219">
        <f t="shared" si="40"/>
        <v>2.7783219776128321</v>
      </c>
      <c r="Q82" s="224">
        <f t="shared" ref="Q82:AL82" si="41">MAX(Q81-($I$69*$B$63)*(2^(((Q68 - 35) - $I$68)/HLOOKUP((Q68-35)-$B$65,$I$92:$AM$94,3,TRUE))),0)</f>
        <v>28.643469053067541</v>
      </c>
      <c r="R82" s="223">
        <f t="shared" si="41"/>
        <v>157.69554803414994</v>
      </c>
      <c r="S82" s="223">
        <f t="shared" si="41"/>
        <v>145.39385929725285</v>
      </c>
      <c r="T82" s="223">
        <f t="shared" si="41"/>
        <v>237.21166161917341</v>
      </c>
      <c r="U82" s="223">
        <f t="shared" si="41"/>
        <v>469.85587129033956</v>
      </c>
      <c r="V82" s="238">
        <f t="shared" si="41"/>
        <v>576.78405357962311</v>
      </c>
      <c r="W82" s="223">
        <f t="shared" si="41"/>
        <v>0</v>
      </c>
      <c r="X82" s="223">
        <f t="shared" si="41"/>
        <v>0</v>
      </c>
      <c r="Y82" s="223">
        <f t="shared" si="41"/>
        <v>0</v>
      </c>
      <c r="Z82" s="223">
        <f t="shared" si="41"/>
        <v>18.512344893372912</v>
      </c>
      <c r="AA82" s="223">
        <f t="shared" si="41"/>
        <v>19.738387065300785</v>
      </c>
      <c r="AB82" s="223">
        <f t="shared" si="41"/>
        <v>148.93130135752602</v>
      </c>
      <c r="AC82" s="223">
        <f t="shared" si="41"/>
        <v>152.56376060072006</v>
      </c>
      <c r="AD82" s="223">
        <f t="shared" si="41"/>
        <v>331.70339630500632</v>
      </c>
      <c r="AE82" s="223">
        <f t="shared" si="41"/>
        <v>676.06592800634689</v>
      </c>
      <c r="AF82" s="223">
        <f t="shared" si="41"/>
        <v>1367.6911016052518</v>
      </c>
      <c r="AG82" s="223">
        <f t="shared" si="41"/>
        <v>2755.4504556746633</v>
      </c>
      <c r="AH82" s="223">
        <f t="shared" si="41"/>
        <v>5537.729878033615</v>
      </c>
      <c r="AI82" s="223">
        <f t="shared" si="41"/>
        <v>11112.304540979636</v>
      </c>
      <c r="AJ82" s="238">
        <f t="shared" si="41"/>
        <v>22276.228290774263</v>
      </c>
      <c r="AK82" s="266">
        <f t="shared" si="41"/>
        <v>44625.809440626355</v>
      </c>
      <c r="AL82" s="221">
        <f t="shared" si="41"/>
        <v>89356.808016232157</v>
      </c>
      <c r="AM82" s="243"/>
      <c r="AN82" s="57"/>
      <c r="AO82" s="57"/>
      <c r="AP82" s="81"/>
    </row>
    <row r="83" spans="1:42" x14ac:dyDescent="0.25">
      <c r="A83" s="16" t="s">
        <v>153</v>
      </c>
      <c r="B83" s="97"/>
      <c r="C83" s="21"/>
      <c r="D83" s="21"/>
      <c r="E83" s="21"/>
      <c r="F83" s="21"/>
      <c r="G83" s="21"/>
      <c r="H83" s="21"/>
      <c r="I83" s="225">
        <f t="shared" ref="I83:AL83" si="42">I69*$B$64</f>
        <v>0.359375</v>
      </c>
      <c r="J83" s="226">
        <f t="shared" si="42"/>
        <v>0.71875</v>
      </c>
      <c r="K83" s="226">
        <f t="shared" si="42"/>
        <v>1.4375</v>
      </c>
      <c r="L83" s="226">
        <f t="shared" si="42"/>
        <v>2.875</v>
      </c>
      <c r="M83" s="226">
        <f t="shared" si="42"/>
        <v>5.75</v>
      </c>
      <c r="N83" s="225">
        <f t="shared" si="42"/>
        <v>11.5</v>
      </c>
      <c r="O83" s="226">
        <f t="shared" si="42"/>
        <v>23</v>
      </c>
      <c r="P83" s="226">
        <f t="shared" si="42"/>
        <v>46</v>
      </c>
      <c r="Q83" s="304">
        <f t="shared" ref="Q83:U83" si="43">Q69*$B$64</f>
        <v>69</v>
      </c>
      <c r="R83" s="305">
        <f t="shared" si="43"/>
        <v>75.900000000000006</v>
      </c>
      <c r="S83" s="305">
        <f t="shared" ref="S83:T83" si="44">S69*$B$64</f>
        <v>80.5</v>
      </c>
      <c r="T83" s="305">
        <f t="shared" si="44"/>
        <v>85.1</v>
      </c>
      <c r="U83" s="305">
        <f t="shared" si="43"/>
        <v>89.7</v>
      </c>
      <c r="V83" s="306">
        <f t="shared" si="42"/>
        <v>92</v>
      </c>
      <c r="W83" s="226">
        <f t="shared" ref="W83:Z83" si="45">W69*$B$64</f>
        <v>110.39999999999999</v>
      </c>
      <c r="X83" s="226">
        <f t="shared" si="45"/>
        <v>128.80000000000001</v>
      </c>
      <c r="Y83" s="226">
        <f t="shared" si="45"/>
        <v>147.19999999999999</v>
      </c>
      <c r="Z83" s="226">
        <f t="shared" si="45"/>
        <v>165.6</v>
      </c>
      <c r="AA83" s="226">
        <f t="shared" si="42"/>
        <v>184</v>
      </c>
      <c r="AB83" s="226">
        <f t="shared" si="42"/>
        <v>368</v>
      </c>
      <c r="AC83" s="226">
        <f t="shared" si="42"/>
        <v>736</v>
      </c>
      <c r="AD83" s="226">
        <f t="shared" si="42"/>
        <v>1472</v>
      </c>
      <c r="AE83" s="226">
        <f t="shared" si="42"/>
        <v>2944</v>
      </c>
      <c r="AF83" s="226">
        <f t="shared" si="42"/>
        <v>5888</v>
      </c>
      <c r="AG83" s="226">
        <f t="shared" si="42"/>
        <v>11776</v>
      </c>
      <c r="AH83" s="226">
        <f t="shared" si="42"/>
        <v>23552</v>
      </c>
      <c r="AI83" s="226">
        <f t="shared" si="42"/>
        <v>47104</v>
      </c>
      <c r="AJ83" s="227">
        <f t="shared" si="42"/>
        <v>94208</v>
      </c>
      <c r="AK83" s="265">
        <f t="shared" si="42"/>
        <v>188416</v>
      </c>
      <c r="AL83" s="222">
        <f t="shared" si="42"/>
        <v>294791</v>
      </c>
      <c r="AM83" s="243">
        <f>AM69*B64</f>
        <v>58958.2</v>
      </c>
      <c r="AN83" s="57"/>
      <c r="AO83" s="57"/>
      <c r="AP83" s="81"/>
    </row>
    <row r="84" spans="1:42" x14ac:dyDescent="0.25">
      <c r="A84" s="49" t="s">
        <v>152</v>
      </c>
      <c r="B84" s="50"/>
      <c r="C84" s="51"/>
      <c r="D84" s="51"/>
      <c r="E84" s="51"/>
      <c r="F84" s="51"/>
      <c r="G84" s="51"/>
      <c r="H84" s="51"/>
      <c r="I84" s="216"/>
      <c r="J84" s="217"/>
      <c r="K84" s="217"/>
      <c r="L84" s="217"/>
      <c r="M84" s="217"/>
      <c r="N84" s="216"/>
      <c r="O84" s="217"/>
      <c r="P84" s="229">
        <f t="shared" ref="P84:U84" si="46">($I$69*$B$64)*(2^(((P68-35)-$I$68)/$I$94))</f>
        <v>0.16874096315421036</v>
      </c>
      <c r="Q84" s="230">
        <f t="shared" si="46"/>
        <v>0.45299990340229268</v>
      </c>
      <c r="R84" s="229">
        <f t="shared" si="46"/>
        <v>1.3303458725978392</v>
      </c>
      <c r="S84" s="229">
        <f t="shared" si="46"/>
        <v>15.019798111677028</v>
      </c>
      <c r="T84" s="229">
        <f t="shared" si="46"/>
        <v>416.15233716615586</v>
      </c>
      <c r="U84" s="229">
        <f t="shared" si="46"/>
        <v>1021.2711233679792</v>
      </c>
      <c r="V84" s="316">
        <f t="shared" ref="V84:AL84" si="47">($I$69*$B$64)*(2^(((V68-35)-$I$68)/HLOOKUP((V68-35)-$B$65,$I$92:$AM$94,3,TRUE)))</f>
        <v>187.87679438615137</v>
      </c>
      <c r="W84" s="317">
        <f t="shared" si="47"/>
        <v>365.2397469823112</v>
      </c>
      <c r="X84" s="317">
        <f t="shared" si="47"/>
        <v>568.91575529348574</v>
      </c>
      <c r="Y84" s="317">
        <f t="shared" si="47"/>
        <v>801.26232614010451</v>
      </c>
      <c r="Z84" s="317">
        <f t="shared" si="47"/>
        <v>86.587913966724287</v>
      </c>
      <c r="AA84" s="317">
        <f t="shared" si="47"/>
        <v>105.07867240982642</v>
      </c>
      <c r="AB84" s="317">
        <f t="shared" si="47"/>
        <v>145.48033723543278</v>
      </c>
      <c r="AC84" s="317">
        <f t="shared" si="47"/>
        <v>423.08434235846011</v>
      </c>
      <c r="AD84" s="317">
        <f t="shared" si="47"/>
        <v>784.40406853813829</v>
      </c>
      <c r="AE84" s="229">
        <f t="shared" si="47"/>
        <v>1507.8714455738195</v>
      </c>
      <c r="AF84" s="229">
        <f t="shared" si="47"/>
        <v>2926.2158341905156</v>
      </c>
      <c r="AG84" s="229">
        <f t="shared" si="47"/>
        <v>5715.389344492999</v>
      </c>
      <c r="AH84" s="229">
        <f t="shared" si="47"/>
        <v>11214.306523085044</v>
      </c>
      <c r="AI84" s="229">
        <f t="shared" si="47"/>
        <v>22078.077691175829</v>
      </c>
      <c r="AJ84" s="228">
        <f t="shared" si="47"/>
        <v>43577.000335312929</v>
      </c>
      <c r="AK84" s="266">
        <f t="shared" si="47"/>
        <v>86181.085800249028</v>
      </c>
      <c r="AL84" s="221">
        <f t="shared" si="47"/>
        <v>170704.80530261964</v>
      </c>
      <c r="AM84" s="246">
        <f>($I$69*$B$64)*(2^(((AM68 - 35) - $I$68)/AM94))</f>
        <v>110856.11871850082</v>
      </c>
      <c r="AN84" s="57"/>
      <c r="AO84" s="57"/>
      <c r="AP84" s="81"/>
    </row>
    <row r="85" spans="1:42" s="81" customFormat="1" hidden="1" x14ac:dyDescent="0.25">
      <c r="A85" s="60" t="s">
        <v>205</v>
      </c>
      <c r="B85" s="37"/>
      <c r="C85" s="59"/>
      <c r="D85" s="59"/>
      <c r="E85" s="59"/>
      <c r="F85" s="59"/>
      <c r="G85" s="59"/>
      <c r="H85" s="59"/>
      <c r="I85" s="164">
        <f t="shared" ref="I85:AL85" si="48">I68-7</f>
        <v>43885</v>
      </c>
      <c r="J85" s="164">
        <f t="shared" si="48"/>
        <v>43889</v>
      </c>
      <c r="K85" s="164">
        <f t="shared" si="48"/>
        <v>43893</v>
      </c>
      <c r="L85" s="164">
        <f t="shared" si="48"/>
        <v>43897</v>
      </c>
      <c r="M85" s="164">
        <f t="shared" si="48"/>
        <v>43901</v>
      </c>
      <c r="N85" s="164">
        <f t="shared" si="48"/>
        <v>43904</v>
      </c>
      <c r="O85" s="164">
        <f t="shared" si="48"/>
        <v>43907</v>
      </c>
      <c r="P85" s="164">
        <f t="shared" si="48"/>
        <v>43912</v>
      </c>
      <c r="Q85" s="164"/>
      <c r="R85" s="164"/>
      <c r="S85" s="164"/>
      <c r="T85" s="164"/>
      <c r="U85" s="164"/>
      <c r="V85" s="164">
        <f t="shared" si="48"/>
        <v>44007</v>
      </c>
      <c r="W85" s="164"/>
      <c r="X85" s="164"/>
      <c r="Y85" s="164"/>
      <c r="Z85" s="164"/>
      <c r="AA85" s="164">
        <f t="shared" si="48"/>
        <v>44035</v>
      </c>
      <c r="AB85" s="164">
        <f t="shared" si="48"/>
        <v>44063</v>
      </c>
      <c r="AC85" s="164">
        <f t="shared" si="48"/>
        <v>44091</v>
      </c>
      <c r="AD85" s="164">
        <f t="shared" si="48"/>
        <v>44119</v>
      </c>
      <c r="AE85" s="164">
        <f t="shared" si="48"/>
        <v>44147</v>
      </c>
      <c r="AF85" s="164">
        <f t="shared" si="48"/>
        <v>44175</v>
      </c>
      <c r="AG85" s="164">
        <f t="shared" si="48"/>
        <v>44203</v>
      </c>
      <c r="AH85" s="164">
        <f t="shared" si="48"/>
        <v>44231</v>
      </c>
      <c r="AI85" s="164">
        <f t="shared" si="48"/>
        <v>44259</v>
      </c>
      <c r="AJ85" s="164">
        <f t="shared" si="48"/>
        <v>44287</v>
      </c>
      <c r="AK85" s="164">
        <f t="shared" si="48"/>
        <v>44315</v>
      </c>
      <c r="AL85" s="164">
        <f t="shared" si="48"/>
        <v>44343</v>
      </c>
      <c r="AM85" s="164"/>
      <c r="AN85" s="57"/>
      <c r="AO85" s="57"/>
    </row>
    <row r="86" spans="1:42" s="81" customFormat="1" hidden="1" x14ac:dyDescent="0.25">
      <c r="A86" s="60" t="s">
        <v>203</v>
      </c>
      <c r="B86" s="37"/>
      <c r="C86" s="59"/>
      <c r="D86" s="59"/>
      <c r="E86" s="59"/>
      <c r="F86" s="59"/>
      <c r="G86" s="59"/>
      <c r="H86" s="59"/>
      <c r="I86" s="164">
        <f t="shared" ref="I86:AL86" si="49">I68-14</f>
        <v>43878</v>
      </c>
      <c r="J86" s="164">
        <f t="shared" si="49"/>
        <v>43882</v>
      </c>
      <c r="K86" s="164">
        <f t="shared" si="49"/>
        <v>43886</v>
      </c>
      <c r="L86" s="164">
        <f t="shared" si="49"/>
        <v>43890</v>
      </c>
      <c r="M86" s="164">
        <f t="shared" si="49"/>
        <v>43894</v>
      </c>
      <c r="N86" s="164">
        <f t="shared" si="49"/>
        <v>43897</v>
      </c>
      <c r="O86" s="164">
        <f t="shared" si="49"/>
        <v>43900</v>
      </c>
      <c r="P86" s="164">
        <f t="shared" si="49"/>
        <v>43905</v>
      </c>
      <c r="Q86" s="164"/>
      <c r="R86" s="164"/>
      <c r="S86" s="164"/>
      <c r="T86" s="164"/>
      <c r="U86" s="164"/>
      <c r="V86" s="164">
        <f t="shared" si="49"/>
        <v>44000</v>
      </c>
      <c r="W86" s="164"/>
      <c r="X86" s="164"/>
      <c r="Y86" s="164"/>
      <c r="Z86" s="164"/>
      <c r="AA86" s="164">
        <f t="shared" si="49"/>
        <v>44028</v>
      </c>
      <c r="AB86" s="164">
        <f t="shared" si="49"/>
        <v>44056</v>
      </c>
      <c r="AC86" s="164">
        <f t="shared" si="49"/>
        <v>44084</v>
      </c>
      <c r="AD86" s="164">
        <f t="shared" si="49"/>
        <v>44112</v>
      </c>
      <c r="AE86" s="164">
        <f t="shared" si="49"/>
        <v>44140</v>
      </c>
      <c r="AF86" s="164">
        <f t="shared" si="49"/>
        <v>44168</v>
      </c>
      <c r="AG86" s="164">
        <f t="shared" si="49"/>
        <v>44196</v>
      </c>
      <c r="AH86" s="164">
        <f t="shared" si="49"/>
        <v>44224</v>
      </c>
      <c r="AI86" s="164">
        <f t="shared" si="49"/>
        <v>44252</v>
      </c>
      <c r="AJ86" s="164">
        <f t="shared" si="49"/>
        <v>44280</v>
      </c>
      <c r="AK86" s="164">
        <f t="shared" si="49"/>
        <v>44308</v>
      </c>
      <c r="AL86" s="164">
        <f t="shared" si="49"/>
        <v>44336</v>
      </c>
      <c r="AM86" s="164"/>
      <c r="AN86" s="57"/>
      <c r="AO86" s="57"/>
    </row>
    <row r="87" spans="1:42" s="81" customFormat="1" hidden="1" x14ac:dyDescent="0.25">
      <c r="A87" s="60" t="s">
        <v>206</v>
      </c>
      <c r="B87" s="37"/>
      <c r="C87" s="59"/>
      <c r="D87" s="59"/>
      <c r="E87" s="59"/>
      <c r="F87" s="59"/>
      <c r="G87" s="59"/>
      <c r="H87" s="59"/>
      <c r="I87" s="164">
        <f t="shared" ref="I87:AL87" si="50">I68-(7*5)</f>
        <v>43857</v>
      </c>
      <c r="J87" s="164">
        <f t="shared" si="50"/>
        <v>43861</v>
      </c>
      <c r="K87" s="164">
        <f t="shared" si="50"/>
        <v>43865</v>
      </c>
      <c r="L87" s="164">
        <f t="shared" si="50"/>
        <v>43869</v>
      </c>
      <c r="M87" s="164">
        <f t="shared" si="50"/>
        <v>43873</v>
      </c>
      <c r="N87" s="164">
        <f t="shared" si="50"/>
        <v>43876</v>
      </c>
      <c r="O87" s="164">
        <f t="shared" si="50"/>
        <v>43879</v>
      </c>
      <c r="P87" s="164">
        <f t="shared" si="50"/>
        <v>43884</v>
      </c>
      <c r="Q87" s="164"/>
      <c r="R87" s="164"/>
      <c r="S87" s="164"/>
      <c r="T87" s="164"/>
      <c r="U87" s="164"/>
      <c r="V87" s="164">
        <f t="shared" si="50"/>
        <v>43979</v>
      </c>
      <c r="W87" s="164"/>
      <c r="X87" s="164"/>
      <c r="Y87" s="164"/>
      <c r="Z87" s="164"/>
      <c r="AA87" s="164">
        <f t="shared" si="50"/>
        <v>44007</v>
      </c>
      <c r="AB87" s="164">
        <f t="shared" si="50"/>
        <v>44035</v>
      </c>
      <c r="AC87" s="164">
        <f t="shared" si="50"/>
        <v>44063</v>
      </c>
      <c r="AD87" s="164">
        <f t="shared" si="50"/>
        <v>44091</v>
      </c>
      <c r="AE87" s="164">
        <f t="shared" si="50"/>
        <v>44119</v>
      </c>
      <c r="AF87" s="164">
        <f t="shared" si="50"/>
        <v>44147</v>
      </c>
      <c r="AG87" s="164">
        <f t="shared" si="50"/>
        <v>44175</v>
      </c>
      <c r="AH87" s="164">
        <f t="shared" si="50"/>
        <v>44203</v>
      </c>
      <c r="AI87" s="164">
        <f t="shared" si="50"/>
        <v>44231</v>
      </c>
      <c r="AJ87" s="164">
        <f t="shared" si="50"/>
        <v>44259</v>
      </c>
      <c r="AK87" s="164">
        <f t="shared" si="50"/>
        <v>44287</v>
      </c>
      <c r="AL87" s="164">
        <f t="shared" si="50"/>
        <v>44315</v>
      </c>
      <c r="AM87" s="164"/>
      <c r="AN87" s="57"/>
      <c r="AO87" s="57"/>
    </row>
    <row r="88" spans="1:42" s="81" customFormat="1" hidden="1" x14ac:dyDescent="0.25">
      <c r="A88" s="60" t="s">
        <v>204</v>
      </c>
      <c r="B88" s="37"/>
      <c r="C88" s="59"/>
      <c r="D88" s="59"/>
      <c r="E88" s="59"/>
      <c r="F88" s="59"/>
      <c r="G88" s="59"/>
      <c r="H88" s="59"/>
      <c r="I88" s="164">
        <f t="shared" ref="I88:AL88" si="51">I68-(6*7)</f>
        <v>43850</v>
      </c>
      <c r="J88" s="164">
        <f t="shared" si="51"/>
        <v>43854</v>
      </c>
      <c r="K88" s="164">
        <f t="shared" si="51"/>
        <v>43858</v>
      </c>
      <c r="L88" s="164">
        <f t="shared" si="51"/>
        <v>43862</v>
      </c>
      <c r="M88" s="164">
        <f t="shared" si="51"/>
        <v>43866</v>
      </c>
      <c r="N88" s="164">
        <f t="shared" si="51"/>
        <v>43869</v>
      </c>
      <c r="O88" s="164">
        <f t="shared" si="51"/>
        <v>43872</v>
      </c>
      <c r="P88" s="164">
        <f t="shared" si="51"/>
        <v>43877</v>
      </c>
      <c r="Q88" s="164"/>
      <c r="R88" s="164"/>
      <c r="S88" s="164"/>
      <c r="T88" s="164"/>
      <c r="U88" s="164"/>
      <c r="V88" s="164">
        <f t="shared" si="51"/>
        <v>43972</v>
      </c>
      <c r="W88" s="164"/>
      <c r="X88" s="164"/>
      <c r="Y88" s="164"/>
      <c r="Z88" s="164"/>
      <c r="AA88" s="164">
        <f t="shared" si="51"/>
        <v>44000</v>
      </c>
      <c r="AB88" s="164">
        <f t="shared" si="51"/>
        <v>44028</v>
      </c>
      <c r="AC88" s="164">
        <f t="shared" si="51"/>
        <v>44056</v>
      </c>
      <c r="AD88" s="164">
        <f t="shared" si="51"/>
        <v>44084</v>
      </c>
      <c r="AE88" s="164">
        <f t="shared" si="51"/>
        <v>44112</v>
      </c>
      <c r="AF88" s="164">
        <f t="shared" si="51"/>
        <v>44140</v>
      </c>
      <c r="AG88" s="164">
        <f t="shared" si="51"/>
        <v>44168</v>
      </c>
      <c r="AH88" s="164">
        <f t="shared" si="51"/>
        <v>44196</v>
      </c>
      <c r="AI88" s="164">
        <f t="shared" si="51"/>
        <v>44224</v>
      </c>
      <c r="AJ88" s="164">
        <f t="shared" si="51"/>
        <v>44252</v>
      </c>
      <c r="AK88" s="164">
        <f t="shared" si="51"/>
        <v>44280</v>
      </c>
      <c r="AL88" s="164">
        <f t="shared" si="51"/>
        <v>44308</v>
      </c>
      <c r="AM88" s="164"/>
      <c r="AN88" s="57"/>
      <c r="AO88" s="57"/>
    </row>
    <row r="90" spans="1:42" x14ac:dyDescent="0.25">
      <c r="A90" s="65" t="s">
        <v>140</v>
      </c>
      <c r="B90" s="27"/>
      <c r="C90" s="28"/>
      <c r="D90" s="28"/>
      <c r="E90" s="28"/>
      <c r="F90" s="28"/>
      <c r="G90" s="28"/>
      <c r="H90" s="28"/>
    </row>
    <row r="91" spans="1:42" s="81" customFormat="1" x14ac:dyDescent="0.25">
      <c r="A91" s="157" t="s">
        <v>201</v>
      </c>
      <c r="B91" s="37"/>
      <c r="C91" s="59"/>
      <c r="D91" s="59"/>
      <c r="E91" s="59"/>
      <c r="F91" s="59"/>
      <c r="G91" s="59"/>
      <c r="H91" s="59"/>
      <c r="I91" s="158">
        <f t="shared" ref="I91:AM91" si="52">(I68-$B$65)/7</f>
        <v>5.2857142857142856</v>
      </c>
      <c r="J91" s="155">
        <f t="shared" si="52"/>
        <v>5.8571428571428568</v>
      </c>
      <c r="K91" s="156">
        <f t="shared" si="52"/>
        <v>6.4285714285714288</v>
      </c>
      <c r="L91" s="158">
        <f t="shared" si="52"/>
        <v>7</v>
      </c>
      <c r="M91" s="155">
        <f t="shared" si="52"/>
        <v>7.5714285714285712</v>
      </c>
      <c r="N91" s="159">
        <f t="shared" si="52"/>
        <v>8</v>
      </c>
      <c r="O91" s="156">
        <f t="shared" si="52"/>
        <v>8.4285714285714288</v>
      </c>
      <c r="P91" s="158">
        <f t="shared" si="52"/>
        <v>9.1428571428571423</v>
      </c>
      <c r="Q91" s="158">
        <f t="shared" ref="Q91:U91" si="53">(Q68-$B$65)/7</f>
        <v>10.63571428571387</v>
      </c>
      <c r="R91" s="155">
        <f t="shared" si="53"/>
        <v>12.264285714285506</v>
      </c>
      <c r="S91" s="155">
        <f t="shared" ref="S91:T91" si="54">(S68-$B$65)/7</f>
        <v>15.928571428571429</v>
      </c>
      <c r="T91" s="155">
        <f t="shared" si="54"/>
        <v>20.950000000000209</v>
      </c>
      <c r="U91" s="155">
        <f t="shared" si="53"/>
        <v>22.307142857143067</v>
      </c>
      <c r="V91" s="155">
        <f t="shared" si="52"/>
        <v>22.714285714285715</v>
      </c>
      <c r="W91" s="155">
        <f t="shared" si="52"/>
        <v>24.034285714285424</v>
      </c>
      <c r="X91" s="155">
        <f t="shared" si="52"/>
        <v>24.914285714285921</v>
      </c>
      <c r="Y91" s="155">
        <f t="shared" si="52"/>
        <v>25.594285714286212</v>
      </c>
      <c r="Z91" s="155">
        <f t="shared" si="52"/>
        <v>26.154285714285965</v>
      </c>
      <c r="AA91" s="158">
        <f t="shared" si="52"/>
        <v>26.714285714285715</v>
      </c>
      <c r="AB91" s="156">
        <f t="shared" si="52"/>
        <v>30.714285714285715</v>
      </c>
      <c r="AC91" s="158">
        <f t="shared" si="52"/>
        <v>34.714285714285715</v>
      </c>
      <c r="AD91" s="158">
        <f t="shared" si="52"/>
        <v>38.714285714285715</v>
      </c>
      <c r="AE91" s="156">
        <f t="shared" si="52"/>
        <v>42.714285714285715</v>
      </c>
      <c r="AF91" s="158">
        <f t="shared" si="52"/>
        <v>46.714285714285715</v>
      </c>
      <c r="AG91" s="158">
        <f t="shared" si="52"/>
        <v>50.714285714285715</v>
      </c>
      <c r="AH91" s="158">
        <f t="shared" si="52"/>
        <v>54.714285714285715</v>
      </c>
      <c r="AI91" s="156">
        <f t="shared" si="52"/>
        <v>58.714285714285715</v>
      </c>
      <c r="AJ91" s="155">
        <f t="shared" si="52"/>
        <v>62.714285714285715</v>
      </c>
      <c r="AK91" s="158">
        <f t="shared" si="52"/>
        <v>66.714285714285708</v>
      </c>
      <c r="AL91" s="158">
        <f t="shared" si="52"/>
        <v>70.714285714285708</v>
      </c>
      <c r="AM91" s="158">
        <f t="shared" si="52"/>
        <v>78.714285714285708</v>
      </c>
    </row>
    <row r="92" spans="1:42" s="81" customFormat="1" x14ac:dyDescent="0.25">
      <c r="A92" s="157" t="s">
        <v>200</v>
      </c>
      <c r="B92" s="37"/>
      <c r="C92" s="59"/>
      <c r="D92" s="59"/>
      <c r="E92" s="59"/>
      <c r="F92" s="59"/>
      <c r="G92" s="59"/>
      <c r="H92" s="59"/>
      <c r="I92" s="256">
        <f>I68-B65</f>
        <v>37</v>
      </c>
      <c r="J92" s="257">
        <f t="shared" ref="J92:AM92" si="55">J68-$B$65</f>
        <v>41</v>
      </c>
      <c r="K92" s="257">
        <f t="shared" si="55"/>
        <v>45</v>
      </c>
      <c r="L92" s="257">
        <f t="shared" si="55"/>
        <v>49</v>
      </c>
      <c r="M92" s="257">
        <f t="shared" si="55"/>
        <v>53</v>
      </c>
      <c r="N92" s="257">
        <f t="shared" si="55"/>
        <v>56</v>
      </c>
      <c r="O92" s="257">
        <f t="shared" si="55"/>
        <v>59</v>
      </c>
      <c r="P92" s="257">
        <f t="shared" si="55"/>
        <v>64</v>
      </c>
      <c r="Q92" s="257">
        <f t="shared" ref="Q92:U92" si="56">Q68-$B$65</f>
        <v>74.44999999999709</v>
      </c>
      <c r="R92" s="257">
        <f t="shared" si="56"/>
        <v>85.849999999998545</v>
      </c>
      <c r="S92" s="257">
        <f t="shared" ref="S92:T92" si="57">S68-$B$65</f>
        <v>111.5</v>
      </c>
      <c r="T92" s="257">
        <f t="shared" si="57"/>
        <v>146.65000000000146</v>
      </c>
      <c r="U92" s="257">
        <f t="shared" si="56"/>
        <v>156.15000000000146</v>
      </c>
      <c r="V92" s="257">
        <f t="shared" si="55"/>
        <v>159</v>
      </c>
      <c r="W92" s="257">
        <f t="shared" ref="W92:Z92" si="58">W68-$B$65</f>
        <v>168.23999999999796</v>
      </c>
      <c r="X92" s="257">
        <f t="shared" si="58"/>
        <v>174.40000000000146</v>
      </c>
      <c r="Y92" s="257">
        <f t="shared" si="58"/>
        <v>179.16000000000349</v>
      </c>
      <c r="Z92" s="257">
        <f t="shared" si="58"/>
        <v>183.08000000000175</v>
      </c>
      <c r="AA92" s="257">
        <f t="shared" si="55"/>
        <v>187</v>
      </c>
      <c r="AB92" s="257">
        <f t="shared" si="55"/>
        <v>215</v>
      </c>
      <c r="AC92" s="257">
        <f t="shared" si="55"/>
        <v>243</v>
      </c>
      <c r="AD92" s="257">
        <f t="shared" si="55"/>
        <v>271</v>
      </c>
      <c r="AE92" s="257">
        <f t="shared" si="55"/>
        <v>299</v>
      </c>
      <c r="AF92" s="257">
        <f t="shared" si="55"/>
        <v>327</v>
      </c>
      <c r="AG92" s="257">
        <f t="shared" si="55"/>
        <v>355</v>
      </c>
      <c r="AH92" s="257">
        <f t="shared" si="55"/>
        <v>383</v>
      </c>
      <c r="AI92" s="258">
        <f t="shared" si="55"/>
        <v>411</v>
      </c>
      <c r="AJ92" s="257">
        <f t="shared" si="55"/>
        <v>439</v>
      </c>
      <c r="AK92" s="262">
        <f t="shared" si="55"/>
        <v>467</v>
      </c>
      <c r="AL92" s="255">
        <f t="shared" si="55"/>
        <v>495</v>
      </c>
      <c r="AM92" s="255">
        <f t="shared" si="55"/>
        <v>551</v>
      </c>
    </row>
    <row r="93" spans="1:42" x14ac:dyDescent="0.25">
      <c r="A93" s="53" t="s">
        <v>134</v>
      </c>
      <c r="B93" s="28"/>
      <c r="C93" s="28"/>
      <c r="D93" s="28"/>
      <c r="E93" s="28"/>
      <c r="F93" s="28"/>
      <c r="G93" s="28"/>
      <c r="H93" s="28"/>
      <c r="I93" s="160">
        <v>33</v>
      </c>
      <c r="J93" s="161">
        <v>63</v>
      </c>
      <c r="K93" s="162">
        <v>116</v>
      </c>
      <c r="L93" s="162">
        <v>248</v>
      </c>
      <c r="M93" s="162">
        <v>596</v>
      </c>
      <c r="N93" s="162">
        <v>1072</v>
      </c>
      <c r="O93" s="162">
        <v>2317</v>
      </c>
      <c r="P93" s="162">
        <v>4163</v>
      </c>
      <c r="Q93" s="162">
        <v>6052</v>
      </c>
      <c r="R93" s="162">
        <v>6612</v>
      </c>
      <c r="S93" s="162">
        <v>7019</v>
      </c>
      <c r="T93" s="162">
        <v>7409</v>
      </c>
      <c r="U93" s="162">
        <v>7767</v>
      </c>
      <c r="V93" s="162">
        <v>8001</v>
      </c>
      <c r="W93" s="162">
        <v>9553</v>
      </c>
      <c r="X93" s="162">
        <v>11235</v>
      </c>
      <c r="Y93" s="162">
        <v>12896</v>
      </c>
      <c r="Z93" s="162">
        <v>14403</v>
      </c>
      <c r="AA93" s="162">
        <v>16303</v>
      </c>
      <c r="AB93" s="198">
        <f t="shared" ref="AA93:AJ93" si="59">AB69</f>
        <v>32000</v>
      </c>
      <c r="AC93" s="198">
        <f t="shared" si="59"/>
        <v>64000</v>
      </c>
      <c r="AD93" s="198">
        <f t="shared" si="59"/>
        <v>128000</v>
      </c>
      <c r="AE93" s="198">
        <f t="shared" si="59"/>
        <v>256000</v>
      </c>
      <c r="AF93" s="198">
        <f t="shared" si="59"/>
        <v>512000</v>
      </c>
      <c r="AG93" s="198">
        <f t="shared" si="59"/>
        <v>1024000</v>
      </c>
      <c r="AH93" s="198">
        <f t="shared" si="59"/>
        <v>2048000</v>
      </c>
      <c r="AI93" s="198">
        <f t="shared" si="59"/>
        <v>4096000</v>
      </c>
      <c r="AJ93" s="198">
        <f t="shared" si="59"/>
        <v>8192000</v>
      </c>
      <c r="AK93" s="253">
        <f t="shared" ref="AK93" si="60">AJ93*2</f>
        <v>16384000</v>
      </c>
      <c r="AL93" s="202">
        <f>AL69</f>
        <v>25634000</v>
      </c>
      <c r="AM93" s="203">
        <f>AL93</f>
        <v>25634000</v>
      </c>
    </row>
    <row r="94" spans="1:42" x14ac:dyDescent="0.25">
      <c r="A94" s="53" t="s">
        <v>259</v>
      </c>
      <c r="B94" s="28"/>
      <c r="C94" s="28"/>
      <c r="D94" s="28"/>
      <c r="E94" s="28"/>
      <c r="F94" s="28"/>
      <c r="G94" s="28"/>
      <c r="H94" s="28"/>
      <c r="I94" s="208">
        <f>(I68-B65)/(LOG(I93/1)/LOG(2))</f>
        <v>7.3348749373107394</v>
      </c>
      <c r="J94" s="190">
        <f t="shared" ref="J94:AM94" si="61">(J68-$I$68)/(LOG(J93/$I$93)/LOG(2))</f>
        <v>4.287770252524326</v>
      </c>
      <c r="K94" s="190">
        <f t="shared" si="61"/>
        <v>4.4111479339015975</v>
      </c>
      <c r="L94" s="190">
        <f t="shared" si="61"/>
        <v>4.1239916709798061</v>
      </c>
      <c r="M94" s="190">
        <f t="shared" si="61"/>
        <v>3.8325424233151351</v>
      </c>
      <c r="N94" s="190">
        <f t="shared" si="61"/>
        <v>3.7835829796492675</v>
      </c>
      <c r="O94" s="190">
        <f t="shared" si="61"/>
        <v>3.5867723822019695</v>
      </c>
      <c r="P94" s="190">
        <f t="shared" si="61"/>
        <v>3.8687414968098568</v>
      </c>
      <c r="Q94" s="190">
        <f>(Q68-$I$68)/(LOG(Q93/$I$93)/LOG(2))</f>
        <v>4.9808465814944229</v>
      </c>
      <c r="R94" s="190">
        <f>(R68-$I$68)/(LOG(R93/$I$93)/LOG(2))</f>
        <v>6.3885630863942993</v>
      </c>
      <c r="S94" s="190">
        <f>(S68-$I$68)/(LOG(S93/$I$93)/LOG(2))</f>
        <v>9.6344649481670324</v>
      </c>
      <c r="T94" s="190">
        <f>(T68-$I$68)/(LOG(T93/$I$93)/LOG(2))</f>
        <v>14.038490174645888</v>
      </c>
      <c r="U94" s="190">
        <f>(U68-$I$68)/(LOG(U93/$I$93)/LOG(2))</f>
        <v>15.122961868611593</v>
      </c>
      <c r="V94" s="190">
        <f t="shared" si="61"/>
        <v>15.400986476095756</v>
      </c>
      <c r="W94" s="190">
        <f t="shared" ref="W94:Z94" si="62">(W68-$I$68)/(LOG(W93/$I$93)/LOG(2))</f>
        <v>16.049220813005178</v>
      </c>
      <c r="X94" s="190">
        <f t="shared" si="62"/>
        <v>16.335132462680878</v>
      </c>
      <c r="Y94" s="190">
        <f t="shared" si="62"/>
        <v>16.510569795792801</v>
      </c>
      <c r="Z94" s="190">
        <f t="shared" si="62"/>
        <v>16.657377848480287</v>
      </c>
      <c r="AA94" s="190">
        <f t="shared" si="61"/>
        <v>16.762668842280384</v>
      </c>
      <c r="AB94" s="199">
        <f t="shared" si="61"/>
        <v>17.941034173062633</v>
      </c>
      <c r="AC94" s="199">
        <f t="shared" si="61"/>
        <v>18.862067638096587</v>
      </c>
      <c r="AD94" s="199">
        <f t="shared" si="61"/>
        <v>19.628583307426723</v>
      </c>
      <c r="AE94" s="199">
        <f t="shared" si="61"/>
        <v>20.276456066122002</v>
      </c>
      <c r="AF94" s="199">
        <f t="shared" si="61"/>
        <v>20.831252953657515</v>
      </c>
      <c r="AG94" s="199">
        <f t="shared" si="61"/>
        <v>21.311687213932526</v>
      </c>
      <c r="AH94" s="199">
        <f t="shared" si="61"/>
        <v>21.731770681307307</v>
      </c>
      <c r="AI94" s="199">
        <f t="shared" si="61"/>
        <v>22.102202971885024</v>
      </c>
      <c r="AJ94" s="199">
        <f t="shared" si="61"/>
        <v>22.431295579864358</v>
      </c>
      <c r="AK94" s="254">
        <f t="shared" si="61"/>
        <v>22.725602941611331</v>
      </c>
      <c r="AL94" s="204">
        <f t="shared" si="61"/>
        <v>23.406563485679829</v>
      </c>
      <c r="AM94" s="205">
        <f t="shared" si="61"/>
        <v>26.268501379125397</v>
      </c>
    </row>
    <row r="95" spans="1:42" x14ac:dyDescent="0.25">
      <c r="A95" s="53" t="s">
        <v>288</v>
      </c>
      <c r="B95" s="28"/>
      <c r="C95" s="28"/>
      <c r="D95" s="28"/>
      <c r="E95" s="28"/>
      <c r="F95" s="28"/>
      <c r="G95" s="28"/>
      <c r="H95" s="28"/>
      <c r="I95" s="259">
        <v>17</v>
      </c>
      <c r="J95" s="260">
        <v>39</v>
      </c>
      <c r="K95" s="260">
        <v>91</v>
      </c>
      <c r="L95" s="260">
        <v>218</v>
      </c>
      <c r="M95" s="260">
        <v>547</v>
      </c>
      <c r="N95" s="260">
        <v>1019</v>
      </c>
      <c r="O95" s="260">
        <v>2191</v>
      </c>
      <c r="P95" s="260">
        <v>3902</v>
      </c>
      <c r="Q95" s="260">
        <v>3189</v>
      </c>
      <c r="R95" s="260">
        <v>2311</v>
      </c>
      <c r="S95" s="260">
        <v>584</v>
      </c>
      <c r="T95" s="260">
        <v>429</v>
      </c>
      <c r="U95" s="260">
        <v>655</v>
      </c>
      <c r="V95" s="260">
        <v>807</v>
      </c>
      <c r="W95" s="260">
        <v>1716</v>
      </c>
      <c r="X95" s="260">
        <v>3002</v>
      </c>
      <c r="Y95" s="260">
        <v>4115</v>
      </c>
      <c r="Z95" s="260">
        <v>5078</v>
      </c>
      <c r="AA95" s="260">
        <v>6356</v>
      </c>
      <c r="AB95" s="261"/>
      <c r="AC95" s="261"/>
      <c r="AD95" s="261"/>
      <c r="AE95" s="261"/>
      <c r="AF95" s="261"/>
      <c r="AG95" s="261"/>
      <c r="AH95" s="261"/>
      <c r="AI95" s="261"/>
      <c r="AJ95" s="261"/>
      <c r="AK95" s="253"/>
      <c r="AL95" s="202"/>
      <c r="AM95" s="203"/>
    </row>
    <row r="96" spans="1:42" x14ac:dyDescent="0.25">
      <c r="A96" s="53" t="s">
        <v>160</v>
      </c>
      <c r="B96" s="28"/>
      <c r="C96" s="28"/>
      <c r="D96" s="28"/>
      <c r="E96" s="28"/>
      <c r="F96" s="28"/>
      <c r="G96" s="28"/>
      <c r="H96" s="28"/>
      <c r="I96" s="119">
        <f>I93-I95-I97</f>
        <v>15</v>
      </c>
      <c r="J96" s="120">
        <f>J93-J95-J97</f>
        <v>22</v>
      </c>
      <c r="K96" s="120">
        <f t="shared" ref="K96:L96" si="63">K93-K95-K97</f>
        <v>22</v>
      </c>
      <c r="L96" s="120">
        <f t="shared" si="63"/>
        <v>25</v>
      </c>
      <c r="M96" s="163">
        <f>M93-M95-M97</f>
        <v>43</v>
      </c>
      <c r="N96" s="163">
        <f t="shared" ref="N96:P96" si="64">N93-N95-N97</f>
        <v>46</v>
      </c>
      <c r="O96" s="163">
        <f t="shared" si="64"/>
        <v>118</v>
      </c>
      <c r="P96" s="163">
        <f t="shared" si="64"/>
        <v>245</v>
      </c>
      <c r="Q96" s="163">
        <f t="shared" ref="Q96:R96" si="65">Q93-Q95-Q97</f>
        <v>2813</v>
      </c>
      <c r="R96" s="163">
        <f t="shared" si="65"/>
        <v>4230</v>
      </c>
      <c r="S96" s="163">
        <f t="shared" ref="S96:T96" si="66">S93-S95-S97</f>
        <v>6337</v>
      </c>
      <c r="T96" s="163">
        <f t="shared" si="66"/>
        <v>6878</v>
      </c>
      <c r="U96" s="163">
        <f t="shared" ref="U96:V96" si="67">U93-U95-U97</f>
        <v>7008</v>
      </c>
      <c r="V96" s="163">
        <f t="shared" si="67"/>
        <v>7090</v>
      </c>
      <c r="W96" s="163">
        <f t="shared" ref="W96:Y96" si="68">W93-W95-W97</f>
        <v>7730</v>
      </c>
      <c r="X96" s="163">
        <f t="shared" si="68"/>
        <v>8117</v>
      </c>
      <c r="Y96" s="163">
        <f t="shared" si="68"/>
        <v>8653</v>
      </c>
      <c r="Z96" s="163">
        <f t="shared" ref="Z96:AA96" si="69">Z93-Z95-Z97</f>
        <v>9170</v>
      </c>
      <c r="AA96" s="163">
        <f t="shared" si="69"/>
        <v>9758</v>
      </c>
      <c r="AB96" s="200"/>
      <c r="AC96" s="200"/>
      <c r="AD96" s="200"/>
      <c r="AE96" s="200"/>
      <c r="AF96" s="200"/>
      <c r="AG96" s="200"/>
      <c r="AH96" s="200"/>
      <c r="AI96" s="200"/>
      <c r="AJ96" s="200"/>
      <c r="AK96" s="253"/>
      <c r="AL96" s="202"/>
      <c r="AM96" s="203"/>
    </row>
    <row r="97" spans="1:39" x14ac:dyDescent="0.25">
      <c r="A97" s="61" t="s">
        <v>135</v>
      </c>
      <c r="B97" s="50"/>
      <c r="C97" s="51"/>
      <c r="D97" s="51"/>
      <c r="E97" s="51"/>
      <c r="F97" s="51"/>
      <c r="G97" s="51"/>
      <c r="H97" s="51"/>
      <c r="I97" s="79">
        <v>1</v>
      </c>
      <c r="J97" s="80">
        <v>2</v>
      </c>
      <c r="K97" s="64">
        <v>3</v>
      </c>
      <c r="L97" s="64">
        <v>5</v>
      </c>
      <c r="M97" s="64">
        <v>6</v>
      </c>
      <c r="N97" s="64">
        <v>7</v>
      </c>
      <c r="O97" s="64">
        <v>8</v>
      </c>
      <c r="P97" s="64">
        <v>16</v>
      </c>
      <c r="Q97" s="64">
        <v>50</v>
      </c>
      <c r="R97" s="64">
        <v>71</v>
      </c>
      <c r="S97" s="64">
        <v>98</v>
      </c>
      <c r="T97" s="64">
        <v>102</v>
      </c>
      <c r="U97" s="64">
        <v>104</v>
      </c>
      <c r="V97" s="64">
        <v>104</v>
      </c>
      <c r="W97" s="64">
        <v>107</v>
      </c>
      <c r="X97" s="64">
        <v>116</v>
      </c>
      <c r="Y97" s="64">
        <v>128</v>
      </c>
      <c r="Z97" s="64">
        <v>155</v>
      </c>
      <c r="AA97" s="64">
        <v>189</v>
      </c>
      <c r="AB97" s="201"/>
      <c r="AC97" s="201"/>
      <c r="AD97" s="201"/>
      <c r="AE97" s="201"/>
      <c r="AF97" s="201"/>
      <c r="AG97" s="201"/>
      <c r="AH97" s="201"/>
      <c r="AI97" s="201"/>
      <c r="AJ97" s="201"/>
      <c r="AK97" s="239"/>
      <c r="AL97" s="234"/>
      <c r="AM97" s="235"/>
    </row>
    <row r="98" spans="1:39" x14ac:dyDescent="0.25">
      <c r="B98" s="3"/>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row>
    <row r="99" spans="1:39" x14ac:dyDescent="0.25">
      <c r="A99" s="86" t="s">
        <v>141</v>
      </c>
      <c r="AI99" s="28"/>
    </row>
    <row r="100" spans="1:39" x14ac:dyDescent="0.25">
      <c r="A100" s="16" t="s">
        <v>1</v>
      </c>
      <c r="B100" s="69" t="s">
        <v>147</v>
      </c>
      <c r="C100" s="17" t="s">
        <v>4</v>
      </c>
      <c r="D100" s="69" t="s">
        <v>143</v>
      </c>
      <c r="E100" s="71"/>
      <c r="F100" s="71"/>
      <c r="G100" s="70" t="s">
        <v>3</v>
      </c>
      <c r="H100" s="21" t="s">
        <v>4</v>
      </c>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17"/>
      <c r="AM100" s="59"/>
    </row>
    <row r="101" spans="1:39" x14ac:dyDescent="0.25">
      <c r="A101" s="53" t="s">
        <v>13</v>
      </c>
      <c r="B101" s="25">
        <f>'ABS Population by Age Range'!D107</f>
        <v>4.0260989985204748E-2</v>
      </c>
      <c r="C101" s="24">
        <f>$B$55*B101</f>
        <v>1032050.2172807385</v>
      </c>
      <c r="D101" s="34">
        <f>'AU Infection Rate by Age'!E6</f>
        <v>6.931338870287429E-2</v>
      </c>
      <c r="E101" s="309"/>
      <c r="F101" s="309"/>
      <c r="G101" s="17"/>
      <c r="H101" s="28"/>
      <c r="I101" s="30">
        <f t="shared" ref="I101:AL101" si="70">I$69*$D$101</f>
        <v>2.1660433969648216</v>
      </c>
      <c r="J101" s="31">
        <f t="shared" si="70"/>
        <v>4.3320867939296432</v>
      </c>
      <c r="K101" s="31">
        <f t="shared" si="70"/>
        <v>8.6641735878592865</v>
      </c>
      <c r="L101" s="31">
        <f t="shared" si="70"/>
        <v>17.328347175718573</v>
      </c>
      <c r="M101" s="31">
        <f t="shared" si="70"/>
        <v>34.656694351437146</v>
      </c>
      <c r="N101" s="31">
        <f t="shared" si="70"/>
        <v>69.313388702874292</v>
      </c>
      <c r="O101" s="31">
        <f t="shared" si="70"/>
        <v>138.62677740574858</v>
      </c>
      <c r="P101" s="31">
        <f t="shared" si="70"/>
        <v>277.25355481149717</v>
      </c>
      <c r="Q101" s="31">
        <f t="shared" si="70"/>
        <v>415.88033221724572</v>
      </c>
      <c r="R101" s="31">
        <f t="shared" si="70"/>
        <v>457.4683654389703</v>
      </c>
      <c r="S101" s="31">
        <f t="shared" si="70"/>
        <v>485.19372092012003</v>
      </c>
      <c r="T101" s="31">
        <f t="shared" si="70"/>
        <v>512.91907640126976</v>
      </c>
      <c r="U101" s="31">
        <f t="shared" si="70"/>
        <v>540.64443188241944</v>
      </c>
      <c r="V101" s="31">
        <f t="shared" si="70"/>
        <v>554.50710962299434</v>
      </c>
      <c r="W101" s="31">
        <f t="shared" si="70"/>
        <v>665.40853154759316</v>
      </c>
      <c r="X101" s="31">
        <f t="shared" si="70"/>
        <v>776.30995347219209</v>
      </c>
      <c r="Y101" s="31">
        <f t="shared" si="70"/>
        <v>887.21137539679091</v>
      </c>
      <c r="Z101" s="31">
        <f t="shared" si="70"/>
        <v>998.11279732138973</v>
      </c>
      <c r="AA101" s="31">
        <f t="shared" si="70"/>
        <v>1109.0142192459887</v>
      </c>
      <c r="AB101" s="31">
        <f t="shared" si="70"/>
        <v>2218.0284384919773</v>
      </c>
      <c r="AC101" s="31">
        <f t="shared" si="70"/>
        <v>4436.0568769839547</v>
      </c>
      <c r="AD101" s="31">
        <f t="shared" si="70"/>
        <v>8872.1137539679094</v>
      </c>
      <c r="AE101" s="31">
        <f t="shared" si="70"/>
        <v>17744.227507935819</v>
      </c>
      <c r="AF101" s="31">
        <f t="shared" si="70"/>
        <v>35488.455015871637</v>
      </c>
      <c r="AG101" s="31">
        <f t="shared" si="70"/>
        <v>70976.910031743275</v>
      </c>
      <c r="AH101" s="31">
        <f t="shared" si="70"/>
        <v>141953.82006348655</v>
      </c>
      <c r="AI101" s="31">
        <f t="shared" si="70"/>
        <v>283907.6401269731</v>
      </c>
      <c r="AJ101" s="72">
        <f t="shared" si="70"/>
        <v>567815.2802539462</v>
      </c>
      <c r="AK101" s="31">
        <f t="shared" si="70"/>
        <v>1135630.5605078924</v>
      </c>
      <c r="AL101" s="72">
        <f t="shared" si="70"/>
        <v>1776779.4060094797</v>
      </c>
      <c r="AM101" s="57"/>
    </row>
    <row r="102" spans="1:39" x14ac:dyDescent="0.25">
      <c r="A102" s="53"/>
      <c r="B102" s="18"/>
      <c r="C102" s="22"/>
      <c r="D102" s="20"/>
      <c r="E102" s="27"/>
      <c r="F102" s="27"/>
      <c r="G102" s="39">
        <f>'AU Infection Rate by Age'!F20</f>
        <v>0.17314930991217065</v>
      </c>
      <c r="H102" s="22"/>
      <c r="I102" s="41">
        <f t="shared" ref="I102:V102" si="71">I$69*$D$101*$G$102</f>
        <v>0.37504891942427276</v>
      </c>
      <c r="J102" s="42">
        <f t="shared" si="71"/>
        <v>0.75009783884854553</v>
      </c>
      <c r="K102" s="42">
        <f t="shared" si="71"/>
        <v>1.5001956776970911</v>
      </c>
      <c r="L102" s="42">
        <f t="shared" si="71"/>
        <v>3.0003913553941821</v>
      </c>
      <c r="M102" s="42">
        <f t="shared" si="71"/>
        <v>6.0007827107883642</v>
      </c>
      <c r="N102" s="42">
        <f t="shared" si="71"/>
        <v>12.001565421576728</v>
      </c>
      <c r="O102" s="42">
        <f t="shared" si="71"/>
        <v>24.003130843153457</v>
      </c>
      <c r="P102" s="42">
        <f t="shared" si="71"/>
        <v>48.006261686306914</v>
      </c>
      <c r="Q102" s="42">
        <f t="shared" si="71"/>
        <v>72.009392529460371</v>
      </c>
      <c r="R102" s="42">
        <f t="shared" si="71"/>
        <v>79.210331782406399</v>
      </c>
      <c r="S102" s="42">
        <f t="shared" si="71"/>
        <v>84.010957951037099</v>
      </c>
      <c r="T102" s="42">
        <f t="shared" si="71"/>
        <v>88.811584119667785</v>
      </c>
      <c r="U102" s="42">
        <f t="shared" si="71"/>
        <v>93.612210288298471</v>
      </c>
      <c r="V102" s="42">
        <f t="shared" si="71"/>
        <v>96.012523372613828</v>
      </c>
      <c r="W102" s="42">
        <f t="shared" ref="W102:Z102" si="72">W$69*$D$101*$G$102</f>
        <v>115.21502804713658</v>
      </c>
      <c r="X102" s="42">
        <f t="shared" si="72"/>
        <v>134.41753272165937</v>
      </c>
      <c r="Y102" s="42">
        <f t="shared" si="72"/>
        <v>153.62003739618211</v>
      </c>
      <c r="Z102" s="42">
        <f t="shared" si="72"/>
        <v>172.82254207070488</v>
      </c>
      <c r="AA102" s="42">
        <f t="shared" ref="AA102:AL102" si="73">AA$69*$D$101*$G$102</f>
        <v>192.02504674522766</v>
      </c>
      <c r="AB102" s="42">
        <f t="shared" si="73"/>
        <v>384.05009349045531</v>
      </c>
      <c r="AC102" s="42">
        <f t="shared" si="73"/>
        <v>768.10018698091062</v>
      </c>
      <c r="AD102" s="42">
        <f t="shared" si="73"/>
        <v>1536.2003739618212</v>
      </c>
      <c r="AE102" s="42">
        <f t="shared" si="73"/>
        <v>3072.4007479236425</v>
      </c>
      <c r="AF102" s="42">
        <f t="shared" si="73"/>
        <v>6144.801495847285</v>
      </c>
      <c r="AG102" s="42">
        <f t="shared" si="73"/>
        <v>12289.60299169457</v>
      </c>
      <c r="AH102" s="42">
        <f t="shared" si="73"/>
        <v>24579.20598338914</v>
      </c>
      <c r="AI102" s="42">
        <f t="shared" si="73"/>
        <v>49158.41196677828</v>
      </c>
      <c r="AJ102" s="83">
        <f t="shared" si="73"/>
        <v>98316.823933556559</v>
      </c>
      <c r="AK102" s="42">
        <f t="shared" si="73"/>
        <v>196633.64786711312</v>
      </c>
      <c r="AL102" s="83">
        <f t="shared" si="73"/>
        <v>307648.12801669788</v>
      </c>
      <c r="AM102" s="57"/>
    </row>
    <row r="103" spans="1:39" x14ac:dyDescent="0.25">
      <c r="A103" s="53" t="s">
        <v>14</v>
      </c>
      <c r="B103" s="18">
        <f>'ABS Population by Age Range'!D97</f>
        <v>7.065336711718416E-2</v>
      </c>
      <c r="C103" s="22">
        <f t="shared" ref="C103:C117" si="74">$B$55*B103</f>
        <v>1811128.4126818988</v>
      </c>
      <c r="D103" s="35">
        <f>'AU Infection Rate by Age'!E7</f>
        <v>5.9616471713701789E-2</v>
      </c>
      <c r="E103" s="36"/>
      <c r="F103" s="36"/>
      <c r="G103" s="29"/>
      <c r="H103" s="28"/>
      <c r="I103" s="32">
        <f t="shared" ref="I103:AL103" si="75">I$69*$D$103</f>
        <v>1.863014741053181</v>
      </c>
      <c r="J103" s="33">
        <f t="shared" si="75"/>
        <v>3.726029482106362</v>
      </c>
      <c r="K103" s="33">
        <f t="shared" si="75"/>
        <v>7.452058964212724</v>
      </c>
      <c r="L103" s="33">
        <f t="shared" si="75"/>
        <v>14.904117928425448</v>
      </c>
      <c r="M103" s="33">
        <f t="shared" si="75"/>
        <v>29.808235856850896</v>
      </c>
      <c r="N103" s="33">
        <f t="shared" si="75"/>
        <v>59.616471713701792</v>
      </c>
      <c r="O103" s="33">
        <f t="shared" si="75"/>
        <v>119.23294342740358</v>
      </c>
      <c r="P103" s="33">
        <f t="shared" si="75"/>
        <v>238.46588685480717</v>
      </c>
      <c r="Q103" s="33">
        <f t="shared" si="75"/>
        <v>357.69883028221074</v>
      </c>
      <c r="R103" s="33">
        <f t="shared" si="75"/>
        <v>393.46871331043184</v>
      </c>
      <c r="S103" s="33">
        <f t="shared" si="75"/>
        <v>417.31530199591253</v>
      </c>
      <c r="T103" s="33">
        <f t="shared" si="75"/>
        <v>441.16189068139323</v>
      </c>
      <c r="U103" s="33">
        <f t="shared" si="75"/>
        <v>465.00847936687398</v>
      </c>
      <c r="V103" s="33">
        <f t="shared" si="75"/>
        <v>476.93177370961433</v>
      </c>
      <c r="W103" s="33">
        <f t="shared" si="75"/>
        <v>572.31812845153718</v>
      </c>
      <c r="X103" s="33">
        <f t="shared" si="75"/>
        <v>667.70448319346008</v>
      </c>
      <c r="Y103" s="33">
        <f t="shared" si="75"/>
        <v>763.09083793538286</v>
      </c>
      <c r="Z103" s="33">
        <f t="shared" si="75"/>
        <v>858.47719267730577</v>
      </c>
      <c r="AA103" s="33">
        <f t="shared" si="75"/>
        <v>953.86354741922867</v>
      </c>
      <c r="AB103" s="33">
        <f t="shared" si="75"/>
        <v>1907.7270948384573</v>
      </c>
      <c r="AC103" s="33">
        <f t="shared" si="75"/>
        <v>3815.4541896769147</v>
      </c>
      <c r="AD103" s="33">
        <f t="shared" si="75"/>
        <v>7630.9083793538293</v>
      </c>
      <c r="AE103" s="33">
        <f t="shared" si="75"/>
        <v>15261.816758707659</v>
      </c>
      <c r="AF103" s="33">
        <f t="shared" si="75"/>
        <v>30523.633517415317</v>
      </c>
      <c r="AG103" s="33">
        <f t="shared" si="75"/>
        <v>61047.267034830635</v>
      </c>
      <c r="AH103" s="33">
        <f t="shared" si="75"/>
        <v>122094.53406966127</v>
      </c>
      <c r="AI103" s="33">
        <f t="shared" si="75"/>
        <v>244189.06813932254</v>
      </c>
      <c r="AJ103" s="84">
        <f t="shared" si="75"/>
        <v>488378.13627864508</v>
      </c>
      <c r="AK103" s="33">
        <f t="shared" si="75"/>
        <v>976756.27255729015</v>
      </c>
      <c r="AL103" s="84">
        <f t="shared" si="75"/>
        <v>1528208.6359090316</v>
      </c>
      <c r="AM103" s="57"/>
    </row>
    <row r="104" spans="1:39" x14ac:dyDescent="0.25">
      <c r="A104" s="53"/>
      <c r="B104" s="18"/>
      <c r="C104" s="22"/>
      <c r="D104" s="20"/>
      <c r="E104" s="27"/>
      <c r="F104" s="27"/>
      <c r="G104" s="39">
        <f>'AU Infection Rate by Age'!F21</f>
        <v>6.1998541210795038E-2</v>
      </c>
      <c r="H104" s="22"/>
      <c r="I104" s="41">
        <f t="shared" ref="I104:AL104" si="76">I$69*$D$103*$G$104</f>
        <v>0.11550419619950429</v>
      </c>
      <c r="J104" s="42">
        <f t="shared" si="76"/>
        <v>0.23100839239900858</v>
      </c>
      <c r="K104" s="42">
        <f t="shared" si="76"/>
        <v>0.46201678479801717</v>
      </c>
      <c r="L104" s="42">
        <f t="shared" si="76"/>
        <v>0.92403356959603433</v>
      </c>
      <c r="M104" s="42">
        <f t="shared" si="76"/>
        <v>1.8480671391920687</v>
      </c>
      <c r="N104" s="42">
        <f t="shared" si="76"/>
        <v>3.6961342783841373</v>
      </c>
      <c r="O104" s="42">
        <f t="shared" si="76"/>
        <v>7.3922685567682747</v>
      </c>
      <c r="P104" s="42">
        <f t="shared" si="76"/>
        <v>14.784537113536549</v>
      </c>
      <c r="Q104" s="42">
        <f t="shared" si="76"/>
        <v>22.176805670304823</v>
      </c>
      <c r="R104" s="42">
        <f t="shared" si="76"/>
        <v>24.394486237335308</v>
      </c>
      <c r="S104" s="42">
        <f t="shared" si="76"/>
        <v>25.872939948688959</v>
      </c>
      <c r="T104" s="42">
        <f t="shared" si="76"/>
        <v>27.351393660042614</v>
      </c>
      <c r="U104" s="42">
        <f t="shared" si="76"/>
        <v>28.829847371396273</v>
      </c>
      <c r="V104" s="42">
        <f t="shared" si="76"/>
        <v>29.569074227073099</v>
      </c>
      <c r="W104" s="42">
        <f t="shared" si="76"/>
        <v>35.482889072487716</v>
      </c>
      <c r="X104" s="42">
        <f t="shared" si="76"/>
        <v>41.396703917902336</v>
      </c>
      <c r="Y104" s="42">
        <f t="shared" si="76"/>
        <v>47.310518763316949</v>
      </c>
      <c r="Z104" s="42">
        <f t="shared" si="76"/>
        <v>53.224333608731577</v>
      </c>
      <c r="AA104" s="42">
        <f t="shared" si="76"/>
        <v>59.138148454146197</v>
      </c>
      <c r="AB104" s="42">
        <f t="shared" si="76"/>
        <v>118.27629690829239</v>
      </c>
      <c r="AC104" s="42">
        <f t="shared" si="76"/>
        <v>236.55259381658479</v>
      </c>
      <c r="AD104" s="42">
        <f t="shared" si="76"/>
        <v>473.10518763316958</v>
      </c>
      <c r="AE104" s="42">
        <f t="shared" si="76"/>
        <v>946.21037526633916</v>
      </c>
      <c r="AF104" s="42">
        <f t="shared" si="76"/>
        <v>1892.4207505326783</v>
      </c>
      <c r="AG104" s="42">
        <f t="shared" si="76"/>
        <v>3784.8415010653566</v>
      </c>
      <c r="AH104" s="42">
        <f t="shared" si="76"/>
        <v>7569.6830021307132</v>
      </c>
      <c r="AI104" s="42">
        <f t="shared" si="76"/>
        <v>15139.366004261426</v>
      </c>
      <c r="AJ104" s="83">
        <f t="shared" si="76"/>
        <v>30278.732008522853</v>
      </c>
      <c r="AK104" s="42">
        <f t="shared" si="76"/>
        <v>60557.464017045706</v>
      </c>
      <c r="AL104" s="83">
        <f t="shared" si="76"/>
        <v>94746.706092098961</v>
      </c>
      <c r="AM104" s="57"/>
    </row>
    <row r="105" spans="1:39" x14ac:dyDescent="0.25">
      <c r="A105" s="53" t="s">
        <v>15</v>
      </c>
      <c r="B105" s="18">
        <f>'ABS Population by Age Range'!D85</f>
        <v>0.10301766910746854</v>
      </c>
      <c r="C105" s="22">
        <f t="shared" si="74"/>
        <v>2640754.9299008488</v>
      </c>
      <c r="D105" s="35">
        <f>'AU Infection Rate by Age'!E8</f>
        <v>9.0272644257946691E-2</v>
      </c>
      <c r="E105" s="36"/>
      <c r="F105" s="36"/>
      <c r="G105" s="29"/>
      <c r="H105" s="22"/>
      <c r="I105" s="32">
        <f t="shared" ref="I105:AL105" si="77">I$69*$D$105</f>
        <v>2.8210201330608342</v>
      </c>
      <c r="J105" s="33">
        <f t="shared" si="77"/>
        <v>5.6420402661216684</v>
      </c>
      <c r="K105" s="33">
        <f t="shared" si="77"/>
        <v>11.284080532243337</v>
      </c>
      <c r="L105" s="33">
        <f t="shared" si="77"/>
        <v>22.568161064486674</v>
      </c>
      <c r="M105" s="33">
        <f t="shared" si="77"/>
        <v>45.136322128973347</v>
      </c>
      <c r="N105" s="33">
        <f t="shared" si="77"/>
        <v>90.272644257946695</v>
      </c>
      <c r="O105" s="33">
        <f t="shared" si="77"/>
        <v>180.54528851589339</v>
      </c>
      <c r="P105" s="33">
        <f t="shared" si="77"/>
        <v>361.09057703178678</v>
      </c>
      <c r="Q105" s="33">
        <f t="shared" si="77"/>
        <v>541.63586554768017</v>
      </c>
      <c r="R105" s="33">
        <f t="shared" si="77"/>
        <v>595.79945210244819</v>
      </c>
      <c r="S105" s="33">
        <f t="shared" si="77"/>
        <v>631.90850980562686</v>
      </c>
      <c r="T105" s="33">
        <f t="shared" si="77"/>
        <v>668.01756750880554</v>
      </c>
      <c r="U105" s="33">
        <f t="shared" si="77"/>
        <v>704.12662521198422</v>
      </c>
      <c r="V105" s="33">
        <f t="shared" si="77"/>
        <v>722.18115406357356</v>
      </c>
      <c r="W105" s="33">
        <f t="shared" si="77"/>
        <v>866.61738487628827</v>
      </c>
      <c r="X105" s="33">
        <f t="shared" si="77"/>
        <v>1011.053615689003</v>
      </c>
      <c r="Y105" s="33">
        <f t="shared" si="77"/>
        <v>1155.4898465017177</v>
      </c>
      <c r="Z105" s="33">
        <f t="shared" si="77"/>
        <v>1299.9260773144324</v>
      </c>
      <c r="AA105" s="33">
        <f t="shared" si="77"/>
        <v>1444.3623081271471</v>
      </c>
      <c r="AB105" s="33">
        <f t="shared" si="77"/>
        <v>2888.7246162542942</v>
      </c>
      <c r="AC105" s="33">
        <f t="shared" si="77"/>
        <v>5777.4492325085885</v>
      </c>
      <c r="AD105" s="33">
        <f t="shared" si="77"/>
        <v>11554.898465017177</v>
      </c>
      <c r="AE105" s="33">
        <f t="shared" si="77"/>
        <v>23109.796930034354</v>
      </c>
      <c r="AF105" s="33">
        <f t="shared" si="77"/>
        <v>46219.593860068708</v>
      </c>
      <c r="AG105" s="33">
        <f t="shared" si="77"/>
        <v>92439.187720137415</v>
      </c>
      <c r="AH105" s="33">
        <f t="shared" si="77"/>
        <v>184878.37544027483</v>
      </c>
      <c r="AI105" s="33">
        <f t="shared" si="77"/>
        <v>369756.75088054966</v>
      </c>
      <c r="AJ105" s="84">
        <f t="shared" si="77"/>
        <v>739513.50176109932</v>
      </c>
      <c r="AK105" s="33">
        <f t="shared" si="77"/>
        <v>1479027.0035221986</v>
      </c>
      <c r="AL105" s="84">
        <f t="shared" si="77"/>
        <v>2314048.9629082056</v>
      </c>
      <c r="AM105" s="57"/>
    </row>
    <row r="106" spans="1:39" x14ac:dyDescent="0.25">
      <c r="A106" s="53"/>
      <c r="B106" s="18"/>
      <c r="C106" s="22"/>
      <c r="D106" s="20"/>
      <c r="E106" s="27"/>
      <c r="F106" s="27"/>
      <c r="G106" s="39">
        <f>'AU Infection Rate by Age'!F22</f>
        <v>8.670520231213872E-3</v>
      </c>
      <c r="H106" s="22"/>
      <c r="I106" s="41">
        <f t="shared" ref="I106:AL106" si="78">I$69*$D$105*$G$106</f>
        <v>2.4459712136365611E-2</v>
      </c>
      <c r="J106" s="42">
        <f t="shared" si="78"/>
        <v>4.8919424272731223E-2</v>
      </c>
      <c r="K106" s="42">
        <f t="shared" si="78"/>
        <v>9.7838848545462445E-2</v>
      </c>
      <c r="L106" s="42">
        <f t="shared" si="78"/>
        <v>0.19567769709092489</v>
      </c>
      <c r="M106" s="42">
        <f t="shared" si="78"/>
        <v>0.39135539418184978</v>
      </c>
      <c r="N106" s="42">
        <f t="shared" si="78"/>
        <v>0.78271078836369956</v>
      </c>
      <c r="O106" s="42">
        <f t="shared" si="78"/>
        <v>1.5654215767273991</v>
      </c>
      <c r="P106" s="42">
        <f t="shared" si="78"/>
        <v>3.1308431534547982</v>
      </c>
      <c r="Q106" s="42">
        <f t="shared" si="78"/>
        <v>4.6962647301821976</v>
      </c>
      <c r="R106" s="42">
        <f t="shared" si="78"/>
        <v>5.1658912032004176</v>
      </c>
      <c r="S106" s="42">
        <f t="shared" si="78"/>
        <v>5.478975518545897</v>
      </c>
      <c r="T106" s="42">
        <f t="shared" si="78"/>
        <v>5.7920598338913774</v>
      </c>
      <c r="U106" s="42">
        <f t="shared" si="78"/>
        <v>6.1051441492368568</v>
      </c>
      <c r="V106" s="42">
        <f t="shared" si="78"/>
        <v>6.2616863069095965</v>
      </c>
      <c r="W106" s="42">
        <f t="shared" si="78"/>
        <v>7.514023568291516</v>
      </c>
      <c r="X106" s="42">
        <f t="shared" si="78"/>
        <v>8.7663608296734346</v>
      </c>
      <c r="Y106" s="42">
        <f t="shared" si="78"/>
        <v>10.018698091055354</v>
      </c>
      <c r="Z106" s="42">
        <f t="shared" si="78"/>
        <v>11.271035352437274</v>
      </c>
      <c r="AA106" s="42">
        <f t="shared" si="78"/>
        <v>12.523372613819193</v>
      </c>
      <c r="AB106" s="42">
        <f t="shared" si="78"/>
        <v>25.046745227638386</v>
      </c>
      <c r="AC106" s="42">
        <f t="shared" si="78"/>
        <v>50.093490455276772</v>
      </c>
      <c r="AD106" s="42">
        <f t="shared" si="78"/>
        <v>100.18698091055354</v>
      </c>
      <c r="AE106" s="42">
        <f t="shared" si="78"/>
        <v>200.37396182110709</v>
      </c>
      <c r="AF106" s="42">
        <f t="shared" si="78"/>
        <v>400.74792364221418</v>
      </c>
      <c r="AG106" s="42">
        <f t="shared" si="78"/>
        <v>801.49584728442835</v>
      </c>
      <c r="AH106" s="42">
        <f t="shared" si="78"/>
        <v>1602.9916945688567</v>
      </c>
      <c r="AI106" s="42">
        <f t="shared" si="78"/>
        <v>3205.9833891377134</v>
      </c>
      <c r="AJ106" s="83">
        <f t="shared" si="78"/>
        <v>6411.9667782754268</v>
      </c>
      <c r="AK106" s="42">
        <f t="shared" si="78"/>
        <v>12823.933556550854</v>
      </c>
      <c r="AL106" s="83">
        <f t="shared" si="78"/>
        <v>20064.008348915075</v>
      </c>
      <c r="AM106" s="57"/>
    </row>
    <row r="107" spans="1:39" x14ac:dyDescent="0.25">
      <c r="A107" s="53" t="s">
        <v>16</v>
      </c>
      <c r="B107" s="18">
        <f>'ABS Population by Age Range'!D73</f>
        <v>0.12142789925761971</v>
      </c>
      <c r="C107" s="22">
        <f t="shared" si="74"/>
        <v>3112682.7695698235</v>
      </c>
      <c r="D107" s="35">
        <f>'AU Infection Rate by Age'!E9</f>
        <v>0.12162455972518155</v>
      </c>
      <c r="E107" s="36"/>
      <c r="F107" s="36"/>
      <c r="G107" s="29"/>
      <c r="H107" s="22"/>
      <c r="I107" s="32">
        <f t="shared" ref="I107:AL107" si="79">I$69*$D$107</f>
        <v>3.8007674914119232</v>
      </c>
      <c r="J107" s="33">
        <f t="shared" si="79"/>
        <v>7.6015349828238463</v>
      </c>
      <c r="K107" s="33">
        <f t="shared" si="79"/>
        <v>15.203069965647693</v>
      </c>
      <c r="L107" s="33">
        <f t="shared" si="79"/>
        <v>30.406139931295385</v>
      </c>
      <c r="M107" s="33">
        <f t="shared" si="79"/>
        <v>60.812279862590771</v>
      </c>
      <c r="N107" s="33">
        <f t="shared" si="79"/>
        <v>121.62455972518154</v>
      </c>
      <c r="O107" s="33">
        <f t="shared" si="79"/>
        <v>243.24911945036308</v>
      </c>
      <c r="P107" s="33">
        <f t="shared" si="79"/>
        <v>486.49823890072616</v>
      </c>
      <c r="Q107" s="33">
        <f t="shared" si="79"/>
        <v>729.74735835108925</v>
      </c>
      <c r="R107" s="33">
        <f t="shared" si="79"/>
        <v>802.72209418619821</v>
      </c>
      <c r="S107" s="33">
        <f t="shared" si="79"/>
        <v>851.37191807627084</v>
      </c>
      <c r="T107" s="33">
        <f t="shared" si="79"/>
        <v>900.02174196634348</v>
      </c>
      <c r="U107" s="33">
        <f t="shared" si="79"/>
        <v>948.67156585641601</v>
      </c>
      <c r="V107" s="33">
        <f t="shared" si="79"/>
        <v>972.99647780145233</v>
      </c>
      <c r="W107" s="33">
        <f t="shared" si="79"/>
        <v>1167.5957733617429</v>
      </c>
      <c r="X107" s="33">
        <f t="shared" si="79"/>
        <v>1362.1950689220332</v>
      </c>
      <c r="Y107" s="33">
        <f t="shared" si="79"/>
        <v>1556.7943644823238</v>
      </c>
      <c r="Z107" s="33">
        <f t="shared" si="79"/>
        <v>1751.3936600426143</v>
      </c>
      <c r="AA107" s="33">
        <f t="shared" si="79"/>
        <v>1945.9929556029047</v>
      </c>
      <c r="AB107" s="33">
        <f t="shared" si="79"/>
        <v>3891.9859112058093</v>
      </c>
      <c r="AC107" s="33">
        <f t="shared" si="79"/>
        <v>7783.9718224116186</v>
      </c>
      <c r="AD107" s="33">
        <f t="shared" si="79"/>
        <v>15567.943644823237</v>
      </c>
      <c r="AE107" s="33">
        <f t="shared" si="79"/>
        <v>31135.887289646475</v>
      </c>
      <c r="AF107" s="33">
        <f t="shared" si="79"/>
        <v>62271.774579292949</v>
      </c>
      <c r="AG107" s="33">
        <f t="shared" si="79"/>
        <v>124543.5491585859</v>
      </c>
      <c r="AH107" s="33">
        <f t="shared" si="79"/>
        <v>249087.0983171718</v>
      </c>
      <c r="AI107" s="33">
        <f t="shared" si="79"/>
        <v>498174.19663434359</v>
      </c>
      <c r="AJ107" s="84">
        <f t="shared" si="79"/>
        <v>996348.39326868718</v>
      </c>
      <c r="AK107" s="33">
        <f t="shared" si="79"/>
        <v>1992696.7865373744</v>
      </c>
      <c r="AL107" s="84">
        <f t="shared" si="79"/>
        <v>3117723.963995304</v>
      </c>
      <c r="AM107" s="57"/>
    </row>
    <row r="108" spans="1:39" x14ac:dyDescent="0.25">
      <c r="A108" s="53"/>
      <c r="B108" s="18"/>
      <c r="C108" s="22"/>
      <c r="D108" s="20"/>
      <c r="E108" s="27"/>
      <c r="F108" s="27"/>
      <c r="G108" s="39">
        <f>'AU Infection Rate by Age'!F23</f>
        <v>4.2903110475509473E-3</v>
      </c>
      <c r="H108" s="22"/>
      <c r="I108" s="41">
        <f t="shared" ref="I108:AL108" si="80">I$69*$D$107*$G$108</f>
        <v>1.6306474757577075E-2</v>
      </c>
      <c r="J108" s="42">
        <f t="shared" si="80"/>
        <v>3.2612949515154151E-2</v>
      </c>
      <c r="K108" s="42">
        <f t="shared" si="80"/>
        <v>6.5225899030308301E-2</v>
      </c>
      <c r="L108" s="42">
        <f t="shared" si="80"/>
        <v>0.1304517980606166</v>
      </c>
      <c r="M108" s="42">
        <f t="shared" si="80"/>
        <v>0.26090359612123321</v>
      </c>
      <c r="N108" s="42">
        <f t="shared" si="80"/>
        <v>0.52180719224246641</v>
      </c>
      <c r="O108" s="42">
        <f t="shared" si="80"/>
        <v>1.0436143844849328</v>
      </c>
      <c r="P108" s="42">
        <f t="shared" si="80"/>
        <v>2.0872287689698656</v>
      </c>
      <c r="Q108" s="42">
        <f t="shared" si="80"/>
        <v>3.1308431534547982</v>
      </c>
      <c r="R108" s="42">
        <f t="shared" si="80"/>
        <v>3.4439274688002781</v>
      </c>
      <c r="S108" s="42">
        <f t="shared" si="80"/>
        <v>3.652650345697265</v>
      </c>
      <c r="T108" s="42">
        <f t="shared" si="80"/>
        <v>3.8613732225942514</v>
      </c>
      <c r="U108" s="42">
        <f t="shared" si="80"/>
        <v>4.0700960994912379</v>
      </c>
      <c r="V108" s="42">
        <f t="shared" si="80"/>
        <v>4.1744575379397313</v>
      </c>
      <c r="W108" s="42">
        <f t="shared" si="80"/>
        <v>5.0093490455276779</v>
      </c>
      <c r="X108" s="42">
        <f t="shared" si="80"/>
        <v>5.8442405531156236</v>
      </c>
      <c r="Y108" s="42">
        <f t="shared" si="80"/>
        <v>6.6791320607035702</v>
      </c>
      <c r="Z108" s="42">
        <f t="shared" si="80"/>
        <v>7.5140235682915169</v>
      </c>
      <c r="AA108" s="42">
        <f t="shared" si="80"/>
        <v>8.3489150758794626</v>
      </c>
      <c r="AB108" s="42">
        <f t="shared" si="80"/>
        <v>16.697830151758925</v>
      </c>
      <c r="AC108" s="42">
        <f t="shared" si="80"/>
        <v>33.39566030351785</v>
      </c>
      <c r="AD108" s="42">
        <f t="shared" si="80"/>
        <v>66.791320607035701</v>
      </c>
      <c r="AE108" s="42">
        <f t="shared" si="80"/>
        <v>133.5826412140714</v>
      </c>
      <c r="AF108" s="42">
        <f t="shared" si="80"/>
        <v>267.1652824281428</v>
      </c>
      <c r="AG108" s="42">
        <f t="shared" si="80"/>
        <v>534.3305648562856</v>
      </c>
      <c r="AH108" s="42">
        <f t="shared" si="80"/>
        <v>1068.6611297125712</v>
      </c>
      <c r="AI108" s="42">
        <f t="shared" si="80"/>
        <v>2137.3222594251424</v>
      </c>
      <c r="AJ108" s="83">
        <f t="shared" si="80"/>
        <v>4274.6445188502848</v>
      </c>
      <c r="AK108" s="42">
        <f t="shared" si="80"/>
        <v>8549.2890377005697</v>
      </c>
      <c r="AL108" s="83">
        <f t="shared" si="80"/>
        <v>13376.005565943384</v>
      </c>
      <c r="AM108" s="57"/>
    </row>
    <row r="109" spans="1:39" x14ac:dyDescent="0.25">
      <c r="A109" s="53" t="s">
        <v>17</v>
      </c>
      <c r="B109" s="18">
        <f>'ABS Population by Age Range'!D61</f>
        <v>0.12908272398046944</v>
      </c>
      <c r="C109" s="22">
        <f t="shared" si="74"/>
        <v>3308906.5465153535</v>
      </c>
      <c r="D109" s="35">
        <f>'AU Infection Rate by Age'!E10</f>
        <v>0.12901682828194982</v>
      </c>
      <c r="E109" s="36"/>
      <c r="F109" s="36"/>
      <c r="G109" s="29"/>
      <c r="H109" s="22"/>
      <c r="I109" s="32">
        <f t="shared" ref="I109:AL109" si="81">I$69*$D$109</f>
        <v>4.0317758838109317</v>
      </c>
      <c r="J109" s="33">
        <f t="shared" si="81"/>
        <v>8.0635517676218633</v>
      </c>
      <c r="K109" s="33">
        <f t="shared" si="81"/>
        <v>16.127103535243727</v>
      </c>
      <c r="L109" s="33">
        <f t="shared" si="81"/>
        <v>32.254207070487453</v>
      </c>
      <c r="M109" s="33">
        <f t="shared" si="81"/>
        <v>64.508414140974907</v>
      </c>
      <c r="N109" s="33">
        <f t="shared" si="81"/>
        <v>129.01682828194981</v>
      </c>
      <c r="O109" s="33">
        <f t="shared" si="81"/>
        <v>258.03365656389963</v>
      </c>
      <c r="P109" s="33">
        <f t="shared" si="81"/>
        <v>516.06731312779925</v>
      </c>
      <c r="Q109" s="33">
        <f t="shared" si="81"/>
        <v>774.10096969169899</v>
      </c>
      <c r="R109" s="33">
        <f t="shared" si="81"/>
        <v>851.51106666086889</v>
      </c>
      <c r="S109" s="33">
        <f t="shared" si="81"/>
        <v>903.11779797364875</v>
      </c>
      <c r="T109" s="33">
        <f t="shared" si="81"/>
        <v>954.72452928642872</v>
      </c>
      <c r="U109" s="33">
        <f t="shared" si="81"/>
        <v>1006.3312605992086</v>
      </c>
      <c r="V109" s="33">
        <f t="shared" si="81"/>
        <v>1032.1346262555985</v>
      </c>
      <c r="W109" s="33">
        <f t="shared" si="81"/>
        <v>1238.5615515067184</v>
      </c>
      <c r="X109" s="33">
        <f t="shared" si="81"/>
        <v>1444.988476757838</v>
      </c>
      <c r="Y109" s="33">
        <f t="shared" si="81"/>
        <v>1651.4154020089577</v>
      </c>
      <c r="Z109" s="33">
        <f t="shared" si="81"/>
        <v>1857.8423272600776</v>
      </c>
      <c r="AA109" s="33">
        <f t="shared" si="81"/>
        <v>2064.269252511197</v>
      </c>
      <c r="AB109" s="33">
        <f t="shared" si="81"/>
        <v>4128.538505022394</v>
      </c>
      <c r="AC109" s="33">
        <f t="shared" si="81"/>
        <v>8257.077010044788</v>
      </c>
      <c r="AD109" s="33">
        <f t="shared" si="81"/>
        <v>16514.154020089576</v>
      </c>
      <c r="AE109" s="33">
        <f t="shared" si="81"/>
        <v>33028.308040179152</v>
      </c>
      <c r="AF109" s="33">
        <f t="shared" si="81"/>
        <v>66056.616080358304</v>
      </c>
      <c r="AG109" s="33">
        <f t="shared" si="81"/>
        <v>132113.23216071661</v>
      </c>
      <c r="AH109" s="33">
        <f t="shared" si="81"/>
        <v>264226.46432143322</v>
      </c>
      <c r="AI109" s="33">
        <f t="shared" si="81"/>
        <v>528452.92864286643</v>
      </c>
      <c r="AJ109" s="84">
        <f t="shared" si="81"/>
        <v>1056905.8572857329</v>
      </c>
      <c r="AK109" s="33">
        <f t="shared" si="81"/>
        <v>2113811.7145714657</v>
      </c>
      <c r="AL109" s="84">
        <f t="shared" si="81"/>
        <v>3307217.3761795019</v>
      </c>
      <c r="AM109" s="57"/>
    </row>
    <row r="110" spans="1:39" x14ac:dyDescent="0.25">
      <c r="A110" s="53"/>
      <c r="B110" s="18"/>
      <c r="C110" s="22"/>
      <c r="D110" s="20"/>
      <c r="E110" s="27"/>
      <c r="F110" s="27"/>
      <c r="G110" s="39">
        <f>'AU Infection Rate by Age'!F24</f>
        <v>6.740815638692282E-4</v>
      </c>
      <c r="H110" s="22"/>
      <c r="I110" s="41">
        <f t="shared" ref="I110:AL110" si="82">I$69*$D$109*$G$110</f>
        <v>2.7177457929295126E-3</v>
      </c>
      <c r="J110" s="42">
        <f t="shared" si="82"/>
        <v>5.4354915858590251E-3</v>
      </c>
      <c r="K110" s="42">
        <f t="shared" si="82"/>
        <v>1.087098317171805E-2</v>
      </c>
      <c r="L110" s="42">
        <f t="shared" si="82"/>
        <v>2.17419663434361E-2</v>
      </c>
      <c r="M110" s="42">
        <f t="shared" si="82"/>
        <v>4.3483932686872201E-2</v>
      </c>
      <c r="N110" s="42">
        <f t="shared" si="82"/>
        <v>8.6967865373744402E-2</v>
      </c>
      <c r="O110" s="42">
        <f t="shared" si="82"/>
        <v>0.1739357307474888</v>
      </c>
      <c r="P110" s="42">
        <f t="shared" si="82"/>
        <v>0.34787146149497761</v>
      </c>
      <c r="Q110" s="42">
        <f t="shared" si="82"/>
        <v>0.52180719224246652</v>
      </c>
      <c r="R110" s="42">
        <f t="shared" si="82"/>
        <v>0.57398791146671313</v>
      </c>
      <c r="S110" s="42">
        <f t="shared" si="82"/>
        <v>0.60877505761621087</v>
      </c>
      <c r="T110" s="42">
        <f t="shared" si="82"/>
        <v>0.64356220376570861</v>
      </c>
      <c r="U110" s="42">
        <f t="shared" si="82"/>
        <v>0.67834934991520635</v>
      </c>
      <c r="V110" s="42">
        <f t="shared" si="82"/>
        <v>0.69574292298995521</v>
      </c>
      <c r="W110" s="42">
        <f t="shared" si="82"/>
        <v>0.83489150758794639</v>
      </c>
      <c r="X110" s="42">
        <f t="shared" si="82"/>
        <v>0.97404009218593735</v>
      </c>
      <c r="Y110" s="42">
        <f t="shared" si="82"/>
        <v>1.1131886767839283</v>
      </c>
      <c r="Z110" s="42">
        <f t="shared" si="82"/>
        <v>1.2523372613819195</v>
      </c>
      <c r="AA110" s="42">
        <f t="shared" si="82"/>
        <v>1.3914858459799104</v>
      </c>
      <c r="AB110" s="42">
        <f t="shared" si="82"/>
        <v>2.7829716919598209</v>
      </c>
      <c r="AC110" s="42">
        <f t="shared" si="82"/>
        <v>5.5659433839196417</v>
      </c>
      <c r="AD110" s="42">
        <f t="shared" si="82"/>
        <v>11.131886767839283</v>
      </c>
      <c r="AE110" s="42">
        <f t="shared" si="82"/>
        <v>22.263773535678567</v>
      </c>
      <c r="AF110" s="42">
        <f t="shared" si="82"/>
        <v>44.527547071357134</v>
      </c>
      <c r="AG110" s="42">
        <f t="shared" si="82"/>
        <v>89.055094142714267</v>
      </c>
      <c r="AH110" s="42">
        <f t="shared" si="82"/>
        <v>178.11018828542853</v>
      </c>
      <c r="AI110" s="42">
        <f t="shared" si="82"/>
        <v>356.22037657085707</v>
      </c>
      <c r="AJ110" s="83">
        <f t="shared" si="82"/>
        <v>712.44075314171414</v>
      </c>
      <c r="AK110" s="42">
        <f t="shared" si="82"/>
        <v>1424.8815062834283</v>
      </c>
      <c r="AL110" s="83">
        <f t="shared" si="82"/>
        <v>2229.3342609905644</v>
      </c>
      <c r="AM110" s="57"/>
    </row>
    <row r="111" spans="1:39" x14ac:dyDescent="0.25">
      <c r="A111" s="53" t="s">
        <v>18</v>
      </c>
      <c r="B111" s="18">
        <f>'ABS Population by Age Range'!D49</f>
        <v>0.14481341657950456</v>
      </c>
      <c r="C111" s="22">
        <f t="shared" si="74"/>
        <v>3712147.1205990198</v>
      </c>
      <c r="D111" s="35">
        <f>'AU Infection Rate by Age'!E11</f>
        <v>0.17358785928599382</v>
      </c>
      <c r="E111" s="36"/>
      <c r="F111" s="36"/>
      <c r="G111" s="29"/>
      <c r="H111" s="22"/>
      <c r="I111" s="32">
        <f t="shared" ref="I111:AL111" si="83">I$69*$D$111</f>
        <v>5.4246206026873072</v>
      </c>
      <c r="J111" s="33">
        <f t="shared" si="83"/>
        <v>10.849241205374614</v>
      </c>
      <c r="K111" s="33">
        <f t="shared" si="83"/>
        <v>21.698482410749229</v>
      </c>
      <c r="L111" s="33">
        <f t="shared" si="83"/>
        <v>43.396964821498457</v>
      </c>
      <c r="M111" s="33">
        <f t="shared" si="83"/>
        <v>86.793929642996915</v>
      </c>
      <c r="N111" s="33">
        <f t="shared" si="83"/>
        <v>173.58785928599383</v>
      </c>
      <c r="O111" s="33">
        <f t="shared" si="83"/>
        <v>347.17571857198766</v>
      </c>
      <c r="P111" s="33">
        <f t="shared" si="83"/>
        <v>694.35143714397532</v>
      </c>
      <c r="Q111" s="33">
        <f t="shared" si="83"/>
        <v>1041.5271557159629</v>
      </c>
      <c r="R111" s="33">
        <f t="shared" si="83"/>
        <v>1145.6798712875593</v>
      </c>
      <c r="S111" s="33">
        <f t="shared" si="83"/>
        <v>1215.1150150019569</v>
      </c>
      <c r="T111" s="33">
        <f t="shared" si="83"/>
        <v>1284.5501587163542</v>
      </c>
      <c r="U111" s="33">
        <f t="shared" si="83"/>
        <v>1353.9853024307517</v>
      </c>
      <c r="V111" s="33">
        <f t="shared" si="83"/>
        <v>1388.7028742879506</v>
      </c>
      <c r="W111" s="33">
        <f t="shared" si="83"/>
        <v>1666.4434491455406</v>
      </c>
      <c r="X111" s="33">
        <f t="shared" si="83"/>
        <v>1944.1840240031308</v>
      </c>
      <c r="Y111" s="33">
        <f t="shared" si="83"/>
        <v>2221.9245988607208</v>
      </c>
      <c r="Z111" s="33">
        <f t="shared" si="83"/>
        <v>2499.6651737183111</v>
      </c>
      <c r="AA111" s="33">
        <f t="shared" si="83"/>
        <v>2777.4057485759013</v>
      </c>
      <c r="AB111" s="33">
        <f t="shared" si="83"/>
        <v>5554.8114971518025</v>
      </c>
      <c r="AC111" s="33">
        <f t="shared" si="83"/>
        <v>11109.622994303605</v>
      </c>
      <c r="AD111" s="33">
        <f t="shared" si="83"/>
        <v>22219.24598860721</v>
      </c>
      <c r="AE111" s="33">
        <f t="shared" si="83"/>
        <v>44438.49197721442</v>
      </c>
      <c r="AF111" s="33">
        <f t="shared" si="83"/>
        <v>88876.983954428841</v>
      </c>
      <c r="AG111" s="33">
        <f t="shared" si="83"/>
        <v>177753.96790885768</v>
      </c>
      <c r="AH111" s="33">
        <f t="shared" si="83"/>
        <v>355507.93581771536</v>
      </c>
      <c r="AI111" s="33">
        <f t="shared" si="83"/>
        <v>711015.87163543073</v>
      </c>
      <c r="AJ111" s="84">
        <f t="shared" si="83"/>
        <v>1422031.7432708615</v>
      </c>
      <c r="AK111" s="33">
        <f t="shared" si="83"/>
        <v>2844063.4865417229</v>
      </c>
      <c r="AL111" s="84">
        <f t="shared" si="83"/>
        <v>4449751.1849371661</v>
      </c>
      <c r="AM111" s="57"/>
    </row>
    <row r="112" spans="1:39" x14ac:dyDescent="0.25">
      <c r="A112" s="53"/>
      <c r="B112" s="18"/>
      <c r="C112" s="22"/>
      <c r="D112" s="20"/>
      <c r="E112" s="27"/>
      <c r="F112" s="27"/>
      <c r="G112" s="39">
        <f>'AU Infection Rate by Age'!F25</f>
        <v>5.0100200400801599E-4</v>
      </c>
      <c r="H112" s="22"/>
      <c r="I112" s="41">
        <f t="shared" ref="I112:AL112" si="84">I$69*$D$111*$G$112</f>
        <v>2.7177457929295126E-3</v>
      </c>
      <c r="J112" s="42">
        <f t="shared" si="84"/>
        <v>5.4354915858590251E-3</v>
      </c>
      <c r="K112" s="42">
        <f t="shared" si="84"/>
        <v>1.087098317171805E-2</v>
      </c>
      <c r="L112" s="42">
        <f t="shared" si="84"/>
        <v>2.17419663434361E-2</v>
      </c>
      <c r="M112" s="42">
        <f t="shared" si="84"/>
        <v>4.3483932686872201E-2</v>
      </c>
      <c r="N112" s="42">
        <f t="shared" si="84"/>
        <v>8.6967865373744402E-2</v>
      </c>
      <c r="O112" s="42">
        <f t="shared" si="84"/>
        <v>0.1739357307474888</v>
      </c>
      <c r="P112" s="42">
        <f t="shared" si="84"/>
        <v>0.34787146149497761</v>
      </c>
      <c r="Q112" s="42">
        <f t="shared" si="84"/>
        <v>0.5218071922424663</v>
      </c>
      <c r="R112" s="42">
        <f t="shared" si="84"/>
        <v>0.57398791146671302</v>
      </c>
      <c r="S112" s="42">
        <f t="shared" si="84"/>
        <v>0.60877505761621076</v>
      </c>
      <c r="T112" s="42">
        <f t="shared" si="84"/>
        <v>0.6435622037657085</v>
      </c>
      <c r="U112" s="42">
        <f t="shared" si="84"/>
        <v>0.67834934991520623</v>
      </c>
      <c r="V112" s="42">
        <f t="shared" si="84"/>
        <v>0.69574292298995521</v>
      </c>
      <c r="W112" s="42">
        <f t="shared" si="84"/>
        <v>0.83489150758794617</v>
      </c>
      <c r="X112" s="42">
        <f t="shared" si="84"/>
        <v>0.97404009218593723</v>
      </c>
      <c r="Y112" s="42">
        <f t="shared" si="84"/>
        <v>1.1131886767839281</v>
      </c>
      <c r="Z112" s="42">
        <f t="shared" si="84"/>
        <v>1.2523372613819193</v>
      </c>
      <c r="AA112" s="42">
        <f t="shared" si="84"/>
        <v>1.3914858459799104</v>
      </c>
      <c r="AB112" s="42">
        <f t="shared" si="84"/>
        <v>2.7829716919598209</v>
      </c>
      <c r="AC112" s="42">
        <f t="shared" si="84"/>
        <v>5.5659433839196417</v>
      </c>
      <c r="AD112" s="42">
        <f t="shared" si="84"/>
        <v>11.131886767839283</v>
      </c>
      <c r="AE112" s="42">
        <f t="shared" si="84"/>
        <v>22.263773535678567</v>
      </c>
      <c r="AF112" s="42">
        <f t="shared" si="84"/>
        <v>44.527547071357134</v>
      </c>
      <c r="AG112" s="42">
        <f t="shared" si="84"/>
        <v>89.055094142714267</v>
      </c>
      <c r="AH112" s="42">
        <f t="shared" si="84"/>
        <v>178.11018828542853</v>
      </c>
      <c r="AI112" s="42">
        <f t="shared" si="84"/>
        <v>356.22037657085707</v>
      </c>
      <c r="AJ112" s="83">
        <f t="shared" si="84"/>
        <v>712.44075314171414</v>
      </c>
      <c r="AK112" s="42">
        <f t="shared" si="84"/>
        <v>1424.8815062834283</v>
      </c>
      <c r="AL112" s="83">
        <f t="shared" si="84"/>
        <v>2229.334260990564</v>
      </c>
      <c r="AM112" s="57"/>
    </row>
    <row r="113" spans="1:39" x14ac:dyDescent="0.25">
      <c r="A113" s="53" t="s">
        <v>19</v>
      </c>
      <c r="B113" s="18">
        <f>'ABS Population by Age Range'!D37</f>
        <v>0.14458334093878666</v>
      </c>
      <c r="C113" s="22">
        <f t="shared" si="74"/>
        <v>3706249.3616248574</v>
      </c>
      <c r="D113" s="35">
        <f>'AU Infection Rate by Age'!E12</f>
        <v>0.2280732269426447</v>
      </c>
      <c r="E113" s="36"/>
      <c r="F113" s="36"/>
      <c r="G113" s="29"/>
      <c r="H113" s="22"/>
      <c r="I113" s="32">
        <f t="shared" ref="I113:AL113" si="85">I$69*$D$113</f>
        <v>7.1272883419576472</v>
      </c>
      <c r="J113" s="33">
        <f t="shared" si="85"/>
        <v>14.254576683915294</v>
      </c>
      <c r="K113" s="33">
        <f t="shared" si="85"/>
        <v>28.509153367830589</v>
      </c>
      <c r="L113" s="33">
        <f t="shared" si="85"/>
        <v>57.018306735661177</v>
      </c>
      <c r="M113" s="33">
        <f t="shared" si="85"/>
        <v>114.03661347132235</v>
      </c>
      <c r="N113" s="33">
        <f t="shared" si="85"/>
        <v>228.07322694264471</v>
      </c>
      <c r="O113" s="33">
        <f t="shared" si="85"/>
        <v>456.14645388528942</v>
      </c>
      <c r="P113" s="33">
        <f t="shared" si="85"/>
        <v>912.29290777057884</v>
      </c>
      <c r="Q113" s="33">
        <f t="shared" si="85"/>
        <v>1368.4393616558682</v>
      </c>
      <c r="R113" s="33">
        <f t="shared" si="85"/>
        <v>1505.2832978214551</v>
      </c>
      <c r="S113" s="33">
        <f t="shared" si="85"/>
        <v>1596.5125885985128</v>
      </c>
      <c r="T113" s="33">
        <f t="shared" si="85"/>
        <v>1687.7418793755708</v>
      </c>
      <c r="U113" s="33">
        <f t="shared" si="85"/>
        <v>1778.9711701526287</v>
      </c>
      <c r="V113" s="33">
        <f t="shared" si="85"/>
        <v>1824.5858155411577</v>
      </c>
      <c r="W113" s="33">
        <f t="shared" si="85"/>
        <v>2189.5029786493892</v>
      </c>
      <c r="X113" s="33">
        <f t="shared" si="85"/>
        <v>2554.4201417576205</v>
      </c>
      <c r="Y113" s="33">
        <f t="shared" si="85"/>
        <v>2919.3373048658523</v>
      </c>
      <c r="Z113" s="33">
        <f t="shared" si="85"/>
        <v>3284.2544679740836</v>
      </c>
      <c r="AA113" s="33">
        <f t="shared" si="85"/>
        <v>3649.1716310823153</v>
      </c>
      <c r="AB113" s="33">
        <f t="shared" si="85"/>
        <v>7298.3432621646307</v>
      </c>
      <c r="AC113" s="33">
        <f t="shared" si="85"/>
        <v>14596.686524329261</v>
      </c>
      <c r="AD113" s="33">
        <f t="shared" si="85"/>
        <v>29193.373048658523</v>
      </c>
      <c r="AE113" s="33">
        <f t="shared" si="85"/>
        <v>58386.746097317045</v>
      </c>
      <c r="AF113" s="33">
        <f t="shared" si="85"/>
        <v>116773.49219463409</v>
      </c>
      <c r="AG113" s="33">
        <f t="shared" si="85"/>
        <v>233546.98438926818</v>
      </c>
      <c r="AH113" s="33">
        <f t="shared" si="85"/>
        <v>467093.96877853636</v>
      </c>
      <c r="AI113" s="33">
        <f t="shared" si="85"/>
        <v>934187.93755707273</v>
      </c>
      <c r="AJ113" s="84">
        <f t="shared" si="85"/>
        <v>1868375.8751141455</v>
      </c>
      <c r="AK113" s="33">
        <f t="shared" si="85"/>
        <v>3736751.7502282909</v>
      </c>
      <c r="AL113" s="84">
        <f t="shared" si="85"/>
        <v>5846429.0994477542</v>
      </c>
      <c r="AM113" s="57"/>
    </row>
    <row r="114" spans="1:39" x14ac:dyDescent="0.25">
      <c r="A114" s="53"/>
      <c r="B114" s="18"/>
      <c r="C114" s="22"/>
      <c r="D114" s="20"/>
      <c r="E114" s="27"/>
      <c r="F114" s="27"/>
      <c r="G114" s="39">
        <f>'AU Infection Rate by Age'!F26</f>
        <v>1.9065776930409913E-4</v>
      </c>
      <c r="H114" s="22"/>
      <c r="I114" s="41">
        <f t="shared" ref="I114:AL114" si="86">I$69*$D$113*$G$114</f>
        <v>1.3588728964647563E-3</v>
      </c>
      <c r="J114" s="42">
        <f t="shared" si="86"/>
        <v>2.7177457929295126E-3</v>
      </c>
      <c r="K114" s="42">
        <f t="shared" si="86"/>
        <v>5.4354915858590251E-3</v>
      </c>
      <c r="L114" s="42">
        <f t="shared" si="86"/>
        <v>1.087098317171805E-2</v>
      </c>
      <c r="M114" s="42">
        <f t="shared" si="86"/>
        <v>2.17419663434361E-2</v>
      </c>
      <c r="N114" s="42">
        <f t="shared" si="86"/>
        <v>4.3483932686872201E-2</v>
      </c>
      <c r="O114" s="42">
        <f t="shared" si="86"/>
        <v>8.6967865373744402E-2</v>
      </c>
      <c r="P114" s="42">
        <f t="shared" si="86"/>
        <v>0.1739357307474888</v>
      </c>
      <c r="Q114" s="42">
        <f t="shared" si="86"/>
        <v>0.26090359612123321</v>
      </c>
      <c r="R114" s="42">
        <f t="shared" si="86"/>
        <v>0.28699395573335651</v>
      </c>
      <c r="S114" s="42">
        <f t="shared" si="86"/>
        <v>0.30438752880810538</v>
      </c>
      <c r="T114" s="42">
        <f t="shared" si="86"/>
        <v>0.32178110188285425</v>
      </c>
      <c r="U114" s="42">
        <f t="shared" si="86"/>
        <v>0.33917467495760317</v>
      </c>
      <c r="V114" s="42">
        <f t="shared" si="86"/>
        <v>0.34787146149497761</v>
      </c>
      <c r="W114" s="42">
        <f t="shared" si="86"/>
        <v>0.41744575379397314</v>
      </c>
      <c r="X114" s="42">
        <f t="shared" si="86"/>
        <v>0.48702004609296862</v>
      </c>
      <c r="Y114" s="42">
        <f t="shared" si="86"/>
        <v>0.55659433839196415</v>
      </c>
      <c r="Z114" s="42">
        <f t="shared" si="86"/>
        <v>0.62616863069095963</v>
      </c>
      <c r="AA114" s="42">
        <f t="shared" si="86"/>
        <v>0.69574292298995521</v>
      </c>
      <c r="AB114" s="42">
        <f t="shared" si="86"/>
        <v>1.3914858459799104</v>
      </c>
      <c r="AC114" s="42">
        <f t="shared" si="86"/>
        <v>2.7829716919598209</v>
      </c>
      <c r="AD114" s="42">
        <f t="shared" si="86"/>
        <v>5.5659433839196417</v>
      </c>
      <c r="AE114" s="42">
        <f t="shared" si="86"/>
        <v>11.131886767839283</v>
      </c>
      <c r="AF114" s="42">
        <f t="shared" si="86"/>
        <v>22.263773535678567</v>
      </c>
      <c r="AG114" s="42">
        <f t="shared" si="86"/>
        <v>44.527547071357134</v>
      </c>
      <c r="AH114" s="42">
        <f t="shared" si="86"/>
        <v>89.055094142714267</v>
      </c>
      <c r="AI114" s="42">
        <f t="shared" si="86"/>
        <v>178.11018828542853</v>
      </c>
      <c r="AJ114" s="83">
        <f t="shared" si="86"/>
        <v>356.22037657085707</v>
      </c>
      <c r="AK114" s="42">
        <f t="shared" si="86"/>
        <v>712.44075314171414</v>
      </c>
      <c r="AL114" s="83">
        <f t="shared" si="86"/>
        <v>1114.667130495282</v>
      </c>
      <c r="AM114" s="57"/>
    </row>
    <row r="115" spans="1:39" x14ac:dyDescent="0.25">
      <c r="A115" s="54" t="s">
        <v>20</v>
      </c>
      <c r="B115" s="18">
        <f>'ABS Population by Age Range'!D25</f>
        <v>0.12056476079328157</v>
      </c>
      <c r="C115" s="22">
        <f t="shared" si="74"/>
        <v>3090557.0781749799</v>
      </c>
      <c r="D115" s="35">
        <f>'AU Infection Rate by Age'!E13</f>
        <v>8.3184763229986525E-2</v>
      </c>
      <c r="E115" s="36"/>
      <c r="F115" s="36"/>
      <c r="G115" s="29"/>
      <c r="H115" s="22"/>
      <c r="I115" s="32">
        <f t="shared" ref="I115:AL115" si="87">I$69*$D$115</f>
        <v>2.5995238509370791</v>
      </c>
      <c r="J115" s="33">
        <f t="shared" si="87"/>
        <v>5.1990477018741581</v>
      </c>
      <c r="K115" s="33">
        <f t="shared" si="87"/>
        <v>10.398095403748316</v>
      </c>
      <c r="L115" s="33">
        <f t="shared" si="87"/>
        <v>20.796190807496632</v>
      </c>
      <c r="M115" s="33">
        <f t="shared" si="87"/>
        <v>41.592381614993265</v>
      </c>
      <c r="N115" s="33">
        <f t="shared" si="87"/>
        <v>83.18476322998653</v>
      </c>
      <c r="O115" s="33">
        <f t="shared" si="87"/>
        <v>166.36952645997306</v>
      </c>
      <c r="P115" s="33">
        <f t="shared" si="87"/>
        <v>332.73905291994612</v>
      </c>
      <c r="Q115" s="33">
        <f t="shared" si="87"/>
        <v>499.10857937991915</v>
      </c>
      <c r="R115" s="33">
        <f t="shared" si="87"/>
        <v>549.01943731791107</v>
      </c>
      <c r="S115" s="33">
        <f t="shared" si="87"/>
        <v>582.29334260990572</v>
      </c>
      <c r="T115" s="33">
        <f t="shared" si="87"/>
        <v>615.56724790190026</v>
      </c>
      <c r="U115" s="33">
        <f t="shared" si="87"/>
        <v>648.84115319389491</v>
      </c>
      <c r="V115" s="33">
        <f t="shared" si="87"/>
        <v>665.47810583989224</v>
      </c>
      <c r="W115" s="33">
        <f t="shared" si="87"/>
        <v>798.57372700787062</v>
      </c>
      <c r="X115" s="33">
        <f t="shared" si="87"/>
        <v>931.66934817584911</v>
      </c>
      <c r="Y115" s="33">
        <f t="shared" si="87"/>
        <v>1064.7649693438275</v>
      </c>
      <c r="Z115" s="33">
        <f t="shared" si="87"/>
        <v>1197.8605905118059</v>
      </c>
      <c r="AA115" s="33">
        <f t="shared" si="87"/>
        <v>1330.9562116797845</v>
      </c>
      <c r="AB115" s="33">
        <f t="shared" si="87"/>
        <v>2661.9124233595689</v>
      </c>
      <c r="AC115" s="33">
        <f t="shared" si="87"/>
        <v>5323.8248467191379</v>
      </c>
      <c r="AD115" s="33">
        <f t="shared" si="87"/>
        <v>10647.649693438276</v>
      </c>
      <c r="AE115" s="33">
        <f t="shared" si="87"/>
        <v>21295.299386876552</v>
      </c>
      <c r="AF115" s="33">
        <f t="shared" si="87"/>
        <v>42590.598773753103</v>
      </c>
      <c r="AG115" s="33">
        <f t="shared" si="87"/>
        <v>85181.197547506206</v>
      </c>
      <c r="AH115" s="33">
        <f t="shared" si="87"/>
        <v>170362.39509501241</v>
      </c>
      <c r="AI115" s="33">
        <f t="shared" si="87"/>
        <v>340724.79019002483</v>
      </c>
      <c r="AJ115" s="84">
        <f t="shared" si="87"/>
        <v>681449.58038004965</v>
      </c>
      <c r="AK115" s="33">
        <f t="shared" si="87"/>
        <v>1362899.1607600993</v>
      </c>
      <c r="AL115" s="84">
        <f t="shared" si="87"/>
        <v>2132358.2206374747</v>
      </c>
      <c r="AM115" s="57"/>
    </row>
    <row r="116" spans="1:39" x14ac:dyDescent="0.25">
      <c r="A116" s="54"/>
      <c r="B116" s="18"/>
      <c r="C116" s="22"/>
      <c r="D116" s="20"/>
      <c r="E116" s="27"/>
      <c r="F116" s="27"/>
      <c r="G116" s="39">
        <f>'AU Infection Rate by Age'!F27</f>
        <v>0</v>
      </c>
      <c r="H116" s="22"/>
      <c r="I116" s="41">
        <f t="shared" ref="I116:AL116" si="88">I$69*$D$115*$G$116</f>
        <v>0</v>
      </c>
      <c r="J116" s="42">
        <f t="shared" si="88"/>
        <v>0</v>
      </c>
      <c r="K116" s="42">
        <f t="shared" si="88"/>
        <v>0</v>
      </c>
      <c r="L116" s="42">
        <f t="shared" si="88"/>
        <v>0</v>
      </c>
      <c r="M116" s="42">
        <f t="shared" si="88"/>
        <v>0</v>
      </c>
      <c r="N116" s="42">
        <f t="shared" si="88"/>
        <v>0</v>
      </c>
      <c r="O116" s="42">
        <f t="shared" si="88"/>
        <v>0</v>
      </c>
      <c r="P116" s="42">
        <f t="shared" si="88"/>
        <v>0</v>
      </c>
      <c r="Q116" s="42">
        <f t="shared" si="88"/>
        <v>0</v>
      </c>
      <c r="R116" s="42">
        <f t="shared" si="88"/>
        <v>0</v>
      </c>
      <c r="S116" s="42">
        <f t="shared" si="88"/>
        <v>0</v>
      </c>
      <c r="T116" s="42">
        <f t="shared" si="88"/>
        <v>0</v>
      </c>
      <c r="U116" s="42">
        <f t="shared" si="88"/>
        <v>0</v>
      </c>
      <c r="V116" s="42">
        <f t="shared" si="88"/>
        <v>0</v>
      </c>
      <c r="W116" s="42">
        <f t="shared" si="88"/>
        <v>0</v>
      </c>
      <c r="X116" s="42">
        <f t="shared" si="88"/>
        <v>0</v>
      </c>
      <c r="Y116" s="42">
        <f t="shared" si="88"/>
        <v>0</v>
      </c>
      <c r="Z116" s="42">
        <f t="shared" si="88"/>
        <v>0</v>
      </c>
      <c r="AA116" s="42">
        <f t="shared" si="88"/>
        <v>0</v>
      </c>
      <c r="AB116" s="42">
        <f t="shared" si="88"/>
        <v>0</v>
      </c>
      <c r="AC116" s="42">
        <f t="shared" si="88"/>
        <v>0</v>
      </c>
      <c r="AD116" s="42">
        <f t="shared" si="88"/>
        <v>0</v>
      </c>
      <c r="AE116" s="42">
        <f t="shared" si="88"/>
        <v>0</v>
      </c>
      <c r="AF116" s="42">
        <f t="shared" si="88"/>
        <v>0</v>
      </c>
      <c r="AG116" s="42">
        <f t="shared" si="88"/>
        <v>0</v>
      </c>
      <c r="AH116" s="42">
        <f t="shared" si="88"/>
        <v>0</v>
      </c>
      <c r="AI116" s="42">
        <f t="shared" si="88"/>
        <v>0</v>
      </c>
      <c r="AJ116" s="83">
        <f t="shared" si="88"/>
        <v>0</v>
      </c>
      <c r="AK116" s="42">
        <f t="shared" si="88"/>
        <v>0</v>
      </c>
      <c r="AL116" s="83">
        <f t="shared" si="88"/>
        <v>0</v>
      </c>
      <c r="AM116" s="57"/>
    </row>
    <row r="117" spans="1:39" x14ac:dyDescent="0.25">
      <c r="A117" s="54" t="s">
        <v>21</v>
      </c>
      <c r="B117" s="18">
        <f>'ABS Population by Age Range'!D13</f>
        <v>0.1255958322404806</v>
      </c>
      <c r="C117" s="22">
        <f t="shared" si="74"/>
        <v>3219523.5636524796</v>
      </c>
      <c r="D117" s="35">
        <f>'AU Infection Rate by Age'!E14</f>
        <v>4.5310257859720836E-2</v>
      </c>
      <c r="E117" s="36"/>
      <c r="F117" s="36"/>
      <c r="G117" s="29"/>
      <c r="H117" s="22"/>
      <c r="I117" s="32">
        <f t="shared" ref="I117:AL117" si="89">I$69*$D$117</f>
        <v>1.4159455581162761</v>
      </c>
      <c r="J117" s="33">
        <f t="shared" si="89"/>
        <v>2.8318911162325522</v>
      </c>
      <c r="K117" s="33">
        <f t="shared" si="89"/>
        <v>5.6637822324651044</v>
      </c>
      <c r="L117" s="33">
        <f t="shared" si="89"/>
        <v>11.327564464930209</v>
      </c>
      <c r="M117" s="33">
        <f t="shared" si="89"/>
        <v>22.655128929860417</v>
      </c>
      <c r="N117" s="33">
        <f t="shared" si="89"/>
        <v>45.310257859720835</v>
      </c>
      <c r="O117" s="33">
        <f t="shared" si="89"/>
        <v>90.62051571944167</v>
      </c>
      <c r="P117" s="33">
        <f t="shared" si="89"/>
        <v>181.24103143888334</v>
      </c>
      <c r="Q117" s="33">
        <f t="shared" si="89"/>
        <v>271.86154715832504</v>
      </c>
      <c r="R117" s="33">
        <f t="shared" si="89"/>
        <v>299.0477018741575</v>
      </c>
      <c r="S117" s="33">
        <f t="shared" si="89"/>
        <v>317.17180501804586</v>
      </c>
      <c r="T117" s="33">
        <f t="shared" si="89"/>
        <v>335.29590816193416</v>
      </c>
      <c r="U117" s="33">
        <f t="shared" si="89"/>
        <v>353.42001130582253</v>
      </c>
      <c r="V117" s="33">
        <f t="shared" si="89"/>
        <v>362.48206287776668</v>
      </c>
      <c r="W117" s="33">
        <f t="shared" si="89"/>
        <v>434.97847545332002</v>
      </c>
      <c r="X117" s="33">
        <f t="shared" si="89"/>
        <v>507.47488802887335</v>
      </c>
      <c r="Y117" s="33">
        <f t="shared" si="89"/>
        <v>579.97130060442669</v>
      </c>
      <c r="Z117" s="33">
        <f t="shared" si="89"/>
        <v>652.46771317998002</v>
      </c>
      <c r="AA117" s="33">
        <f t="shared" si="89"/>
        <v>724.96412575553336</v>
      </c>
      <c r="AB117" s="33">
        <f t="shared" si="89"/>
        <v>1449.9282515110667</v>
      </c>
      <c r="AC117" s="33">
        <f t="shared" si="89"/>
        <v>2899.8565030221334</v>
      </c>
      <c r="AD117" s="33">
        <f t="shared" si="89"/>
        <v>5799.7130060442669</v>
      </c>
      <c r="AE117" s="33">
        <f t="shared" si="89"/>
        <v>11599.426012088534</v>
      </c>
      <c r="AF117" s="33">
        <f t="shared" si="89"/>
        <v>23198.852024177068</v>
      </c>
      <c r="AG117" s="33">
        <f t="shared" si="89"/>
        <v>46397.704048354135</v>
      </c>
      <c r="AH117" s="33">
        <f t="shared" si="89"/>
        <v>92795.40809670827</v>
      </c>
      <c r="AI117" s="33">
        <f t="shared" si="89"/>
        <v>185590.81619341654</v>
      </c>
      <c r="AJ117" s="84">
        <f t="shared" si="89"/>
        <v>371181.63238683308</v>
      </c>
      <c r="AK117" s="33">
        <f t="shared" si="89"/>
        <v>742363.26477366616</v>
      </c>
      <c r="AL117" s="84">
        <f t="shared" si="89"/>
        <v>1161483.149976084</v>
      </c>
      <c r="AM117" s="57"/>
    </row>
    <row r="118" spans="1:39" x14ac:dyDescent="0.25">
      <c r="A118" s="54"/>
      <c r="B118" s="19"/>
      <c r="C118" s="23"/>
      <c r="D118" s="38"/>
      <c r="E118" s="67"/>
      <c r="F118" s="67"/>
      <c r="G118" s="40">
        <f>'AU Infection Rate by Age'!F28</f>
        <v>0</v>
      </c>
      <c r="H118" s="22"/>
      <c r="I118" s="41">
        <f t="shared" ref="I118:AL118" si="90">I$69*$D$117*$G$118</f>
        <v>0</v>
      </c>
      <c r="J118" s="42">
        <f t="shared" si="90"/>
        <v>0</v>
      </c>
      <c r="K118" s="42">
        <f t="shared" si="90"/>
        <v>0</v>
      </c>
      <c r="L118" s="42">
        <f t="shared" si="90"/>
        <v>0</v>
      </c>
      <c r="M118" s="42">
        <f t="shared" si="90"/>
        <v>0</v>
      </c>
      <c r="N118" s="42">
        <f t="shared" si="90"/>
        <v>0</v>
      </c>
      <c r="O118" s="42">
        <f t="shared" si="90"/>
        <v>0</v>
      </c>
      <c r="P118" s="42">
        <f t="shared" si="90"/>
        <v>0</v>
      </c>
      <c r="Q118" s="42">
        <f t="shared" si="90"/>
        <v>0</v>
      </c>
      <c r="R118" s="42">
        <f t="shared" si="90"/>
        <v>0</v>
      </c>
      <c r="S118" s="42">
        <f t="shared" si="90"/>
        <v>0</v>
      </c>
      <c r="T118" s="42">
        <f t="shared" si="90"/>
        <v>0</v>
      </c>
      <c r="U118" s="42">
        <f t="shared" si="90"/>
        <v>0</v>
      </c>
      <c r="V118" s="42">
        <f t="shared" si="90"/>
        <v>0</v>
      </c>
      <c r="W118" s="42">
        <f t="shared" si="90"/>
        <v>0</v>
      </c>
      <c r="X118" s="42">
        <f t="shared" si="90"/>
        <v>0</v>
      </c>
      <c r="Y118" s="42">
        <f t="shared" si="90"/>
        <v>0</v>
      </c>
      <c r="Z118" s="42">
        <f t="shared" si="90"/>
        <v>0</v>
      </c>
      <c r="AA118" s="42">
        <f t="shared" si="90"/>
        <v>0</v>
      </c>
      <c r="AB118" s="42">
        <f t="shared" si="90"/>
        <v>0</v>
      </c>
      <c r="AC118" s="42">
        <f t="shared" si="90"/>
        <v>0</v>
      </c>
      <c r="AD118" s="42">
        <f t="shared" si="90"/>
        <v>0</v>
      </c>
      <c r="AE118" s="42">
        <f t="shared" si="90"/>
        <v>0</v>
      </c>
      <c r="AF118" s="42">
        <f t="shared" si="90"/>
        <v>0</v>
      </c>
      <c r="AG118" s="42">
        <f t="shared" si="90"/>
        <v>0</v>
      </c>
      <c r="AH118" s="42">
        <f t="shared" si="90"/>
        <v>0</v>
      </c>
      <c r="AI118" s="42">
        <f t="shared" si="90"/>
        <v>0</v>
      </c>
      <c r="AJ118" s="83">
        <f t="shared" si="90"/>
        <v>0</v>
      </c>
      <c r="AK118" s="44">
        <f t="shared" si="90"/>
        <v>0</v>
      </c>
      <c r="AL118" s="85">
        <f t="shared" si="90"/>
        <v>0</v>
      </c>
      <c r="AM118" s="57"/>
    </row>
    <row r="119" spans="1:39" x14ac:dyDescent="0.25">
      <c r="A119" s="53" t="s">
        <v>131</v>
      </c>
      <c r="B119" s="26"/>
      <c r="C119" s="22"/>
      <c r="D119" s="22"/>
      <c r="E119" s="22"/>
      <c r="F119" s="22"/>
      <c r="G119" s="27"/>
      <c r="H119" s="22"/>
      <c r="I119" s="30">
        <f t="shared" ref="I119:AH119" si="91">SUM(I101,I103,I105,I107,I109,I111,I113,I115,I117)</f>
        <v>31.250000000000004</v>
      </c>
      <c r="J119" s="31">
        <f t="shared" si="91"/>
        <v>62.500000000000007</v>
      </c>
      <c r="K119" s="31">
        <f t="shared" si="91"/>
        <v>125.00000000000001</v>
      </c>
      <c r="L119" s="31">
        <f t="shared" si="91"/>
        <v>250.00000000000003</v>
      </c>
      <c r="M119" s="31">
        <f t="shared" si="91"/>
        <v>500.00000000000006</v>
      </c>
      <c r="N119" s="31">
        <f>SUM(N101,N103,N105,N107,N109,N111,N113,N115,N117)</f>
        <v>1000.0000000000001</v>
      </c>
      <c r="O119" s="31">
        <f t="shared" si="91"/>
        <v>2000.0000000000002</v>
      </c>
      <c r="P119" s="31">
        <f t="shared" si="91"/>
        <v>4000.0000000000005</v>
      </c>
      <c r="Q119" s="31">
        <f t="shared" ref="Q119:U119" si="92">SUM(Q101,Q103,Q105,Q107,Q109,Q111,Q113,Q115,Q117)</f>
        <v>6000.0000000000009</v>
      </c>
      <c r="R119" s="31">
        <f t="shared" si="92"/>
        <v>6600.0000000000009</v>
      </c>
      <c r="S119" s="31">
        <f t="shared" ref="S119:T119" si="93">SUM(S101,S103,S105,S107,S109,S111,S113,S115,S117)</f>
        <v>7000</v>
      </c>
      <c r="T119" s="31">
        <f t="shared" si="93"/>
        <v>7399.9999999999991</v>
      </c>
      <c r="U119" s="31">
        <f t="shared" si="92"/>
        <v>7799.9999999999991</v>
      </c>
      <c r="V119" s="31">
        <f t="shared" si="91"/>
        <v>8000.0000000000009</v>
      </c>
      <c r="W119" s="31">
        <f t="shared" ref="W119:Z119" si="94">SUM(W101,W103,W105,W107,W109,W111,W113,W115,W117)</f>
        <v>9599.9999999999982</v>
      </c>
      <c r="X119" s="31">
        <f t="shared" si="94"/>
        <v>11199.999999999998</v>
      </c>
      <c r="Y119" s="31">
        <f t="shared" si="94"/>
        <v>12800</v>
      </c>
      <c r="Z119" s="31">
        <f t="shared" si="94"/>
        <v>14400</v>
      </c>
      <c r="AA119" s="31">
        <f t="shared" si="91"/>
        <v>16000.000000000002</v>
      </c>
      <c r="AB119" s="31">
        <f t="shared" si="91"/>
        <v>32000.000000000004</v>
      </c>
      <c r="AC119" s="31">
        <f t="shared" si="91"/>
        <v>64000.000000000007</v>
      </c>
      <c r="AD119" s="31">
        <f t="shared" si="91"/>
        <v>128000.00000000001</v>
      </c>
      <c r="AE119" s="31">
        <f t="shared" si="91"/>
        <v>256000.00000000003</v>
      </c>
      <c r="AF119" s="31">
        <f t="shared" si="91"/>
        <v>512000.00000000006</v>
      </c>
      <c r="AG119" s="31">
        <f t="shared" si="91"/>
        <v>1024000.0000000001</v>
      </c>
      <c r="AH119" s="31">
        <f t="shared" si="91"/>
        <v>2048000.0000000002</v>
      </c>
      <c r="AI119" s="31">
        <f t="shared" ref="AI119:AL120" si="95">SUM(AI101,AI103,AI105,AI107,AI109,AI111,AI113,AI115,AI117)</f>
        <v>4096000.0000000005</v>
      </c>
      <c r="AJ119" s="72">
        <f t="shared" si="95"/>
        <v>8192000.0000000009</v>
      </c>
      <c r="AK119" s="31">
        <f t="shared" si="95"/>
        <v>16384000.000000002</v>
      </c>
      <c r="AL119" s="72">
        <f t="shared" si="95"/>
        <v>25634000</v>
      </c>
      <c r="AM119" s="57"/>
    </row>
    <row r="120" spans="1:39" x14ac:dyDescent="0.25">
      <c r="A120" s="55" t="s">
        <v>130</v>
      </c>
      <c r="B120" s="56"/>
      <c r="C120" s="23"/>
      <c r="D120" s="23"/>
      <c r="E120" s="23"/>
      <c r="F120" s="23"/>
      <c r="G120" s="50"/>
      <c r="H120" s="23"/>
      <c r="I120" s="43">
        <f>SUM(I102,I104,I106,I108,I110,I112,I114,I116,I118)</f>
        <v>0.53811366700004348</v>
      </c>
      <c r="J120" s="44">
        <f>SUM(J102,J104,J106,J108,J110,J112,J114,J116,J118)</f>
        <v>1.076227334000087</v>
      </c>
      <c r="K120" s="44">
        <f t="shared" ref="K120:AH120" si="96">SUM(K102,K104,K106,K108,K110,K112,K114,K116,K118)</f>
        <v>2.1524546680001739</v>
      </c>
      <c r="L120" s="44">
        <f t="shared" si="96"/>
        <v>4.3049093360003479</v>
      </c>
      <c r="M120" s="44">
        <f t="shared" si="96"/>
        <v>8.6098186720006957</v>
      </c>
      <c r="N120" s="44">
        <f t="shared" si="96"/>
        <v>17.219637344001391</v>
      </c>
      <c r="O120" s="44">
        <f t="shared" si="96"/>
        <v>34.439274688002783</v>
      </c>
      <c r="P120" s="44">
        <f t="shared" si="96"/>
        <v>68.878549376005566</v>
      </c>
      <c r="Q120" s="44">
        <f t="shared" ref="Q120:U120" si="97">SUM(Q102,Q104,Q106,Q108,Q110,Q112,Q114,Q116,Q118)</f>
        <v>103.31782406400835</v>
      </c>
      <c r="R120" s="44">
        <f>SUM(R102,R104,R106,R108,R110,R112,R114,R116,R118)</f>
        <v>113.6496064704092</v>
      </c>
      <c r="S120" s="44">
        <f t="shared" ref="S120:T120" si="98">SUM(S102,S104,S106,S108,S110,S112,S114,S116,S118)</f>
        <v>120.53746140800976</v>
      </c>
      <c r="T120" s="44">
        <f t="shared" si="98"/>
        <v>127.4253163456103</v>
      </c>
      <c r="U120" s="44">
        <f t="shared" si="97"/>
        <v>134.31317128321083</v>
      </c>
      <c r="V120" s="44">
        <f t="shared" si="96"/>
        <v>137.75709875201113</v>
      </c>
      <c r="W120" s="44">
        <f t="shared" ref="W120:Z120" si="99">SUM(W102,W104,W106,W108,W110,W112,W114,W116,W118)</f>
        <v>165.30851850241334</v>
      </c>
      <c r="X120" s="44">
        <f t="shared" si="99"/>
        <v>192.85993825281557</v>
      </c>
      <c r="Y120" s="44">
        <f t="shared" si="99"/>
        <v>220.4113580032178</v>
      </c>
      <c r="Z120" s="44">
        <f t="shared" si="99"/>
        <v>247.96277775362003</v>
      </c>
      <c r="AA120" s="44">
        <f t="shared" si="96"/>
        <v>275.51419750402226</v>
      </c>
      <c r="AB120" s="44">
        <f t="shared" si="96"/>
        <v>551.02839500804453</v>
      </c>
      <c r="AC120" s="44">
        <f t="shared" si="96"/>
        <v>1102.0567900160891</v>
      </c>
      <c r="AD120" s="44">
        <f t="shared" si="96"/>
        <v>2204.1135800321781</v>
      </c>
      <c r="AE120" s="44">
        <f t="shared" si="96"/>
        <v>4408.2271600643562</v>
      </c>
      <c r="AF120" s="44">
        <f t="shared" si="96"/>
        <v>8816.4543201287124</v>
      </c>
      <c r="AG120" s="44">
        <f t="shared" si="96"/>
        <v>17632.908640257425</v>
      </c>
      <c r="AH120" s="44">
        <f t="shared" si="96"/>
        <v>35265.81728051485</v>
      </c>
      <c r="AI120" s="44">
        <f t="shared" si="95"/>
        <v>70531.634561029699</v>
      </c>
      <c r="AJ120" s="85">
        <f t="shared" si="95"/>
        <v>141063.2691220594</v>
      </c>
      <c r="AK120" s="44">
        <f t="shared" si="95"/>
        <v>282126.5382441188</v>
      </c>
      <c r="AL120" s="85">
        <f t="shared" si="95"/>
        <v>441408.18367613171</v>
      </c>
      <c r="AM120" s="57"/>
    </row>
    <row r="121" spans="1:39" x14ac:dyDescent="0.25">
      <c r="A121" s="54"/>
      <c r="B121" s="26"/>
      <c r="C121" s="22"/>
      <c r="D121" s="22"/>
      <c r="E121" s="22"/>
      <c r="F121" s="22"/>
      <c r="G121" s="27"/>
      <c r="H121" s="22"/>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row>
    <row r="122" spans="1:39" x14ac:dyDescent="0.25">
      <c r="A122" s="66" t="s">
        <v>142</v>
      </c>
      <c r="B122" s="26"/>
      <c r="C122" s="22"/>
      <c r="D122" s="22"/>
      <c r="E122" s="22"/>
      <c r="F122" s="22"/>
      <c r="G122" s="27"/>
      <c r="H122" s="22"/>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row>
    <row r="123" spans="1:39" x14ac:dyDescent="0.25">
      <c r="A123" s="16"/>
      <c r="B123" s="21" t="s">
        <v>6</v>
      </c>
      <c r="C123" s="21" t="s">
        <v>4</v>
      </c>
      <c r="D123" s="21"/>
      <c r="E123" s="21"/>
      <c r="F123" s="21"/>
      <c r="G123" s="71" t="s">
        <v>3</v>
      </c>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17"/>
      <c r="AM123" s="59"/>
    </row>
    <row r="124" spans="1:39" x14ac:dyDescent="0.25">
      <c r="A124" s="53" t="s">
        <v>2</v>
      </c>
      <c r="B124" s="36">
        <v>0.05</v>
      </c>
      <c r="C124" s="22">
        <f>$B$55 * B124</f>
        <v>1281700</v>
      </c>
      <c r="D124" s="28"/>
      <c r="E124" s="28"/>
      <c r="F124" s="28"/>
      <c r="G124" s="28"/>
      <c r="H124" s="28"/>
      <c r="I124" s="30">
        <f t="shared" ref="I124:AL124" si="100">I$69*$B$124</f>
        <v>1.5625</v>
      </c>
      <c r="J124" s="31">
        <f t="shared" si="100"/>
        <v>3.125</v>
      </c>
      <c r="K124" s="31">
        <f t="shared" si="100"/>
        <v>6.25</v>
      </c>
      <c r="L124" s="31">
        <f t="shared" si="100"/>
        <v>12.5</v>
      </c>
      <c r="M124" s="31">
        <f t="shared" si="100"/>
        <v>25</v>
      </c>
      <c r="N124" s="31">
        <f t="shared" si="100"/>
        <v>50</v>
      </c>
      <c r="O124" s="31">
        <f t="shared" si="100"/>
        <v>100</v>
      </c>
      <c r="P124" s="31">
        <f t="shared" si="100"/>
        <v>200</v>
      </c>
      <c r="Q124" s="31">
        <f t="shared" si="100"/>
        <v>300</v>
      </c>
      <c r="R124" s="31">
        <f t="shared" si="100"/>
        <v>330</v>
      </c>
      <c r="S124" s="31">
        <f t="shared" si="100"/>
        <v>350</v>
      </c>
      <c r="T124" s="31">
        <f t="shared" si="100"/>
        <v>370</v>
      </c>
      <c r="U124" s="31">
        <f t="shared" si="100"/>
        <v>390</v>
      </c>
      <c r="V124" s="31">
        <f t="shared" si="100"/>
        <v>400</v>
      </c>
      <c r="W124" s="31">
        <f t="shared" si="100"/>
        <v>480</v>
      </c>
      <c r="X124" s="31">
        <f t="shared" si="100"/>
        <v>560</v>
      </c>
      <c r="Y124" s="31">
        <f t="shared" si="100"/>
        <v>640</v>
      </c>
      <c r="Z124" s="31">
        <f t="shared" si="100"/>
        <v>720</v>
      </c>
      <c r="AA124" s="31">
        <f t="shared" si="100"/>
        <v>800</v>
      </c>
      <c r="AB124" s="31">
        <f t="shared" si="100"/>
        <v>1600</v>
      </c>
      <c r="AC124" s="31">
        <f t="shared" si="100"/>
        <v>3200</v>
      </c>
      <c r="AD124" s="31">
        <f t="shared" si="100"/>
        <v>6400</v>
      </c>
      <c r="AE124" s="31">
        <f t="shared" si="100"/>
        <v>12800</v>
      </c>
      <c r="AF124" s="31">
        <f t="shared" si="100"/>
        <v>25600</v>
      </c>
      <c r="AG124" s="31">
        <f t="shared" si="100"/>
        <v>51200</v>
      </c>
      <c r="AH124" s="31">
        <f t="shared" si="100"/>
        <v>102400</v>
      </c>
      <c r="AI124" s="31">
        <f t="shared" si="100"/>
        <v>204800</v>
      </c>
      <c r="AJ124" s="72">
        <f t="shared" si="100"/>
        <v>409600</v>
      </c>
      <c r="AK124" s="31">
        <f t="shared" si="100"/>
        <v>819200</v>
      </c>
      <c r="AL124" s="72">
        <f t="shared" si="100"/>
        <v>1281700</v>
      </c>
      <c r="AM124" s="57"/>
    </row>
    <row r="125" spans="1:39" x14ac:dyDescent="0.25">
      <c r="A125" s="53"/>
      <c r="B125" s="28"/>
      <c r="C125" s="28"/>
      <c r="D125" s="37"/>
      <c r="E125" s="37"/>
      <c r="F125" s="37"/>
      <c r="G125" s="58">
        <v>0.105</v>
      </c>
      <c r="H125" s="28"/>
      <c r="I125" s="41">
        <f>I124*$G$125</f>
        <v>0.1640625</v>
      </c>
      <c r="J125" s="42">
        <f t="shared" ref="J125:AH125" si="101">J124*$G$125</f>
        <v>0.328125</v>
      </c>
      <c r="K125" s="42">
        <f t="shared" si="101"/>
        <v>0.65625</v>
      </c>
      <c r="L125" s="42">
        <f t="shared" si="101"/>
        <v>1.3125</v>
      </c>
      <c r="M125" s="42">
        <f t="shared" si="101"/>
        <v>2.625</v>
      </c>
      <c r="N125" s="42">
        <f t="shared" si="101"/>
        <v>5.25</v>
      </c>
      <c r="O125" s="42">
        <f t="shared" si="101"/>
        <v>10.5</v>
      </c>
      <c r="P125" s="42">
        <f t="shared" si="101"/>
        <v>21</v>
      </c>
      <c r="Q125" s="42">
        <f t="shared" ref="Q125:U125" si="102">Q124*$G$125</f>
        <v>31.5</v>
      </c>
      <c r="R125" s="42">
        <f t="shared" si="102"/>
        <v>34.65</v>
      </c>
      <c r="S125" s="42">
        <f t="shared" ref="S125:T125" si="103">S124*$G$125</f>
        <v>36.75</v>
      </c>
      <c r="T125" s="42">
        <f t="shared" si="103"/>
        <v>38.85</v>
      </c>
      <c r="U125" s="42">
        <f t="shared" si="102"/>
        <v>40.949999999999996</v>
      </c>
      <c r="V125" s="42">
        <f t="shared" si="101"/>
        <v>42</v>
      </c>
      <c r="W125" s="42">
        <f t="shared" ref="W125:Z125" si="104">W124*$G$125</f>
        <v>50.4</v>
      </c>
      <c r="X125" s="42">
        <f t="shared" si="104"/>
        <v>58.8</v>
      </c>
      <c r="Y125" s="42">
        <f t="shared" si="104"/>
        <v>67.2</v>
      </c>
      <c r="Z125" s="42">
        <f t="shared" si="104"/>
        <v>75.599999999999994</v>
      </c>
      <c r="AA125" s="42">
        <f t="shared" si="101"/>
        <v>84</v>
      </c>
      <c r="AB125" s="42">
        <f t="shared" si="101"/>
        <v>168</v>
      </c>
      <c r="AC125" s="42">
        <f t="shared" si="101"/>
        <v>336</v>
      </c>
      <c r="AD125" s="42">
        <f t="shared" si="101"/>
        <v>672</v>
      </c>
      <c r="AE125" s="42">
        <f t="shared" si="101"/>
        <v>1344</v>
      </c>
      <c r="AF125" s="42">
        <f t="shared" si="101"/>
        <v>2688</v>
      </c>
      <c r="AG125" s="42">
        <f t="shared" si="101"/>
        <v>5376</v>
      </c>
      <c r="AH125" s="42">
        <f t="shared" si="101"/>
        <v>10752</v>
      </c>
      <c r="AI125" s="42">
        <f>AI124*$G$125</f>
        <v>21504</v>
      </c>
      <c r="AJ125" s="83">
        <f>AJ124*$G$125</f>
        <v>43008</v>
      </c>
      <c r="AK125" s="42">
        <f>AK124*$G$125</f>
        <v>86016</v>
      </c>
      <c r="AL125" s="83">
        <f>AL124*$G$125</f>
        <v>134578.5</v>
      </c>
      <c r="AM125" s="57"/>
    </row>
    <row r="126" spans="1:39" x14ac:dyDescent="0.25">
      <c r="A126" s="53" t="s">
        <v>5</v>
      </c>
      <c r="B126" s="36">
        <v>4.9000000000000002E-2</v>
      </c>
      <c r="C126" s="22">
        <f>$B$55 * B126</f>
        <v>1256066</v>
      </c>
      <c r="D126" s="59"/>
      <c r="E126" s="59"/>
      <c r="F126" s="59"/>
      <c r="G126" s="28"/>
      <c r="H126" s="28"/>
      <c r="I126" s="32">
        <f t="shared" ref="I126:AL126" si="105">I$69*$B$126</f>
        <v>1.53125</v>
      </c>
      <c r="J126" s="33">
        <f t="shared" si="105"/>
        <v>3.0625</v>
      </c>
      <c r="K126" s="33">
        <f t="shared" si="105"/>
        <v>6.125</v>
      </c>
      <c r="L126" s="33">
        <f t="shared" si="105"/>
        <v>12.25</v>
      </c>
      <c r="M126" s="33">
        <f t="shared" si="105"/>
        <v>24.5</v>
      </c>
      <c r="N126" s="33">
        <f t="shared" si="105"/>
        <v>49</v>
      </c>
      <c r="O126" s="33">
        <f t="shared" si="105"/>
        <v>98</v>
      </c>
      <c r="P126" s="33">
        <f t="shared" si="105"/>
        <v>196</v>
      </c>
      <c r="Q126" s="33">
        <f t="shared" si="105"/>
        <v>294</v>
      </c>
      <c r="R126" s="33">
        <f t="shared" si="105"/>
        <v>323.40000000000003</v>
      </c>
      <c r="S126" s="33">
        <f t="shared" si="105"/>
        <v>343</v>
      </c>
      <c r="T126" s="33">
        <f t="shared" si="105"/>
        <v>362.6</v>
      </c>
      <c r="U126" s="33">
        <f t="shared" si="105"/>
        <v>382.2</v>
      </c>
      <c r="V126" s="33">
        <f t="shared" si="105"/>
        <v>392</v>
      </c>
      <c r="W126" s="33">
        <f t="shared" si="105"/>
        <v>470.40000000000003</v>
      </c>
      <c r="X126" s="33">
        <f t="shared" si="105"/>
        <v>548.80000000000007</v>
      </c>
      <c r="Y126" s="33">
        <f t="shared" si="105"/>
        <v>627.20000000000005</v>
      </c>
      <c r="Z126" s="33">
        <f t="shared" si="105"/>
        <v>705.6</v>
      </c>
      <c r="AA126" s="33">
        <f t="shared" si="105"/>
        <v>784</v>
      </c>
      <c r="AB126" s="33">
        <f t="shared" si="105"/>
        <v>1568</v>
      </c>
      <c r="AC126" s="33">
        <f t="shared" si="105"/>
        <v>3136</v>
      </c>
      <c r="AD126" s="33">
        <f t="shared" si="105"/>
        <v>6272</v>
      </c>
      <c r="AE126" s="33">
        <f t="shared" si="105"/>
        <v>12544</v>
      </c>
      <c r="AF126" s="33">
        <f t="shared" si="105"/>
        <v>25088</v>
      </c>
      <c r="AG126" s="33">
        <f t="shared" si="105"/>
        <v>50176</v>
      </c>
      <c r="AH126" s="33">
        <f t="shared" si="105"/>
        <v>100352</v>
      </c>
      <c r="AI126" s="33">
        <f t="shared" si="105"/>
        <v>200704</v>
      </c>
      <c r="AJ126" s="84">
        <f t="shared" si="105"/>
        <v>401408</v>
      </c>
      <c r="AK126" s="33">
        <f t="shared" si="105"/>
        <v>802816</v>
      </c>
      <c r="AL126" s="84">
        <f t="shared" si="105"/>
        <v>1256066</v>
      </c>
      <c r="AM126" s="57"/>
    </row>
    <row r="127" spans="1:39" x14ac:dyDescent="0.25">
      <c r="A127" s="53"/>
      <c r="B127" s="28"/>
      <c r="C127" s="28"/>
      <c r="D127" s="37"/>
      <c r="E127" s="37"/>
      <c r="F127" s="37"/>
      <c r="G127" s="58">
        <v>7.2999999999999995E-2</v>
      </c>
      <c r="H127" s="28"/>
      <c r="I127" s="41">
        <f t="shared" ref="I127:AH127" si="106">I126*$G$127</f>
        <v>0.11178125</v>
      </c>
      <c r="J127" s="42">
        <f t="shared" si="106"/>
        <v>0.2235625</v>
      </c>
      <c r="K127" s="42">
        <f t="shared" si="106"/>
        <v>0.44712499999999999</v>
      </c>
      <c r="L127" s="42">
        <f t="shared" si="106"/>
        <v>0.89424999999999999</v>
      </c>
      <c r="M127" s="42">
        <f t="shared" si="106"/>
        <v>1.7885</v>
      </c>
      <c r="N127" s="42">
        <f t="shared" si="106"/>
        <v>3.577</v>
      </c>
      <c r="O127" s="42">
        <f t="shared" si="106"/>
        <v>7.1539999999999999</v>
      </c>
      <c r="P127" s="42">
        <f t="shared" si="106"/>
        <v>14.308</v>
      </c>
      <c r="Q127" s="42">
        <f t="shared" ref="Q127:U127" si="107">Q126*$G$127</f>
        <v>21.462</v>
      </c>
      <c r="R127" s="42">
        <f t="shared" si="107"/>
        <v>23.6082</v>
      </c>
      <c r="S127" s="42">
        <f t="shared" ref="S127:T127" si="108">S126*$G$127</f>
        <v>25.038999999999998</v>
      </c>
      <c r="T127" s="42">
        <f t="shared" si="108"/>
        <v>26.469799999999999</v>
      </c>
      <c r="U127" s="42">
        <f t="shared" si="107"/>
        <v>27.900599999999997</v>
      </c>
      <c r="V127" s="42">
        <f t="shared" si="106"/>
        <v>28.616</v>
      </c>
      <c r="W127" s="42">
        <f t="shared" ref="W127:Z127" si="109">W126*$G$127</f>
        <v>34.339199999999998</v>
      </c>
      <c r="X127" s="42">
        <f t="shared" si="109"/>
        <v>40.062400000000004</v>
      </c>
      <c r="Y127" s="42">
        <f t="shared" si="109"/>
        <v>45.785600000000002</v>
      </c>
      <c r="Z127" s="42">
        <f t="shared" si="109"/>
        <v>51.508800000000001</v>
      </c>
      <c r="AA127" s="42">
        <f t="shared" si="106"/>
        <v>57.231999999999999</v>
      </c>
      <c r="AB127" s="42">
        <f t="shared" si="106"/>
        <v>114.464</v>
      </c>
      <c r="AC127" s="42">
        <f t="shared" si="106"/>
        <v>228.928</v>
      </c>
      <c r="AD127" s="42">
        <f t="shared" si="106"/>
        <v>457.85599999999999</v>
      </c>
      <c r="AE127" s="42">
        <f t="shared" si="106"/>
        <v>915.71199999999999</v>
      </c>
      <c r="AF127" s="42">
        <f t="shared" si="106"/>
        <v>1831.424</v>
      </c>
      <c r="AG127" s="42">
        <f t="shared" si="106"/>
        <v>3662.848</v>
      </c>
      <c r="AH127" s="42">
        <f t="shared" si="106"/>
        <v>7325.6959999999999</v>
      </c>
      <c r="AI127" s="42">
        <f>AI126*$G$127</f>
        <v>14651.392</v>
      </c>
      <c r="AJ127" s="83">
        <f>AJ126*$G$127</f>
        <v>29302.784</v>
      </c>
      <c r="AK127" s="42">
        <f>AK126*$G$127</f>
        <v>58605.567999999999</v>
      </c>
      <c r="AL127" s="83">
        <f>AL126*$G$127</f>
        <v>91692.817999999999</v>
      </c>
      <c r="AM127" s="57"/>
    </row>
    <row r="128" spans="1:39" x14ac:dyDescent="0.25">
      <c r="A128" s="53" t="s">
        <v>7</v>
      </c>
      <c r="B128" s="36">
        <v>0.31</v>
      </c>
      <c r="C128" s="22">
        <f>$B$55 * B128</f>
        <v>7946540</v>
      </c>
      <c r="D128" s="59"/>
      <c r="E128" s="59"/>
      <c r="F128" s="59"/>
      <c r="G128" s="28"/>
      <c r="H128" s="28"/>
      <c r="I128" s="32">
        <f t="shared" ref="I128:AL128" si="110">I$69*$B$128</f>
        <v>9.6875</v>
      </c>
      <c r="J128" s="33">
        <f t="shared" si="110"/>
        <v>19.375</v>
      </c>
      <c r="K128" s="33">
        <f t="shared" si="110"/>
        <v>38.75</v>
      </c>
      <c r="L128" s="33">
        <f t="shared" si="110"/>
        <v>77.5</v>
      </c>
      <c r="M128" s="33">
        <f t="shared" si="110"/>
        <v>155</v>
      </c>
      <c r="N128" s="33">
        <f t="shared" si="110"/>
        <v>310</v>
      </c>
      <c r="O128" s="33">
        <f t="shared" si="110"/>
        <v>620</v>
      </c>
      <c r="P128" s="33">
        <f t="shared" si="110"/>
        <v>1240</v>
      </c>
      <c r="Q128" s="33">
        <f t="shared" si="110"/>
        <v>1860</v>
      </c>
      <c r="R128" s="33">
        <f t="shared" si="110"/>
        <v>2046</v>
      </c>
      <c r="S128" s="33">
        <f t="shared" si="110"/>
        <v>2170</v>
      </c>
      <c r="T128" s="33">
        <f t="shared" si="110"/>
        <v>2294</v>
      </c>
      <c r="U128" s="33">
        <f t="shared" si="110"/>
        <v>2418</v>
      </c>
      <c r="V128" s="33">
        <f t="shared" si="110"/>
        <v>2480</v>
      </c>
      <c r="W128" s="33">
        <f t="shared" si="110"/>
        <v>2976</v>
      </c>
      <c r="X128" s="33">
        <f t="shared" si="110"/>
        <v>3472</v>
      </c>
      <c r="Y128" s="33">
        <f t="shared" si="110"/>
        <v>3968</v>
      </c>
      <c r="Z128" s="33">
        <f t="shared" si="110"/>
        <v>4464</v>
      </c>
      <c r="AA128" s="33">
        <f t="shared" si="110"/>
        <v>4960</v>
      </c>
      <c r="AB128" s="33">
        <f t="shared" si="110"/>
        <v>9920</v>
      </c>
      <c r="AC128" s="33">
        <f t="shared" si="110"/>
        <v>19840</v>
      </c>
      <c r="AD128" s="33">
        <f t="shared" si="110"/>
        <v>39680</v>
      </c>
      <c r="AE128" s="33">
        <f t="shared" si="110"/>
        <v>79360</v>
      </c>
      <c r="AF128" s="33">
        <f t="shared" si="110"/>
        <v>158720</v>
      </c>
      <c r="AG128" s="33">
        <f t="shared" si="110"/>
        <v>317440</v>
      </c>
      <c r="AH128" s="33">
        <f t="shared" si="110"/>
        <v>634880</v>
      </c>
      <c r="AI128" s="33">
        <f t="shared" si="110"/>
        <v>1269760</v>
      </c>
      <c r="AJ128" s="84">
        <f t="shared" si="110"/>
        <v>2539520</v>
      </c>
      <c r="AK128" s="33">
        <f t="shared" si="110"/>
        <v>5079040</v>
      </c>
      <c r="AL128" s="84">
        <f t="shared" si="110"/>
        <v>7946540</v>
      </c>
      <c r="AM128" s="57"/>
    </row>
    <row r="129" spans="1:39" x14ac:dyDescent="0.25">
      <c r="A129" s="53"/>
      <c r="B129" s="28"/>
      <c r="C129" s="28"/>
      <c r="D129" s="37"/>
      <c r="E129" s="37"/>
      <c r="F129" s="37"/>
      <c r="G129" s="58">
        <v>6.3E-2</v>
      </c>
      <c r="H129" s="28"/>
      <c r="I129" s="41">
        <f t="shared" ref="I129:AH129" si="111">I128*$G$129</f>
        <v>0.61031250000000004</v>
      </c>
      <c r="J129" s="42">
        <f t="shared" si="111"/>
        <v>1.2206250000000001</v>
      </c>
      <c r="K129" s="42">
        <f t="shared" si="111"/>
        <v>2.4412500000000001</v>
      </c>
      <c r="L129" s="42">
        <f t="shared" si="111"/>
        <v>4.8825000000000003</v>
      </c>
      <c r="M129" s="42">
        <f t="shared" si="111"/>
        <v>9.7650000000000006</v>
      </c>
      <c r="N129" s="42">
        <f t="shared" si="111"/>
        <v>19.53</v>
      </c>
      <c r="O129" s="42">
        <f t="shared" si="111"/>
        <v>39.06</v>
      </c>
      <c r="P129" s="42">
        <f t="shared" si="111"/>
        <v>78.12</v>
      </c>
      <c r="Q129" s="42">
        <f t="shared" ref="Q129:U129" si="112">Q128*$G$129</f>
        <v>117.18</v>
      </c>
      <c r="R129" s="42">
        <f t="shared" si="112"/>
        <v>128.898</v>
      </c>
      <c r="S129" s="42">
        <f t="shared" ref="S129:T129" si="113">S128*$G$129</f>
        <v>136.71</v>
      </c>
      <c r="T129" s="42">
        <f t="shared" si="113"/>
        <v>144.52199999999999</v>
      </c>
      <c r="U129" s="42">
        <f t="shared" si="112"/>
        <v>152.334</v>
      </c>
      <c r="V129" s="42">
        <f t="shared" si="111"/>
        <v>156.24</v>
      </c>
      <c r="W129" s="42">
        <f t="shared" ref="W129:Z129" si="114">W128*$G$129</f>
        <v>187.488</v>
      </c>
      <c r="X129" s="42">
        <f t="shared" si="114"/>
        <v>218.73599999999999</v>
      </c>
      <c r="Y129" s="42">
        <f t="shared" si="114"/>
        <v>249.98400000000001</v>
      </c>
      <c r="Z129" s="42">
        <f t="shared" si="114"/>
        <v>281.23200000000003</v>
      </c>
      <c r="AA129" s="42">
        <f t="shared" si="111"/>
        <v>312.48</v>
      </c>
      <c r="AB129" s="42">
        <f t="shared" si="111"/>
        <v>624.96</v>
      </c>
      <c r="AC129" s="42">
        <f t="shared" si="111"/>
        <v>1249.92</v>
      </c>
      <c r="AD129" s="42">
        <f t="shared" si="111"/>
        <v>2499.84</v>
      </c>
      <c r="AE129" s="42">
        <f t="shared" si="111"/>
        <v>4999.68</v>
      </c>
      <c r="AF129" s="42">
        <f t="shared" si="111"/>
        <v>9999.36</v>
      </c>
      <c r="AG129" s="42">
        <f t="shared" si="111"/>
        <v>19998.72</v>
      </c>
      <c r="AH129" s="42">
        <f t="shared" si="111"/>
        <v>39997.440000000002</v>
      </c>
      <c r="AI129" s="42">
        <f>AI128*$G$129</f>
        <v>79994.880000000005</v>
      </c>
      <c r="AJ129" s="83">
        <f>AJ128*$G$129</f>
        <v>159989.76000000001</v>
      </c>
      <c r="AK129" s="42">
        <f>AK128*$G$129</f>
        <v>319979.52000000002</v>
      </c>
      <c r="AL129" s="83">
        <f>AL128*$G$129</f>
        <v>500632.02</v>
      </c>
      <c r="AM129" s="57"/>
    </row>
    <row r="130" spans="1:39" x14ac:dyDescent="0.25">
      <c r="A130" s="53" t="s">
        <v>8</v>
      </c>
      <c r="B130" s="36">
        <v>0.106</v>
      </c>
      <c r="C130" s="22">
        <f>$B$55 * B130</f>
        <v>2717204</v>
      </c>
      <c r="D130" s="59"/>
      <c r="E130" s="59"/>
      <c r="F130" s="59"/>
      <c r="G130" s="28"/>
      <c r="H130" s="28"/>
      <c r="I130" s="32">
        <f t="shared" ref="I130:AL130" si="115">I$69*$B$130</f>
        <v>3.3125</v>
      </c>
      <c r="J130" s="33">
        <f t="shared" si="115"/>
        <v>6.625</v>
      </c>
      <c r="K130" s="33">
        <f t="shared" si="115"/>
        <v>13.25</v>
      </c>
      <c r="L130" s="33">
        <f t="shared" si="115"/>
        <v>26.5</v>
      </c>
      <c r="M130" s="33">
        <f t="shared" si="115"/>
        <v>53</v>
      </c>
      <c r="N130" s="33">
        <f t="shared" si="115"/>
        <v>106</v>
      </c>
      <c r="O130" s="33">
        <f t="shared" si="115"/>
        <v>212</v>
      </c>
      <c r="P130" s="33">
        <f t="shared" si="115"/>
        <v>424</v>
      </c>
      <c r="Q130" s="33">
        <f t="shared" si="115"/>
        <v>636</v>
      </c>
      <c r="R130" s="33">
        <f t="shared" si="115"/>
        <v>699.6</v>
      </c>
      <c r="S130" s="33">
        <f t="shared" si="115"/>
        <v>742</v>
      </c>
      <c r="T130" s="33">
        <f t="shared" si="115"/>
        <v>784.4</v>
      </c>
      <c r="U130" s="33">
        <f t="shared" si="115"/>
        <v>826.8</v>
      </c>
      <c r="V130" s="33">
        <f t="shared" si="115"/>
        <v>848</v>
      </c>
      <c r="W130" s="33">
        <f t="shared" si="115"/>
        <v>1017.6</v>
      </c>
      <c r="X130" s="33">
        <f t="shared" si="115"/>
        <v>1187.2</v>
      </c>
      <c r="Y130" s="33">
        <f t="shared" si="115"/>
        <v>1356.8</v>
      </c>
      <c r="Z130" s="33">
        <f t="shared" si="115"/>
        <v>1526.3999999999999</v>
      </c>
      <c r="AA130" s="33">
        <f t="shared" si="115"/>
        <v>1696</v>
      </c>
      <c r="AB130" s="33">
        <f t="shared" si="115"/>
        <v>3392</v>
      </c>
      <c r="AC130" s="33">
        <f t="shared" si="115"/>
        <v>6784</v>
      </c>
      <c r="AD130" s="33">
        <f t="shared" si="115"/>
        <v>13568</v>
      </c>
      <c r="AE130" s="33">
        <f t="shared" si="115"/>
        <v>27136</v>
      </c>
      <c r="AF130" s="33">
        <f t="shared" si="115"/>
        <v>54272</v>
      </c>
      <c r="AG130" s="33">
        <f t="shared" si="115"/>
        <v>108544</v>
      </c>
      <c r="AH130" s="33">
        <f t="shared" si="115"/>
        <v>217088</v>
      </c>
      <c r="AI130" s="33">
        <f t="shared" si="115"/>
        <v>434176</v>
      </c>
      <c r="AJ130" s="84">
        <f t="shared" si="115"/>
        <v>868352</v>
      </c>
      <c r="AK130" s="33">
        <f t="shared" si="115"/>
        <v>1736704</v>
      </c>
      <c r="AL130" s="84">
        <f t="shared" si="115"/>
        <v>2717204</v>
      </c>
      <c r="AM130" s="57"/>
    </row>
    <row r="131" spans="1:39" x14ac:dyDescent="0.25">
      <c r="A131" s="53"/>
      <c r="B131" s="28"/>
      <c r="C131" s="28"/>
      <c r="D131" s="37"/>
      <c r="E131" s="37"/>
      <c r="F131" s="37"/>
      <c r="G131" s="58">
        <v>0.06</v>
      </c>
      <c r="H131" s="28"/>
      <c r="I131" s="41">
        <f t="shared" ref="I131:AH131" si="116">I130*$G$131</f>
        <v>0.19874999999999998</v>
      </c>
      <c r="J131" s="42">
        <f t="shared" si="116"/>
        <v>0.39749999999999996</v>
      </c>
      <c r="K131" s="42">
        <f t="shared" si="116"/>
        <v>0.79499999999999993</v>
      </c>
      <c r="L131" s="42">
        <f t="shared" si="116"/>
        <v>1.5899999999999999</v>
      </c>
      <c r="M131" s="42">
        <f t="shared" si="116"/>
        <v>3.1799999999999997</v>
      </c>
      <c r="N131" s="42">
        <f t="shared" si="116"/>
        <v>6.3599999999999994</v>
      </c>
      <c r="O131" s="42">
        <f t="shared" si="116"/>
        <v>12.719999999999999</v>
      </c>
      <c r="P131" s="42">
        <f t="shared" si="116"/>
        <v>25.439999999999998</v>
      </c>
      <c r="Q131" s="42">
        <f t="shared" ref="Q131:U131" si="117">Q130*$G$131</f>
        <v>38.159999999999997</v>
      </c>
      <c r="R131" s="42">
        <f t="shared" si="117"/>
        <v>41.975999999999999</v>
      </c>
      <c r="S131" s="42">
        <f t="shared" ref="S131:T131" si="118">S130*$G$131</f>
        <v>44.519999999999996</v>
      </c>
      <c r="T131" s="42">
        <f t="shared" si="118"/>
        <v>47.064</v>
      </c>
      <c r="U131" s="42">
        <f t="shared" si="117"/>
        <v>49.607999999999997</v>
      </c>
      <c r="V131" s="42">
        <f t="shared" si="116"/>
        <v>50.879999999999995</v>
      </c>
      <c r="W131" s="42">
        <f t="shared" ref="W131:Z131" si="119">W130*$G$131</f>
        <v>61.055999999999997</v>
      </c>
      <c r="X131" s="42">
        <f t="shared" si="119"/>
        <v>71.231999999999999</v>
      </c>
      <c r="Y131" s="42">
        <f t="shared" si="119"/>
        <v>81.408000000000001</v>
      </c>
      <c r="Z131" s="42">
        <f t="shared" si="119"/>
        <v>91.583999999999989</v>
      </c>
      <c r="AA131" s="42">
        <f t="shared" si="116"/>
        <v>101.75999999999999</v>
      </c>
      <c r="AB131" s="42">
        <f t="shared" si="116"/>
        <v>203.51999999999998</v>
      </c>
      <c r="AC131" s="42">
        <f t="shared" si="116"/>
        <v>407.03999999999996</v>
      </c>
      <c r="AD131" s="42">
        <f t="shared" si="116"/>
        <v>814.07999999999993</v>
      </c>
      <c r="AE131" s="42">
        <f t="shared" si="116"/>
        <v>1628.1599999999999</v>
      </c>
      <c r="AF131" s="42">
        <f t="shared" si="116"/>
        <v>3256.3199999999997</v>
      </c>
      <c r="AG131" s="42">
        <f t="shared" si="116"/>
        <v>6512.6399999999994</v>
      </c>
      <c r="AH131" s="42">
        <f t="shared" si="116"/>
        <v>13025.279999999999</v>
      </c>
      <c r="AI131" s="42">
        <f>AI130*$G$131</f>
        <v>26050.559999999998</v>
      </c>
      <c r="AJ131" s="83">
        <f>AJ130*$G$131</f>
        <v>52101.119999999995</v>
      </c>
      <c r="AK131" s="42">
        <f>AK130*$G$131</f>
        <v>104202.23999999999</v>
      </c>
      <c r="AL131" s="83">
        <f>AL130*$G$131</f>
        <v>163032.24</v>
      </c>
      <c r="AM131" s="57"/>
    </row>
    <row r="132" spans="1:39" x14ac:dyDescent="0.25">
      <c r="A132" s="53" t="s">
        <v>9</v>
      </c>
      <c r="B132" s="36">
        <v>1.7999999999999999E-2</v>
      </c>
      <c r="C132" s="22">
        <f>$B$55 * B132</f>
        <v>461411.99999999994</v>
      </c>
      <c r="D132" s="59"/>
      <c r="E132" s="59"/>
      <c r="F132" s="59"/>
      <c r="G132" s="28"/>
      <c r="H132" s="28"/>
      <c r="I132" s="32">
        <f t="shared" ref="I132:AL132" si="120">I$69*$B$132</f>
        <v>0.5625</v>
      </c>
      <c r="J132" s="33">
        <f t="shared" si="120"/>
        <v>1.125</v>
      </c>
      <c r="K132" s="33">
        <f t="shared" si="120"/>
        <v>2.25</v>
      </c>
      <c r="L132" s="33">
        <f t="shared" si="120"/>
        <v>4.5</v>
      </c>
      <c r="M132" s="33">
        <f t="shared" si="120"/>
        <v>9</v>
      </c>
      <c r="N132" s="33">
        <f t="shared" si="120"/>
        <v>18</v>
      </c>
      <c r="O132" s="33">
        <f t="shared" si="120"/>
        <v>36</v>
      </c>
      <c r="P132" s="33">
        <f t="shared" si="120"/>
        <v>72</v>
      </c>
      <c r="Q132" s="33">
        <f t="shared" si="120"/>
        <v>107.99999999999999</v>
      </c>
      <c r="R132" s="33">
        <f t="shared" si="120"/>
        <v>118.8</v>
      </c>
      <c r="S132" s="33">
        <f t="shared" si="120"/>
        <v>125.99999999999999</v>
      </c>
      <c r="T132" s="33">
        <f t="shared" si="120"/>
        <v>133.19999999999999</v>
      </c>
      <c r="U132" s="33">
        <f t="shared" si="120"/>
        <v>140.39999999999998</v>
      </c>
      <c r="V132" s="33">
        <f t="shared" si="120"/>
        <v>144</v>
      </c>
      <c r="W132" s="33">
        <f t="shared" si="120"/>
        <v>172.79999999999998</v>
      </c>
      <c r="X132" s="33">
        <f t="shared" si="120"/>
        <v>201.6</v>
      </c>
      <c r="Y132" s="33">
        <f t="shared" si="120"/>
        <v>230.39999999999998</v>
      </c>
      <c r="Z132" s="33">
        <f t="shared" si="120"/>
        <v>259.2</v>
      </c>
      <c r="AA132" s="33">
        <f t="shared" si="120"/>
        <v>288</v>
      </c>
      <c r="AB132" s="33">
        <f t="shared" si="120"/>
        <v>576</v>
      </c>
      <c r="AC132" s="33">
        <f t="shared" si="120"/>
        <v>1152</v>
      </c>
      <c r="AD132" s="33">
        <f t="shared" si="120"/>
        <v>2304</v>
      </c>
      <c r="AE132" s="33">
        <f t="shared" si="120"/>
        <v>4608</v>
      </c>
      <c r="AF132" s="33">
        <f t="shared" si="120"/>
        <v>9216</v>
      </c>
      <c r="AG132" s="33">
        <f t="shared" si="120"/>
        <v>18432</v>
      </c>
      <c r="AH132" s="33">
        <f t="shared" si="120"/>
        <v>36864</v>
      </c>
      <c r="AI132" s="33">
        <f t="shared" si="120"/>
        <v>73728</v>
      </c>
      <c r="AJ132" s="84">
        <f t="shared" si="120"/>
        <v>147456</v>
      </c>
      <c r="AK132" s="33">
        <f t="shared" si="120"/>
        <v>294912</v>
      </c>
      <c r="AL132" s="84">
        <f t="shared" si="120"/>
        <v>461411.99999999994</v>
      </c>
      <c r="AM132" s="57"/>
    </row>
    <row r="133" spans="1:39" x14ac:dyDescent="0.25">
      <c r="A133" s="53"/>
      <c r="B133" s="28"/>
      <c r="C133" s="28"/>
      <c r="D133" s="37"/>
      <c r="E133" s="37"/>
      <c r="F133" s="37"/>
      <c r="G133" s="58">
        <v>5.6000000000000001E-2</v>
      </c>
      <c r="H133" s="28"/>
      <c r="I133" s="41">
        <f t="shared" ref="I133:AH133" si="121">I132*$G$133</f>
        <v>3.15E-2</v>
      </c>
      <c r="J133" s="42">
        <f t="shared" si="121"/>
        <v>6.3E-2</v>
      </c>
      <c r="K133" s="42">
        <f t="shared" si="121"/>
        <v>0.126</v>
      </c>
      <c r="L133" s="42">
        <f t="shared" si="121"/>
        <v>0.252</v>
      </c>
      <c r="M133" s="42">
        <f t="shared" si="121"/>
        <v>0.504</v>
      </c>
      <c r="N133" s="42">
        <f t="shared" si="121"/>
        <v>1.008</v>
      </c>
      <c r="O133" s="42">
        <f t="shared" si="121"/>
        <v>2.016</v>
      </c>
      <c r="P133" s="42">
        <f t="shared" si="121"/>
        <v>4.032</v>
      </c>
      <c r="Q133" s="42">
        <f t="shared" ref="Q133:U133" si="122">Q132*$G$133</f>
        <v>6.0479999999999992</v>
      </c>
      <c r="R133" s="42">
        <f t="shared" si="122"/>
        <v>6.6528</v>
      </c>
      <c r="S133" s="42">
        <f t="shared" ref="S133:T133" si="123">S132*$G$133</f>
        <v>7.0559999999999992</v>
      </c>
      <c r="T133" s="42">
        <f t="shared" si="123"/>
        <v>7.4591999999999992</v>
      </c>
      <c r="U133" s="42">
        <f t="shared" si="122"/>
        <v>7.8623999999999992</v>
      </c>
      <c r="V133" s="42">
        <f t="shared" si="121"/>
        <v>8.0640000000000001</v>
      </c>
      <c r="W133" s="42">
        <f t="shared" ref="W133:Z133" si="124">W132*$G$133</f>
        <v>9.6768000000000001</v>
      </c>
      <c r="X133" s="42">
        <f t="shared" si="124"/>
        <v>11.2896</v>
      </c>
      <c r="Y133" s="42">
        <f t="shared" si="124"/>
        <v>12.902399999999998</v>
      </c>
      <c r="Z133" s="42">
        <f t="shared" si="124"/>
        <v>14.5152</v>
      </c>
      <c r="AA133" s="42">
        <f t="shared" si="121"/>
        <v>16.128</v>
      </c>
      <c r="AB133" s="42">
        <f t="shared" si="121"/>
        <v>32.256</v>
      </c>
      <c r="AC133" s="42">
        <f t="shared" si="121"/>
        <v>64.512</v>
      </c>
      <c r="AD133" s="42">
        <f t="shared" si="121"/>
        <v>129.024</v>
      </c>
      <c r="AE133" s="42">
        <f t="shared" si="121"/>
        <v>258.048</v>
      </c>
      <c r="AF133" s="42">
        <f t="shared" si="121"/>
        <v>516.096</v>
      </c>
      <c r="AG133" s="42">
        <f t="shared" si="121"/>
        <v>1032.192</v>
      </c>
      <c r="AH133" s="42">
        <f t="shared" si="121"/>
        <v>2064.384</v>
      </c>
      <c r="AI133" s="42">
        <f>AI132*$G$133</f>
        <v>4128.768</v>
      </c>
      <c r="AJ133" s="83">
        <f>AJ132*$G$133</f>
        <v>8257.5360000000001</v>
      </c>
      <c r="AK133" s="42">
        <f>AK132*$G$133</f>
        <v>16515.072</v>
      </c>
      <c r="AL133" s="83">
        <f>AL132*$G$133</f>
        <v>25839.071999999996</v>
      </c>
      <c r="AM133" s="57"/>
    </row>
    <row r="134" spans="1:39" x14ac:dyDescent="0.25">
      <c r="A134" s="53" t="s">
        <v>10</v>
      </c>
      <c r="B134" s="36">
        <v>0.152</v>
      </c>
      <c r="C134" s="22">
        <f>$B$55 * B134</f>
        <v>3896368</v>
      </c>
      <c r="D134" s="59"/>
      <c r="E134" s="59"/>
      <c r="F134" s="59"/>
      <c r="G134" s="28"/>
      <c r="H134" s="28"/>
      <c r="I134" s="32">
        <f t="shared" ref="I134:AL134" si="125">I$69*$B$134</f>
        <v>4.75</v>
      </c>
      <c r="J134" s="33">
        <f t="shared" si="125"/>
        <v>9.5</v>
      </c>
      <c r="K134" s="33">
        <f t="shared" si="125"/>
        <v>19</v>
      </c>
      <c r="L134" s="33">
        <f t="shared" si="125"/>
        <v>38</v>
      </c>
      <c r="M134" s="33">
        <f t="shared" si="125"/>
        <v>76</v>
      </c>
      <c r="N134" s="33">
        <f t="shared" si="125"/>
        <v>152</v>
      </c>
      <c r="O134" s="33">
        <f t="shared" si="125"/>
        <v>304</v>
      </c>
      <c r="P134" s="33">
        <f t="shared" si="125"/>
        <v>608</v>
      </c>
      <c r="Q134" s="33">
        <f t="shared" si="125"/>
        <v>912</v>
      </c>
      <c r="R134" s="33">
        <f t="shared" si="125"/>
        <v>1003.1999999999999</v>
      </c>
      <c r="S134" s="33">
        <f t="shared" si="125"/>
        <v>1064</v>
      </c>
      <c r="T134" s="33">
        <f t="shared" si="125"/>
        <v>1124.8</v>
      </c>
      <c r="U134" s="33">
        <f t="shared" si="125"/>
        <v>1185.5999999999999</v>
      </c>
      <c r="V134" s="33">
        <f t="shared" si="125"/>
        <v>1216</v>
      </c>
      <c r="W134" s="33">
        <f t="shared" si="125"/>
        <v>1459.2</v>
      </c>
      <c r="X134" s="33">
        <f t="shared" si="125"/>
        <v>1702.3999999999999</v>
      </c>
      <c r="Y134" s="33">
        <f t="shared" si="125"/>
        <v>1945.6</v>
      </c>
      <c r="Z134" s="33">
        <f t="shared" si="125"/>
        <v>2188.7999999999997</v>
      </c>
      <c r="AA134" s="33">
        <f t="shared" si="125"/>
        <v>2432</v>
      </c>
      <c r="AB134" s="33">
        <f t="shared" si="125"/>
        <v>4864</v>
      </c>
      <c r="AC134" s="33">
        <f t="shared" si="125"/>
        <v>9728</v>
      </c>
      <c r="AD134" s="33">
        <f t="shared" si="125"/>
        <v>19456</v>
      </c>
      <c r="AE134" s="33">
        <f t="shared" si="125"/>
        <v>38912</v>
      </c>
      <c r="AF134" s="33">
        <f t="shared" si="125"/>
        <v>77824</v>
      </c>
      <c r="AG134" s="33">
        <f t="shared" si="125"/>
        <v>155648</v>
      </c>
      <c r="AH134" s="33">
        <f t="shared" si="125"/>
        <v>311296</v>
      </c>
      <c r="AI134" s="33">
        <f t="shared" si="125"/>
        <v>622592</v>
      </c>
      <c r="AJ134" s="84">
        <f t="shared" si="125"/>
        <v>1245184</v>
      </c>
      <c r="AK134" s="33">
        <f t="shared" si="125"/>
        <v>2490368</v>
      </c>
      <c r="AL134" s="84">
        <f t="shared" si="125"/>
        <v>3896368</v>
      </c>
      <c r="AM134" s="57"/>
    </row>
    <row r="135" spans="1:39" x14ac:dyDescent="0.25">
      <c r="A135" s="49"/>
      <c r="B135" s="51"/>
      <c r="C135" s="51"/>
      <c r="D135" s="67"/>
      <c r="E135" s="67"/>
      <c r="F135" s="67"/>
      <c r="G135" s="68" t="s">
        <v>11</v>
      </c>
      <c r="H135" s="51"/>
      <c r="I135" s="41" t="s">
        <v>11</v>
      </c>
      <c r="J135" s="42" t="s">
        <v>11</v>
      </c>
      <c r="K135" s="42" t="s">
        <v>11</v>
      </c>
      <c r="L135" s="42" t="s">
        <v>11</v>
      </c>
      <c r="M135" s="42" t="s">
        <v>11</v>
      </c>
      <c r="N135" s="42" t="s">
        <v>11</v>
      </c>
      <c r="O135" s="42" t="s">
        <v>11</v>
      </c>
      <c r="P135" s="42" t="s">
        <v>11</v>
      </c>
      <c r="Q135" s="42" t="s">
        <v>11</v>
      </c>
      <c r="R135" s="42" t="s">
        <v>11</v>
      </c>
      <c r="S135" s="42" t="s">
        <v>11</v>
      </c>
      <c r="T135" s="42" t="s">
        <v>11</v>
      </c>
      <c r="U135" s="42" t="s">
        <v>11</v>
      </c>
      <c r="V135" s="42" t="s">
        <v>11</v>
      </c>
      <c r="W135" s="42" t="s">
        <v>11</v>
      </c>
      <c r="X135" s="42" t="s">
        <v>11</v>
      </c>
      <c r="Y135" s="42" t="s">
        <v>11</v>
      </c>
      <c r="Z135" s="42" t="s">
        <v>11</v>
      </c>
      <c r="AA135" s="42" t="s">
        <v>11</v>
      </c>
      <c r="AB135" s="42" t="s">
        <v>11</v>
      </c>
      <c r="AC135" s="42" t="s">
        <v>11</v>
      </c>
      <c r="AD135" s="42" t="s">
        <v>11</v>
      </c>
      <c r="AE135" s="42" t="s">
        <v>11</v>
      </c>
      <c r="AF135" s="42" t="s">
        <v>11</v>
      </c>
      <c r="AG135" s="42" t="s">
        <v>11</v>
      </c>
      <c r="AH135" s="42" t="s">
        <v>11</v>
      </c>
      <c r="AI135" s="42" t="s">
        <v>11</v>
      </c>
      <c r="AJ135" s="83" t="s">
        <v>11</v>
      </c>
      <c r="AK135" s="44" t="s">
        <v>11</v>
      </c>
      <c r="AL135" s="85" t="s">
        <v>11</v>
      </c>
      <c r="AM135" s="57"/>
    </row>
    <row r="136" spans="1:39" x14ac:dyDescent="0.25">
      <c r="A136" s="53"/>
      <c r="B136" s="28"/>
      <c r="C136" s="28"/>
      <c r="D136" s="59"/>
      <c r="E136" s="59"/>
      <c r="F136" s="59"/>
      <c r="G136" s="28"/>
      <c r="H136" s="28"/>
      <c r="I136" s="30">
        <f>SUM(I124,I126,I128,I130,I132,I134)</f>
        <v>21.40625</v>
      </c>
      <c r="J136" s="31">
        <f t="shared" ref="J136:AH136" si="126">SUM(J124,J126,J128,J130,J132,J134)</f>
        <v>42.8125</v>
      </c>
      <c r="K136" s="31">
        <f t="shared" si="126"/>
        <v>85.625</v>
      </c>
      <c r="L136" s="31">
        <f t="shared" si="126"/>
        <v>171.25</v>
      </c>
      <c r="M136" s="31">
        <f t="shared" si="126"/>
        <v>342.5</v>
      </c>
      <c r="N136" s="31">
        <f t="shared" si="126"/>
        <v>685</v>
      </c>
      <c r="O136" s="31">
        <f>SUM(O124,O126,O128,O130,O132,O134)</f>
        <v>1370</v>
      </c>
      <c r="P136" s="31">
        <f t="shared" si="126"/>
        <v>2740</v>
      </c>
      <c r="Q136" s="31">
        <f t="shared" ref="Q136:U136" si="127">SUM(Q124,Q126,Q128,Q130,Q132,Q134)</f>
        <v>4110</v>
      </c>
      <c r="R136" s="31">
        <f t="shared" si="127"/>
        <v>4521</v>
      </c>
      <c r="S136" s="31">
        <f t="shared" ref="S136:T136" si="128">SUM(S124,S126,S128,S130,S132,S134)</f>
        <v>4795</v>
      </c>
      <c r="T136" s="31">
        <f t="shared" si="128"/>
        <v>5069</v>
      </c>
      <c r="U136" s="31">
        <f t="shared" si="127"/>
        <v>5343</v>
      </c>
      <c r="V136" s="31">
        <f t="shared" si="126"/>
        <v>5480</v>
      </c>
      <c r="W136" s="31">
        <f t="shared" ref="W136:Z136" si="129">SUM(W124,W126,W128,W130,W132,W134)</f>
        <v>6576</v>
      </c>
      <c r="X136" s="31">
        <f t="shared" si="129"/>
        <v>7672</v>
      </c>
      <c r="Y136" s="31">
        <f t="shared" si="129"/>
        <v>8768</v>
      </c>
      <c r="Z136" s="31">
        <f t="shared" si="129"/>
        <v>9864</v>
      </c>
      <c r="AA136" s="31">
        <f t="shared" si="126"/>
        <v>10960</v>
      </c>
      <c r="AB136" s="31">
        <f t="shared" si="126"/>
        <v>21920</v>
      </c>
      <c r="AC136" s="31">
        <f t="shared" si="126"/>
        <v>43840</v>
      </c>
      <c r="AD136" s="31">
        <f t="shared" si="126"/>
        <v>87680</v>
      </c>
      <c r="AE136" s="31">
        <f t="shared" si="126"/>
        <v>175360</v>
      </c>
      <c r="AF136" s="31">
        <f t="shared" si="126"/>
        <v>350720</v>
      </c>
      <c r="AG136" s="31">
        <f t="shared" si="126"/>
        <v>701440</v>
      </c>
      <c r="AH136" s="31">
        <f t="shared" si="126"/>
        <v>1402880</v>
      </c>
      <c r="AI136" s="31">
        <f t="shared" ref="AI136:AL137" si="130">SUM(AI124,AI126,AI128,AI130,AI132,AI134)</f>
        <v>2805760</v>
      </c>
      <c r="AJ136" s="72">
        <f t="shared" si="130"/>
        <v>5611520</v>
      </c>
      <c r="AK136" s="33">
        <f t="shared" si="130"/>
        <v>11223040</v>
      </c>
      <c r="AL136" s="84">
        <f t="shared" si="130"/>
        <v>17559290</v>
      </c>
      <c r="AM136" s="57"/>
    </row>
    <row r="137" spans="1:39" x14ac:dyDescent="0.25">
      <c r="A137" s="49" t="s">
        <v>132</v>
      </c>
      <c r="B137" s="51"/>
      <c r="C137" s="51"/>
      <c r="D137" s="51"/>
      <c r="E137" s="51"/>
      <c r="F137" s="51"/>
      <c r="G137" s="51"/>
      <c r="H137" s="51"/>
      <c r="I137" s="43">
        <f>SUM(I125,I127,I129,I131,I133,I135)</f>
        <v>1.11640625</v>
      </c>
      <c r="J137" s="44">
        <f t="shared" ref="J137:AH137" si="131">SUM(J125,J127,J129,J131,J133,J135)</f>
        <v>2.2328125000000001</v>
      </c>
      <c r="K137" s="44">
        <f t="shared" si="131"/>
        <v>4.4656250000000002</v>
      </c>
      <c r="L137" s="44">
        <f t="shared" si="131"/>
        <v>8.9312500000000004</v>
      </c>
      <c r="M137" s="44">
        <f t="shared" si="131"/>
        <v>17.862500000000001</v>
      </c>
      <c r="N137" s="44">
        <f t="shared" si="131"/>
        <v>35.725000000000001</v>
      </c>
      <c r="O137" s="44">
        <f t="shared" si="131"/>
        <v>71.45</v>
      </c>
      <c r="P137" s="44">
        <f t="shared" si="131"/>
        <v>142.9</v>
      </c>
      <c r="Q137" s="44">
        <f t="shared" ref="Q137:U137" si="132">SUM(Q125,Q127,Q129,Q131,Q133,Q135)</f>
        <v>214.35</v>
      </c>
      <c r="R137" s="44">
        <f t="shared" si="132"/>
        <v>235.78500000000003</v>
      </c>
      <c r="S137" s="44">
        <f t="shared" ref="S137:T137" si="133">SUM(S125,S127,S129,S131,S133,S135)</f>
        <v>250.07500000000002</v>
      </c>
      <c r="T137" s="44">
        <f t="shared" si="133"/>
        <v>264.36500000000001</v>
      </c>
      <c r="U137" s="44">
        <f t="shared" si="132"/>
        <v>278.65499999999997</v>
      </c>
      <c r="V137" s="44">
        <f t="shared" si="131"/>
        <v>285.8</v>
      </c>
      <c r="W137" s="44">
        <f t="shared" ref="W137:Z137" si="134">SUM(W125,W127,W129,W131,W133,W135)</f>
        <v>342.96</v>
      </c>
      <c r="X137" s="44">
        <f t="shared" si="134"/>
        <v>400.11999999999995</v>
      </c>
      <c r="Y137" s="44">
        <f t="shared" si="134"/>
        <v>457.28000000000003</v>
      </c>
      <c r="Z137" s="44">
        <f t="shared" si="134"/>
        <v>514.44000000000005</v>
      </c>
      <c r="AA137" s="44">
        <f t="shared" si="131"/>
        <v>571.6</v>
      </c>
      <c r="AB137" s="44">
        <f t="shared" si="131"/>
        <v>1143.2</v>
      </c>
      <c r="AC137" s="44">
        <f t="shared" si="131"/>
        <v>2286.4</v>
      </c>
      <c r="AD137" s="44">
        <f t="shared" si="131"/>
        <v>4572.8</v>
      </c>
      <c r="AE137" s="44">
        <f t="shared" si="131"/>
        <v>9145.6</v>
      </c>
      <c r="AF137" s="44">
        <f t="shared" si="131"/>
        <v>18291.2</v>
      </c>
      <c r="AG137" s="44">
        <f t="shared" si="131"/>
        <v>36582.400000000001</v>
      </c>
      <c r="AH137" s="44">
        <f t="shared" si="131"/>
        <v>73164.800000000003</v>
      </c>
      <c r="AI137" s="44">
        <f t="shared" si="130"/>
        <v>146329.60000000001</v>
      </c>
      <c r="AJ137" s="85">
        <f t="shared" si="130"/>
        <v>292659.20000000001</v>
      </c>
      <c r="AK137" s="44">
        <f t="shared" si="130"/>
        <v>585318.40000000002</v>
      </c>
      <c r="AL137" s="85">
        <f t="shared" si="130"/>
        <v>915774.65</v>
      </c>
      <c r="AM137" s="57"/>
    </row>
  </sheetData>
  <conditionalFormatting sqref="AK80:AM80 I80:AI80">
    <cfRule type="cellIs" dxfId="28" priority="36" operator="greaterThan">
      <formula>$C$59</formula>
    </cfRule>
  </conditionalFormatting>
  <conditionalFormatting sqref="AK82:AL82 I82:AI82">
    <cfRule type="cellIs" dxfId="27" priority="35" operator="greaterThan">
      <formula>$C$60</formula>
    </cfRule>
  </conditionalFormatting>
  <conditionalFormatting sqref="I101:AL101">
    <cfRule type="cellIs" dxfId="26" priority="34" operator="greaterThan">
      <formula>$C$101</formula>
    </cfRule>
  </conditionalFormatting>
  <conditionalFormatting sqref="I103:AL103">
    <cfRule type="cellIs" dxfId="25" priority="33" operator="greaterThan">
      <formula>$C$103</formula>
    </cfRule>
  </conditionalFormatting>
  <conditionalFormatting sqref="I105:AL105">
    <cfRule type="cellIs" dxfId="24" priority="32" operator="greaterThan">
      <formula>$C$105</formula>
    </cfRule>
  </conditionalFormatting>
  <conditionalFormatting sqref="I107:AL107">
    <cfRule type="cellIs" dxfId="23" priority="24" operator="greaterThan">
      <formula>$C$107</formula>
    </cfRule>
  </conditionalFormatting>
  <conditionalFormatting sqref="I109:AL109">
    <cfRule type="cellIs" dxfId="22" priority="23" operator="greaterThan">
      <formula>$C$109</formula>
    </cfRule>
  </conditionalFormatting>
  <conditionalFormatting sqref="I111:AL111">
    <cfRule type="cellIs" dxfId="21" priority="22" operator="greaterThan">
      <formula>$C$111</formula>
    </cfRule>
  </conditionalFormatting>
  <conditionalFormatting sqref="I113:AL113">
    <cfRule type="cellIs" dxfId="20" priority="21" operator="greaterThan">
      <formula>$C$113</formula>
    </cfRule>
  </conditionalFormatting>
  <conditionalFormatting sqref="I115:AL115">
    <cfRule type="cellIs" dxfId="19" priority="20" operator="greaterThan">
      <formula>$C$115</formula>
    </cfRule>
  </conditionalFormatting>
  <conditionalFormatting sqref="I117:AL117">
    <cfRule type="cellIs" dxfId="18" priority="19" operator="greaterThan">
      <formula>$C$117</formula>
    </cfRule>
  </conditionalFormatting>
  <conditionalFormatting sqref="AK71:AL71 I71:AI71">
    <cfRule type="cellIs" dxfId="17" priority="18" operator="equal">
      <formula>0</formula>
    </cfRule>
  </conditionalFormatting>
  <conditionalFormatting sqref="AK78 I80:AI80 J82:AI82 I78:AI78">
    <cfRule type="cellIs" dxfId="16" priority="17" operator="equal">
      <formula>0</formula>
    </cfRule>
  </conditionalFormatting>
  <conditionalFormatting sqref="AK80:AL80">
    <cfRule type="cellIs" dxfId="15" priority="16" operator="equal">
      <formula>0</formula>
    </cfRule>
  </conditionalFormatting>
  <conditionalFormatting sqref="AK82:AL82">
    <cfRule type="cellIs" dxfId="14" priority="15" operator="equal">
      <formula>0</formula>
    </cfRule>
  </conditionalFormatting>
  <conditionalFormatting sqref="D103:F103">
    <cfRule type="cellIs" dxfId="13" priority="14" operator="greaterThan">
      <formula>$B$103</formula>
    </cfRule>
  </conditionalFormatting>
  <conditionalFormatting sqref="D105:F105">
    <cfRule type="cellIs" dxfId="12" priority="13" operator="greaterThan">
      <formula>$B$105</formula>
    </cfRule>
  </conditionalFormatting>
  <conditionalFormatting sqref="D107:F107">
    <cfRule type="cellIs" dxfId="11" priority="12" operator="greaterThan">
      <formula>$B$107</formula>
    </cfRule>
  </conditionalFormatting>
  <conditionalFormatting sqref="D109:F109">
    <cfRule type="cellIs" dxfId="10" priority="11" operator="greaterThan">
      <formula>$B$109</formula>
    </cfRule>
  </conditionalFormatting>
  <conditionalFormatting sqref="D111:F111">
    <cfRule type="cellIs" dxfId="9" priority="10" operator="greaterThan">
      <formula>$B$111</formula>
    </cfRule>
  </conditionalFormatting>
  <conditionalFormatting sqref="D113:F113">
    <cfRule type="cellIs" dxfId="8" priority="9" operator="greaterThan">
      <formula>$B$113</formula>
    </cfRule>
  </conditionalFormatting>
  <conditionalFormatting sqref="D115:F115">
    <cfRule type="cellIs" dxfId="7" priority="8" operator="greaterThan">
      <formula>$B$115</formula>
    </cfRule>
  </conditionalFormatting>
  <conditionalFormatting sqref="D117:F117">
    <cfRule type="cellIs" dxfId="6" priority="7" operator="greaterThan">
      <formula>$B$117</formula>
    </cfRule>
  </conditionalFormatting>
  <conditionalFormatting sqref="AJ80">
    <cfRule type="cellIs" dxfId="5" priority="6" operator="greaterThan">
      <formula>$C$59</formula>
    </cfRule>
  </conditionalFormatting>
  <conditionalFormatting sqref="AJ82">
    <cfRule type="cellIs" dxfId="4" priority="5" operator="greaterThan">
      <formula>$C$60</formula>
    </cfRule>
  </conditionalFormatting>
  <conditionalFormatting sqref="AJ71">
    <cfRule type="cellIs" dxfId="3" priority="4" operator="equal">
      <formula>0</formula>
    </cfRule>
  </conditionalFormatting>
  <conditionalFormatting sqref="AJ78">
    <cfRule type="cellIs" dxfId="2" priority="3" operator="equal">
      <formula>0</formula>
    </cfRule>
  </conditionalFormatting>
  <conditionalFormatting sqref="AJ80">
    <cfRule type="cellIs" dxfId="1" priority="2" operator="equal">
      <formula>0</formula>
    </cfRule>
  </conditionalFormatting>
  <conditionalFormatting sqref="AJ82">
    <cfRule type="cellIs" dxfId="0" priority="1" operator="equal">
      <formula>0</formula>
    </cfRule>
  </conditionalFormatting>
  <hyperlinks>
    <hyperlink ref="D100" r:id="rId1" xr:uid="{98D6456F-EA03-4FCB-8D3D-1822F6B38CCF}"/>
    <hyperlink ref="G100" r:id="rId2" location="case-fatality-rate-of-covid-19-by-age" xr:uid="{0058192C-B05A-45D2-8597-C1F9B3D9241E}"/>
    <hyperlink ref="G123" r:id="rId3" location="case-fatality-rate-of-covid-19-by-preexisting-health-conditions" xr:uid="{110A2613-24A6-4768-B90C-571B307D13E2}"/>
    <hyperlink ref="B55" r:id="rId4" display="https://www.abs.gov.au/ausstats/abs@.nsf/0/1647509ef7e25faaca2568a900154b63?opendocument" xr:uid="{63727E5E-0850-4414-8DD8-E50A09A5AEE8}"/>
    <hyperlink ref="B100" r:id="rId5" xr:uid="{E432DB14-5D35-4B35-8F24-1C070D7F22B3}"/>
    <hyperlink ref="B57" r:id="rId6" display="https://cmmid.github.io/topics/covid19/severity/global_cfr_estimates.html" xr:uid="{49B36C88-7FC3-4DAA-BBA5-EABFD6685804}"/>
    <hyperlink ref="A5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F6" sqref="F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219</v>
      </c>
      <c r="C3" s="179">
        <f>Projections!B55</f>
        <v>25634000</v>
      </c>
      <c r="J3" s="2"/>
    </row>
    <row r="4" spans="2:10" x14ac:dyDescent="0.25">
      <c r="B4" s="195" t="s">
        <v>237</v>
      </c>
      <c r="C4" s="179">
        <v>32</v>
      </c>
      <c r="J4" s="2"/>
    </row>
    <row r="5" spans="2:10" x14ac:dyDescent="0.25">
      <c r="B5" s="195" t="s">
        <v>238</v>
      </c>
      <c r="C5" s="177">
        <v>43892</v>
      </c>
      <c r="J5" s="2"/>
    </row>
    <row r="6" spans="2:10" x14ac:dyDescent="0.25">
      <c r="B6" s="195" t="s">
        <v>220</v>
      </c>
      <c r="C6" s="179">
        <v>23287</v>
      </c>
    </row>
    <row r="7" spans="2:10" x14ac:dyDescent="0.25">
      <c r="B7" s="195" t="s">
        <v>222</v>
      </c>
      <c r="C7" s="177">
        <f ca="1">NOW()</f>
        <v>44059.856085069441</v>
      </c>
    </row>
    <row r="8" spans="2:10" x14ac:dyDescent="0.25">
      <c r="B8" s="195" t="s">
        <v>239</v>
      </c>
      <c r="C8" s="178">
        <f ca="1">C7-C5</f>
        <v>167.85608506944118</v>
      </c>
    </row>
    <row r="9" spans="2:10" x14ac:dyDescent="0.25">
      <c r="B9" s="195" t="s">
        <v>221</v>
      </c>
      <c r="C9" s="180">
        <f ca="1">C8/(LOG(C6/C4)/LOG(2))</f>
        <v>17.655611406478048</v>
      </c>
      <c r="D9" t="s">
        <v>197</v>
      </c>
      <c r="F9" t="s">
        <v>240</v>
      </c>
    </row>
    <row r="10" spans="2:10" x14ac:dyDescent="0.25">
      <c r="B10" s="195" t="s">
        <v>226</v>
      </c>
      <c r="C10" s="179">
        <f>Projections!C59</f>
        <v>66648.400000000009</v>
      </c>
    </row>
    <row r="11" spans="2:10" x14ac:dyDescent="0.25">
      <c r="B11" s="196" t="s">
        <v>227</v>
      </c>
      <c r="C11" s="184">
        <f>Projections!C60</f>
        <v>1896.9159999999999</v>
      </c>
    </row>
    <row r="12" spans="2:10" s="81" customFormat="1" x14ac:dyDescent="0.25">
      <c r="B12" s="74" t="s">
        <v>273</v>
      </c>
      <c r="C12" s="185">
        <f>C6/Projections!B57</f>
        <v>26780.049999999996</v>
      </c>
    </row>
    <row r="13" spans="2:10" s="81" customFormat="1" x14ac:dyDescent="0.25">
      <c r="B13" s="60" t="s">
        <v>274</v>
      </c>
      <c r="C13" s="186">
        <f ca="1">(C4/Projections!B57)*(2^(((C7-21)-C5)/C9))</f>
        <v>11742.463458527307</v>
      </c>
    </row>
    <row r="14" spans="2:10" s="81" customFormat="1" x14ac:dyDescent="0.25">
      <c r="B14" s="61" t="s">
        <v>275</v>
      </c>
      <c r="C14" s="165">
        <f ca="1">C12-C13</f>
        <v>15037.586541472689</v>
      </c>
      <c r="E14" s="182"/>
      <c r="F14" s="183" t="s">
        <v>244</v>
      </c>
      <c r="G14" s="181"/>
    </row>
    <row r="15" spans="2:10" x14ac:dyDescent="0.25">
      <c r="B15" s="16" t="s">
        <v>241</v>
      </c>
      <c r="C15" s="76">
        <f>C6*Projections!B61</f>
        <v>20958.3</v>
      </c>
      <c r="I15" s="176"/>
    </row>
    <row r="16" spans="2:10" x14ac:dyDescent="0.25">
      <c r="B16" s="53" t="s">
        <v>251</v>
      </c>
      <c r="C16" s="95">
        <f ca="1">(C4*Projections!B61)*(2^(((C7-21)-C5)/C9))</f>
        <v>9189.7540110213722</v>
      </c>
      <c r="I16" s="176"/>
    </row>
    <row r="17" spans="2:9" x14ac:dyDescent="0.25">
      <c r="B17" s="53" t="s">
        <v>242</v>
      </c>
      <c r="C17" s="95">
        <f ca="1">C15-C16</f>
        <v>11768.545988978627</v>
      </c>
      <c r="F17" t="s">
        <v>245</v>
      </c>
      <c r="I17" s="176"/>
    </row>
    <row r="18" spans="2:9" x14ac:dyDescent="0.25">
      <c r="B18" s="16" t="s">
        <v>247</v>
      </c>
      <c r="C18" s="76">
        <f>C6*Projections!B62</f>
        <v>2095.83</v>
      </c>
    </row>
    <row r="19" spans="2:9" x14ac:dyDescent="0.25">
      <c r="B19" s="53" t="s">
        <v>252</v>
      </c>
      <c r="C19" s="95">
        <f ca="1">(C4*Projections!B62)*(2^(((C7-49)-C5)/C9))</f>
        <v>306.12655081790018</v>
      </c>
    </row>
    <row r="20" spans="2:9" x14ac:dyDescent="0.25">
      <c r="B20" s="53" t="s">
        <v>246</v>
      </c>
      <c r="C20" s="95">
        <f ca="1">C18-C19</f>
        <v>1789.7034491820998</v>
      </c>
      <c r="F20" t="s">
        <v>250</v>
      </c>
    </row>
    <row r="21" spans="2:9" x14ac:dyDescent="0.25">
      <c r="B21" s="16" t="s">
        <v>248</v>
      </c>
      <c r="C21" s="76">
        <f>C6*Projections!B63</f>
        <v>232.87</v>
      </c>
      <c r="I21" s="176"/>
    </row>
    <row r="22" spans="2:9" x14ac:dyDescent="0.25">
      <c r="B22" s="53" t="s">
        <v>253</v>
      </c>
      <c r="C22" s="95">
        <f ca="1">(C4*Projections!B63)*(2^(((C7-49)-C5)/C9))</f>
        <v>34.014061201988909</v>
      </c>
      <c r="I22" s="176"/>
    </row>
    <row r="23" spans="2:9" x14ac:dyDescent="0.25">
      <c r="B23" s="53" t="s">
        <v>249</v>
      </c>
      <c r="C23" s="95">
        <f ca="1">C21-C22</f>
        <v>198.8559387980111</v>
      </c>
      <c r="I23" s="176"/>
    </row>
    <row r="24" spans="2:9" x14ac:dyDescent="0.25">
      <c r="B24" s="16" t="s">
        <v>254</v>
      </c>
      <c r="C24" s="76">
        <f>C6*Projections!B64</f>
        <v>267.8005</v>
      </c>
    </row>
    <row r="25" spans="2:9" x14ac:dyDescent="0.25">
      <c r="B25" s="49" t="s">
        <v>255</v>
      </c>
      <c r="C25" s="73">
        <f ca="1">(C4*Projections!B64)*(2^(((C7-42)-C5)/C9))</f>
        <v>51.488121969469468</v>
      </c>
      <c r="F25" t="s">
        <v>256</v>
      </c>
    </row>
    <row r="26" spans="2:9" x14ac:dyDescent="0.25">
      <c r="B26" s="53" t="s">
        <v>232</v>
      </c>
      <c r="C26" s="189">
        <f ca="1">C9*(LOG(C10/C21)/LOG(2))</f>
        <v>144.0857080512292</v>
      </c>
      <c r="D26" t="s">
        <v>197</v>
      </c>
      <c r="F26" s="81" t="s">
        <v>257</v>
      </c>
    </row>
    <row r="27" spans="2:9" x14ac:dyDescent="0.25">
      <c r="B27" s="49" t="s">
        <v>228</v>
      </c>
      <c r="C27" s="188">
        <f ca="1">C7+C26</f>
        <v>44203.94179312067</v>
      </c>
      <c r="F27" t="s">
        <v>258</v>
      </c>
    </row>
    <row r="28" spans="2:9" x14ac:dyDescent="0.25">
      <c r="B28" s="16" t="s">
        <v>233</v>
      </c>
      <c r="C28" s="187">
        <f ca="1">C9*(LOG(C11/C21)/LOG(2))</f>
        <v>53.426923491160466</v>
      </c>
      <c r="D28" t="s">
        <v>197</v>
      </c>
    </row>
    <row r="29" spans="2:9" x14ac:dyDescent="0.25">
      <c r="B29" s="49" t="s">
        <v>229</v>
      </c>
      <c r="C29" s="188">
        <f ca="1">C7+C28</f>
        <v>44113.283008560604</v>
      </c>
      <c r="F29" t="s">
        <v>258</v>
      </c>
    </row>
    <row r="30" spans="2:9" x14ac:dyDescent="0.25">
      <c r="B30" s="16" t="s">
        <v>234</v>
      </c>
      <c r="C30" s="187">
        <f ca="1">C9*(LOG((C3*0.6)/C12)/LOG(2))</f>
        <v>161.82636682559945</v>
      </c>
      <c r="D30" t="s">
        <v>197</v>
      </c>
    </row>
    <row r="31" spans="2:9" x14ac:dyDescent="0.25">
      <c r="B31" s="49" t="s">
        <v>231</v>
      </c>
      <c r="C31" s="188">
        <f ca="1">C7+C30</f>
        <v>44221.682451895038</v>
      </c>
    </row>
    <row r="34" spans="2:6" x14ac:dyDescent="0.25">
      <c r="B34" s="16" t="s">
        <v>235</v>
      </c>
      <c r="C34" s="177">
        <f ca="1">C7+30</f>
        <v>44089.856085069441</v>
      </c>
      <c r="F34" t="s">
        <v>276</v>
      </c>
    </row>
    <row r="35" spans="2:6" x14ac:dyDescent="0.25">
      <c r="B35" s="53" t="s">
        <v>236</v>
      </c>
      <c r="C35" s="95">
        <f ca="1">C6*(2^((C34-C7)/C9))</f>
        <v>75616.511497908519</v>
      </c>
      <c r="F35" t="s">
        <v>243</v>
      </c>
    </row>
    <row r="36" spans="2:6" x14ac:dyDescent="0.25">
      <c r="B36" s="53" t="s">
        <v>230</v>
      </c>
      <c r="C36" s="95">
        <f ca="1">C35/Projections!B57</f>
        <v>86958.988222594795</v>
      </c>
    </row>
    <row r="37" spans="2:6" x14ac:dyDescent="0.25">
      <c r="B37" s="53" t="s">
        <v>172</v>
      </c>
      <c r="C37" s="95">
        <f ca="1">C35*Projections!B61</f>
        <v>68054.860348117669</v>
      </c>
    </row>
    <row r="38" spans="2:6" x14ac:dyDescent="0.25">
      <c r="B38" s="53" t="s">
        <v>223</v>
      </c>
      <c r="C38" s="95">
        <f ca="1">C35*Projections!B62</f>
        <v>6805.4860348117663</v>
      </c>
    </row>
    <row r="39" spans="2:6" x14ac:dyDescent="0.25">
      <c r="B39" s="53" t="s">
        <v>224</v>
      </c>
      <c r="C39" s="95">
        <f ca="1">C35*Projections!B63</f>
        <v>756.16511497908516</v>
      </c>
    </row>
    <row r="40" spans="2:6" x14ac:dyDescent="0.25">
      <c r="B40" s="49" t="s">
        <v>225</v>
      </c>
      <c r="C40" s="73">
        <f ca="1">C35*Projections!B64</f>
        <v>869.58988222594792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J31"/>
  <sheetViews>
    <sheetView workbookViewId="0">
      <selection activeCell="E36" sqref="E36"/>
    </sheetView>
  </sheetViews>
  <sheetFormatPr defaultRowHeight="15" x14ac:dyDescent="0.25"/>
  <cols>
    <col min="1" max="1" width="10.7109375" bestFit="1" customWidth="1"/>
  </cols>
  <sheetData>
    <row r="1" spans="1:5" x14ac:dyDescent="0.25">
      <c r="A1" t="s">
        <v>342</v>
      </c>
    </row>
    <row r="3" spans="1:5" x14ac:dyDescent="0.25">
      <c r="A3" s="276">
        <v>44059</v>
      </c>
    </row>
    <row r="4" spans="1:5" x14ac:dyDescent="0.25">
      <c r="A4" t="s">
        <v>299</v>
      </c>
    </row>
    <row r="5" spans="1:5" x14ac:dyDescent="0.25">
      <c r="A5" t="s">
        <v>136</v>
      </c>
      <c r="B5" t="s">
        <v>297</v>
      </c>
      <c r="C5" t="s">
        <v>298</v>
      </c>
      <c r="D5" t="s">
        <v>137</v>
      </c>
      <c r="E5" t="s">
        <v>138</v>
      </c>
    </row>
    <row r="6" spans="1:5" x14ac:dyDescent="0.25">
      <c r="A6" s="53" t="s">
        <v>13</v>
      </c>
      <c r="B6" s="28">
        <v>576</v>
      </c>
      <c r="C6" s="28">
        <v>1018</v>
      </c>
      <c r="D6">
        <f>SUM(B6:C6)</f>
        <v>1594</v>
      </c>
      <c r="E6" s="3">
        <f t="shared" ref="E6:E14" si="0">D6/$D$16</f>
        <v>6.931338870287429E-2</v>
      </c>
    </row>
    <row r="7" spans="1:5" x14ac:dyDescent="0.25">
      <c r="A7" s="53" t="s">
        <v>14</v>
      </c>
      <c r="B7" s="28">
        <v>734</v>
      </c>
      <c r="C7" s="28">
        <v>637</v>
      </c>
      <c r="D7">
        <f t="shared" ref="D7:D14" si="1">SUM(B7:C7)</f>
        <v>1371</v>
      </c>
      <c r="E7" s="3">
        <f t="shared" si="0"/>
        <v>5.9616471713701789E-2</v>
      </c>
    </row>
    <row r="8" spans="1:5" x14ac:dyDescent="0.25">
      <c r="A8" s="53" t="s">
        <v>15</v>
      </c>
      <c r="B8" s="28">
        <v>1020</v>
      </c>
      <c r="C8" s="28">
        <v>1056</v>
      </c>
      <c r="D8">
        <f t="shared" si="1"/>
        <v>2076</v>
      </c>
      <c r="E8" s="3">
        <f t="shared" si="0"/>
        <v>9.0272644257946691E-2</v>
      </c>
    </row>
    <row r="9" spans="1:5" x14ac:dyDescent="0.25">
      <c r="A9" s="53" t="s">
        <v>16</v>
      </c>
      <c r="B9" s="59">
        <v>1340</v>
      </c>
      <c r="C9" s="59">
        <v>1457</v>
      </c>
      <c r="D9">
        <f t="shared" si="1"/>
        <v>2797</v>
      </c>
      <c r="E9" s="3">
        <f t="shared" si="0"/>
        <v>0.12162455972518155</v>
      </c>
    </row>
    <row r="10" spans="1:5" x14ac:dyDescent="0.25">
      <c r="A10" s="53" t="s">
        <v>17</v>
      </c>
      <c r="B10" s="59">
        <v>1523</v>
      </c>
      <c r="C10" s="59">
        <v>1444</v>
      </c>
      <c r="D10">
        <f t="shared" si="1"/>
        <v>2967</v>
      </c>
      <c r="E10" s="3">
        <f t="shared" si="0"/>
        <v>0.12901682828194982</v>
      </c>
    </row>
    <row r="11" spans="1:5" x14ac:dyDescent="0.25">
      <c r="A11" s="53" t="s">
        <v>18</v>
      </c>
      <c r="B11" s="59">
        <v>2028</v>
      </c>
      <c r="C11" s="59">
        <v>1964</v>
      </c>
      <c r="D11">
        <f t="shared" si="1"/>
        <v>3992</v>
      </c>
      <c r="E11" s="3">
        <f t="shared" si="0"/>
        <v>0.17358785928599382</v>
      </c>
    </row>
    <row r="12" spans="1:5" x14ac:dyDescent="0.25">
      <c r="A12" s="53" t="s">
        <v>19</v>
      </c>
      <c r="B12" s="59">
        <v>2510</v>
      </c>
      <c r="C12" s="59">
        <v>2735</v>
      </c>
      <c r="D12">
        <f t="shared" si="1"/>
        <v>5245</v>
      </c>
      <c r="E12" s="3">
        <f t="shared" si="0"/>
        <v>0.2280732269426447</v>
      </c>
    </row>
    <row r="13" spans="1:5" ht="15.75" customHeight="1" x14ac:dyDescent="0.25">
      <c r="A13" s="54" t="s">
        <v>20</v>
      </c>
      <c r="B13" s="282">
        <v>996</v>
      </c>
      <c r="C13" s="282">
        <v>917</v>
      </c>
      <c r="D13">
        <f t="shared" si="1"/>
        <v>1913</v>
      </c>
      <c r="E13" s="3">
        <f t="shared" si="0"/>
        <v>8.3184763229986525E-2</v>
      </c>
    </row>
    <row r="14" spans="1:5" x14ac:dyDescent="0.25">
      <c r="A14" s="54" t="s">
        <v>21</v>
      </c>
      <c r="B14" s="282">
        <v>547</v>
      </c>
      <c r="C14" s="282">
        <v>495</v>
      </c>
      <c r="D14">
        <f t="shared" si="1"/>
        <v>1042</v>
      </c>
      <c r="E14" s="3">
        <f t="shared" si="0"/>
        <v>4.5310257859720836E-2</v>
      </c>
    </row>
    <row r="16" spans="1:5" x14ac:dyDescent="0.25">
      <c r="A16" t="s">
        <v>139</v>
      </c>
      <c r="D16">
        <f>SUM(D6:D14)</f>
        <v>22997</v>
      </c>
    </row>
    <row r="18" spans="1:10" x14ac:dyDescent="0.25">
      <c r="A18" t="s">
        <v>225</v>
      </c>
    </row>
    <row r="19" spans="1:10" x14ac:dyDescent="0.25">
      <c r="A19" t="s">
        <v>136</v>
      </c>
      <c r="B19" t="s">
        <v>297</v>
      </c>
      <c r="C19" t="s">
        <v>298</v>
      </c>
      <c r="D19" t="s">
        <v>225</v>
      </c>
      <c r="E19" t="s">
        <v>138</v>
      </c>
      <c r="F19" t="s">
        <v>3</v>
      </c>
      <c r="H19" s="283" t="s">
        <v>300</v>
      </c>
      <c r="I19" s="194" t="s">
        <v>301</v>
      </c>
      <c r="J19" s="194" t="s">
        <v>302</v>
      </c>
    </row>
    <row r="20" spans="1:10" x14ac:dyDescent="0.25">
      <c r="A20" s="53" t="s">
        <v>13</v>
      </c>
      <c r="B20" s="28">
        <v>132</v>
      </c>
      <c r="C20" s="28">
        <v>144</v>
      </c>
      <c r="D20">
        <f>SUM(B20:C20)</f>
        <v>276</v>
      </c>
      <c r="E20" s="3">
        <f>D20/$D$30</f>
        <v>0.69696969696969702</v>
      </c>
      <c r="F20" s="3">
        <f>D20/D6</f>
        <v>0.17314930991217065</v>
      </c>
      <c r="H20" s="284">
        <v>0.14799999999999999</v>
      </c>
      <c r="I20" s="284">
        <v>0.20200000000000001</v>
      </c>
      <c r="J20" s="284">
        <v>0.156</v>
      </c>
    </row>
    <row r="21" spans="1:10" x14ac:dyDescent="0.25">
      <c r="A21" s="53" t="s">
        <v>14</v>
      </c>
      <c r="B21" s="28">
        <v>57</v>
      </c>
      <c r="C21" s="28">
        <v>28</v>
      </c>
      <c r="D21">
        <f t="shared" ref="D21:D28" si="2">SUM(B21:C21)</f>
        <v>85</v>
      </c>
      <c r="E21" s="3">
        <f t="shared" ref="E21:E28" si="3">D21/$D$30</f>
        <v>0.21464646464646464</v>
      </c>
      <c r="F21" s="3">
        <f t="shared" ref="F21:F28" si="4">D21/D7</f>
        <v>6.1998541210795038E-2</v>
      </c>
      <c r="H21" s="285">
        <v>0.08</v>
      </c>
      <c r="I21" s="285">
        <v>0.128</v>
      </c>
      <c r="J21" s="285">
        <v>4.8000000000000001E-2</v>
      </c>
    </row>
    <row r="22" spans="1:10" x14ac:dyDescent="0.25">
      <c r="A22" s="53" t="s">
        <v>15</v>
      </c>
      <c r="B22" s="28">
        <v>12</v>
      </c>
      <c r="C22" s="28">
        <v>6</v>
      </c>
      <c r="D22">
        <f t="shared" si="2"/>
        <v>18</v>
      </c>
      <c r="E22" s="3">
        <f t="shared" si="3"/>
        <v>4.5454545454545456E-2</v>
      </c>
      <c r="F22" s="3">
        <f t="shared" si="4"/>
        <v>8.670520231213872E-3</v>
      </c>
      <c r="H22" s="285">
        <v>3.5999999999999997E-2</v>
      </c>
      <c r="I22" s="285">
        <v>3.5000000000000003E-2</v>
      </c>
      <c r="J22" s="285">
        <v>1.9E-2</v>
      </c>
    </row>
    <row r="23" spans="1:10" x14ac:dyDescent="0.25">
      <c r="A23" s="53" t="s">
        <v>16</v>
      </c>
      <c r="B23" s="59">
        <v>8</v>
      </c>
      <c r="C23" s="59">
        <v>4</v>
      </c>
      <c r="D23">
        <f t="shared" si="2"/>
        <v>12</v>
      </c>
      <c r="E23" s="3">
        <f t="shared" si="3"/>
        <v>3.0303030303030304E-2</v>
      </c>
      <c r="F23" s="3">
        <f>D23/D9</f>
        <v>4.2903110475509473E-3</v>
      </c>
      <c r="H23" s="285">
        <v>1.2999999999999999E-2</v>
      </c>
      <c r="I23" s="285">
        <v>0.01</v>
      </c>
      <c r="J23" s="285">
        <v>4.0000000000000001E-3</v>
      </c>
    </row>
    <row r="24" spans="1:10" x14ac:dyDescent="0.25">
      <c r="A24" s="53" t="s">
        <v>17</v>
      </c>
      <c r="B24" s="59">
        <v>2</v>
      </c>
      <c r="C24" s="59">
        <v>0</v>
      </c>
      <c r="D24">
        <f t="shared" si="2"/>
        <v>2</v>
      </c>
      <c r="E24" s="3">
        <f t="shared" si="3"/>
        <v>5.0505050505050509E-3</v>
      </c>
      <c r="F24" s="3">
        <f t="shared" si="4"/>
        <v>6.740815638692282E-4</v>
      </c>
      <c r="H24" s="285">
        <v>4.0000000000000001E-3</v>
      </c>
      <c r="I24" s="285">
        <v>4.0000000000000001E-3</v>
      </c>
      <c r="J24" s="285">
        <v>3.0000000000000001E-3</v>
      </c>
    </row>
    <row r="25" spans="1:10" x14ac:dyDescent="0.25">
      <c r="A25" s="53" t="s">
        <v>18</v>
      </c>
      <c r="B25" s="59">
        <v>2</v>
      </c>
      <c r="C25" s="59">
        <v>0</v>
      </c>
      <c r="D25">
        <f t="shared" si="2"/>
        <v>2</v>
      </c>
      <c r="E25" s="3">
        <f t="shared" si="3"/>
        <v>5.0505050505050509E-3</v>
      </c>
      <c r="F25" s="3">
        <f t="shared" si="4"/>
        <v>5.0100200400801599E-4</v>
      </c>
      <c r="H25" s="285">
        <v>2E-3</v>
      </c>
      <c r="I25" s="285">
        <v>3.0000000000000001E-3</v>
      </c>
      <c r="J25" s="285">
        <v>1.4E-3</v>
      </c>
    </row>
    <row r="26" spans="1:10" x14ac:dyDescent="0.25">
      <c r="A26" s="53" t="s">
        <v>19</v>
      </c>
      <c r="B26" s="59">
        <v>1</v>
      </c>
      <c r="C26" s="59">
        <v>0</v>
      </c>
      <c r="D26">
        <f t="shared" si="2"/>
        <v>1</v>
      </c>
      <c r="E26" s="3">
        <f t="shared" si="3"/>
        <v>2.5252525252525255E-3</v>
      </c>
      <c r="F26" s="3">
        <f t="shared" si="4"/>
        <v>1.9065776930409913E-4</v>
      </c>
      <c r="H26" s="285">
        <v>2E-3</v>
      </c>
      <c r="I26" s="285">
        <v>0</v>
      </c>
      <c r="J26" s="285">
        <v>2.2000000000000001E-3</v>
      </c>
    </row>
    <row r="27" spans="1:10" x14ac:dyDescent="0.25">
      <c r="A27" s="54" t="s">
        <v>20</v>
      </c>
      <c r="B27" s="282">
        <v>0</v>
      </c>
      <c r="C27" s="282">
        <v>0</v>
      </c>
      <c r="D27">
        <f t="shared" si="2"/>
        <v>0</v>
      </c>
      <c r="E27" s="3">
        <f t="shared" si="3"/>
        <v>0</v>
      </c>
      <c r="F27" s="3">
        <f t="shared" si="4"/>
        <v>0</v>
      </c>
      <c r="H27" s="285">
        <v>2E-3</v>
      </c>
      <c r="I27" s="285">
        <v>0</v>
      </c>
      <c r="J27" s="285">
        <v>0</v>
      </c>
    </row>
    <row r="28" spans="1:10" x14ac:dyDescent="0.25">
      <c r="A28" s="54" t="s">
        <v>21</v>
      </c>
      <c r="B28" s="282">
        <v>0</v>
      </c>
      <c r="C28" s="282">
        <v>0</v>
      </c>
      <c r="D28">
        <f t="shared" si="2"/>
        <v>0</v>
      </c>
      <c r="E28" s="3">
        <f t="shared" si="3"/>
        <v>0</v>
      </c>
      <c r="F28" s="3">
        <f t="shared" si="4"/>
        <v>0</v>
      </c>
      <c r="H28" s="286">
        <v>0</v>
      </c>
      <c r="I28" s="286">
        <v>0</v>
      </c>
      <c r="J28" s="286">
        <v>0</v>
      </c>
    </row>
    <row r="30" spans="1:10" x14ac:dyDescent="0.25">
      <c r="A30" t="s">
        <v>139</v>
      </c>
      <c r="B30">
        <f t="shared" ref="B30:C30" si="5">SUM(B20:B28)</f>
        <v>214</v>
      </c>
      <c r="C30">
        <f t="shared" si="5"/>
        <v>182</v>
      </c>
      <c r="D30">
        <f>SUM(D20:D28)</f>
        <v>396</v>
      </c>
    </row>
    <row r="31" spans="1:10" x14ac:dyDescent="0.25">
      <c r="B31" s="3">
        <f>B30/D30</f>
        <v>0.54040404040404044</v>
      </c>
      <c r="C31" s="3">
        <f>C30/D30</f>
        <v>0.45959595959595961</v>
      </c>
    </row>
  </sheetData>
  <hyperlinks>
    <hyperlink ref="H19"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2020-08-16T10:35:43Z</dcterms:modified>
</cp:coreProperties>
</file>