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A3607038-E08D-45E5-BB84-B877D1749187}" xr6:coauthVersionLast="45" xr6:coauthVersionMax="45" xr10:uidLastSave="{00000000-0000-0000-0000-000000000000}"/>
  <bookViews>
    <workbookView xWindow="105" yWindow="0" windowWidth="37605" windowHeight="21000" activeTab="1" xr2:uid="{744C986A-0D24-487A-A5C2-8E2494A78887}"/>
  </bookViews>
  <sheets>
    <sheet name="About" sheetId="4" r:id="rId1"/>
    <sheet name="Projections" sheetId="1" r:id="rId2"/>
    <sheet name="What if" sheetId="5" r:id="rId3"/>
    <sheet name="Population by Age - Wikipedia" sheetId="2" r:id="rId4"/>
    <sheet name="AU Infection Rate by Age" sheetId="3" r:id="rId5"/>
    <sheet name="US COVID-19 pathology" sheetId="7" r:id="rId6"/>
    <sheet name="US Death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7" i="7" l="1"/>
  <c r="D18" i="7"/>
  <c r="D19" i="7"/>
  <c r="D20" i="7"/>
  <c r="D21" i="7"/>
  <c r="C18" i="7"/>
  <c r="C19" i="7"/>
  <c r="C20" i="7"/>
  <c r="C21" i="7"/>
  <c r="C17" i="7"/>
  <c r="C6" i="7"/>
  <c r="C7" i="7"/>
  <c r="C8" i="7"/>
  <c r="C9" i="7"/>
  <c r="C10" i="7"/>
  <c r="C11" i="7"/>
  <c r="C12" i="7"/>
  <c r="C13" i="7"/>
  <c r="C5" i="7"/>
  <c r="AM345" i="1" l="1"/>
  <c r="C20" i="6" l="1"/>
  <c r="R8" i="6" l="1"/>
  <c r="C52" i="6"/>
  <c r="C53" i="6"/>
  <c r="C54" i="6"/>
  <c r="C55" i="6"/>
  <c r="C56" i="6"/>
  <c r="C57" i="6"/>
  <c r="C58" i="6"/>
  <c r="C59" i="6"/>
  <c r="C60" i="6"/>
  <c r="C61" i="6"/>
  <c r="C62" i="6"/>
  <c r="C63" i="6"/>
  <c r="C64" i="6"/>
  <c r="C65" i="6"/>
  <c r="C66" i="6"/>
  <c r="C67" i="6"/>
  <c r="C68" i="6"/>
  <c r="C38" i="6"/>
  <c r="C39" i="6"/>
  <c r="C40" i="6"/>
  <c r="C41" i="6"/>
  <c r="C42" i="6"/>
  <c r="C43" i="6"/>
  <c r="C44" i="6"/>
  <c r="C45" i="6"/>
  <c r="C46" i="6"/>
  <c r="C47" i="6"/>
  <c r="C48" i="6"/>
  <c r="AL345" i="1" l="1"/>
  <c r="L316" i="1" l="1"/>
  <c r="M317" i="1"/>
  <c r="N317" i="1" s="1"/>
  <c r="M316" i="1" l="1"/>
  <c r="N316" i="1"/>
  <c r="D13" i="6"/>
  <c r="C13" i="6"/>
  <c r="D8" i="6" l="1"/>
  <c r="C8" i="6"/>
  <c r="D19" i="6"/>
  <c r="C19" i="6"/>
  <c r="R5" i="6" l="1"/>
  <c r="C18" i="6"/>
  <c r="D20" i="6"/>
  <c r="D18" i="6" l="1"/>
  <c r="D27" i="6" l="1"/>
  <c r="C27" i="6"/>
  <c r="AK345" i="1"/>
  <c r="D39" i="6" l="1"/>
  <c r="D38" i="6"/>
  <c r="D42" i="6"/>
  <c r="D43" i="6"/>
  <c r="D46" i="6"/>
  <c r="D40" i="6"/>
  <c r="D41" i="6"/>
  <c r="D44" i="6"/>
  <c r="D45" i="6"/>
  <c r="D47" i="6"/>
  <c r="D48" i="6"/>
  <c r="P4" i="6"/>
  <c r="Q4" i="6" s="1"/>
  <c r="S4" i="6" s="1"/>
  <c r="T4" i="6" s="1"/>
  <c r="C24" i="6"/>
  <c r="C25" i="6"/>
  <c r="C26" i="6"/>
  <c r="C28" i="6"/>
  <c r="C29" i="6"/>
  <c r="C30" i="6"/>
  <c r="C31" i="6"/>
  <c r="C32" i="6"/>
  <c r="C33" i="6"/>
  <c r="C34" i="6"/>
  <c r="D25" i="6"/>
  <c r="D26" i="6"/>
  <c r="D28" i="6"/>
  <c r="D29" i="6"/>
  <c r="D30" i="6"/>
  <c r="D31" i="6"/>
  <c r="D32" i="6"/>
  <c r="D33" i="6"/>
  <c r="D34" i="6"/>
  <c r="D24" i="6"/>
  <c r="AK219" i="1" l="1"/>
  <c r="AH152" i="1"/>
  <c r="B305" i="1" l="1"/>
  <c r="P322" i="1" l="1"/>
  <c r="AJ345" i="1" l="1"/>
  <c r="AI345" i="1" l="1"/>
  <c r="AG345" i="1" l="1"/>
  <c r="AH345" i="1"/>
  <c r="AF345" i="1" l="1"/>
  <c r="AE345" i="1" l="1"/>
  <c r="V79" i="1" l="1"/>
  <c r="BJ318" i="1" l="1"/>
  <c r="Q345" i="1"/>
  <c r="R345" i="1"/>
  <c r="S345" i="1"/>
  <c r="T345" i="1"/>
  <c r="U345" i="1"/>
  <c r="V345" i="1"/>
  <c r="W345" i="1"/>
  <c r="X345" i="1"/>
  <c r="Y345" i="1"/>
  <c r="Z345" i="1"/>
  <c r="AA345" i="1"/>
  <c r="AB345" i="1"/>
  <c r="AC345" i="1"/>
  <c r="AD345" i="1"/>
  <c r="P345" i="1"/>
  <c r="E34" i="4" l="1"/>
  <c r="C45" i="4"/>
  <c r="BL322" i="1" l="1"/>
  <c r="BL319" i="1"/>
  <c r="BL318" i="1" s="1"/>
  <c r="BL326" i="1" s="1"/>
  <c r="BI322" i="1"/>
  <c r="BJ322" i="1"/>
  <c r="BH322" i="1"/>
  <c r="BL324" i="1" l="1"/>
  <c r="BL323" i="1"/>
  <c r="C5" i="5"/>
  <c r="C4" i="5"/>
  <c r="B366" i="1"/>
  <c r="B362" i="1"/>
  <c r="B364" i="1"/>
  <c r="B360" i="1"/>
  <c r="B358" i="1"/>
  <c r="B356" i="1"/>
  <c r="B354" i="1"/>
  <c r="B352" i="1"/>
  <c r="B350" i="1"/>
  <c r="C41" i="2"/>
  <c r="D41" i="2" s="1"/>
  <c r="C37" i="2"/>
  <c r="D37" i="2" s="1"/>
  <c r="C33" i="2"/>
  <c r="D33" i="2" s="1"/>
  <c r="C29" i="2"/>
  <c r="D29" i="2" s="1"/>
  <c r="C25" i="2"/>
  <c r="D25" i="2" s="1"/>
  <c r="C21" i="2"/>
  <c r="D21" i="2" s="1"/>
  <c r="C17" i="2"/>
  <c r="D17" i="2" s="1"/>
  <c r="C13" i="2"/>
  <c r="D13" i="2" s="1"/>
  <c r="D9" i="2"/>
  <c r="C9" i="2"/>
  <c r="B43" i="2"/>
  <c r="B44" i="2"/>
  <c r="B41" i="2"/>
  <c r="B39" i="2"/>
  <c r="B37" i="2"/>
  <c r="B35" i="2"/>
  <c r="B33" i="2"/>
  <c r="B31" i="2"/>
  <c r="B29" i="2"/>
  <c r="B27" i="2"/>
  <c r="B25" i="2"/>
  <c r="B23" i="2"/>
  <c r="B21" i="2"/>
  <c r="B19" i="2"/>
  <c r="B17" i="2"/>
  <c r="B15" i="2"/>
  <c r="B13" i="2"/>
  <c r="B11" i="2"/>
  <c r="B9" i="2"/>
  <c r="B7" i="2"/>
  <c r="Q317" i="1"/>
  <c r="P341" i="1"/>
  <c r="R317" i="1" l="1"/>
  <c r="Q343" i="1"/>
  <c r="S317" i="1" l="1"/>
  <c r="Q341" i="1"/>
  <c r="P343" i="1"/>
  <c r="P340" i="1"/>
  <c r="T317" i="1" l="1"/>
  <c r="R341" i="1"/>
  <c r="P328" i="1"/>
  <c r="P329" i="1" s="1"/>
  <c r="P330" i="1"/>
  <c r="P331" i="1" s="1"/>
  <c r="U317" i="1" l="1"/>
  <c r="S341" i="1"/>
  <c r="P326" i="1"/>
  <c r="P327" i="1" s="1"/>
  <c r="P324" i="1"/>
  <c r="P325" i="1" s="1"/>
  <c r="C12" i="5"/>
  <c r="C7" i="5"/>
  <c r="C8" i="5" s="1"/>
  <c r="C9" i="5" s="1"/>
  <c r="C21" i="5"/>
  <c r="C18" i="5"/>
  <c r="C15" i="5"/>
  <c r="C24" i="5"/>
  <c r="C3" i="5"/>
  <c r="V317" i="1" l="1"/>
  <c r="C30" i="5"/>
  <c r="P323" i="1"/>
  <c r="T341" i="1"/>
  <c r="P320" i="1"/>
  <c r="P321" i="1" s="1"/>
  <c r="C34" i="5"/>
  <c r="W317" i="1" l="1"/>
  <c r="U341" i="1"/>
  <c r="C13" i="5"/>
  <c r="C14" i="5" s="1"/>
  <c r="BK318" i="1"/>
  <c r="P336" i="1"/>
  <c r="P334" i="1"/>
  <c r="P337" i="1"/>
  <c r="P335" i="1"/>
  <c r="BL342" i="1" l="1"/>
  <c r="BK342" i="1"/>
  <c r="X317" i="1"/>
  <c r="BK375" i="1"/>
  <c r="BK376" i="1" s="1"/>
  <c r="BK373" i="1"/>
  <c r="BK379" i="1"/>
  <c r="BK380" i="1" s="1"/>
  <c r="BK383" i="1"/>
  <c r="BK377" i="1"/>
  <c r="BK378" i="1" s="1"/>
  <c r="BK381" i="1"/>
  <c r="BK382" i="1" s="1"/>
  <c r="V341" i="1"/>
  <c r="BK319" i="1"/>
  <c r="BL332" i="1"/>
  <c r="BL330" i="1"/>
  <c r="BL328" i="1"/>
  <c r="BK326" i="1"/>
  <c r="BK322" i="1"/>
  <c r="BK324" i="1" s="1"/>
  <c r="C22" i="5"/>
  <c r="C23" i="5" s="1"/>
  <c r="C35" i="5"/>
  <c r="C40" i="5" s="1"/>
  <c r="C25" i="5"/>
  <c r="C19" i="5"/>
  <c r="C20" i="5" s="1"/>
  <c r="C16" i="5"/>
  <c r="C17" i="5" s="1"/>
  <c r="C31" i="5"/>
  <c r="AP25" i="4"/>
  <c r="E31" i="4"/>
  <c r="B17" i="4" s="1"/>
  <c r="K20" i="4" l="1"/>
  <c r="B18" i="4"/>
  <c r="B19" i="4" s="1"/>
  <c r="Y317" i="1"/>
  <c r="BK374" i="1"/>
  <c r="BK386" i="1" s="1"/>
  <c r="BK385"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Z317" i="1"/>
  <c r="E18" i="4"/>
  <c r="K21" i="4" s="1"/>
  <c r="N20" i="4"/>
  <c r="H17" i="4"/>
  <c r="P373" i="1"/>
  <c r="P374" i="1" s="1"/>
  <c r="AA317" i="1" l="1"/>
  <c r="E19" i="4"/>
  <c r="Q20" i="4"/>
  <c r="H18" i="4"/>
  <c r="N22" i="4" s="1"/>
  <c r="K17" i="4"/>
  <c r="Y24" i="4"/>
  <c r="B14" i="3"/>
  <c r="AB317" i="1" l="1"/>
  <c r="H19" i="4"/>
  <c r="T20" i="4"/>
  <c r="K18" i="4"/>
  <c r="K19" i="4" s="1"/>
  <c r="N21" i="4"/>
  <c r="AB24" i="4" s="1"/>
  <c r="N17" i="4"/>
  <c r="AC317" i="1" l="1"/>
  <c r="Q17" i="4"/>
  <c r="T17" i="4" s="1"/>
  <c r="W20" i="4"/>
  <c r="N18" i="4"/>
  <c r="N19" i="4" s="1"/>
  <c r="Q21" i="4"/>
  <c r="AE24" i="4" s="1"/>
  <c r="Q22" i="4"/>
  <c r="AD317" i="1" l="1"/>
  <c r="T18" i="4"/>
  <c r="T19" i="4" s="1"/>
  <c r="AC20" i="4"/>
  <c r="Z20" i="4"/>
  <c r="Q18" i="4"/>
  <c r="Q19" i="4" s="1"/>
  <c r="T21" i="4"/>
  <c r="AH24" i="4" s="1"/>
  <c r="T22" i="4"/>
  <c r="T23" i="4"/>
  <c r="W17" i="4"/>
  <c r="W21" i="4" l="1"/>
  <c r="AK24" i="4" s="1"/>
  <c r="W23" i="4"/>
  <c r="AH317" i="1"/>
  <c r="W18" i="4"/>
  <c r="W19" i="4" s="1"/>
  <c r="AF20" i="4"/>
  <c r="W22" i="4"/>
  <c r="Z21" i="4"/>
  <c r="AN24" i="4" s="1"/>
  <c r="Z23" i="4"/>
  <c r="Z22" i="4"/>
  <c r="Z17" i="4"/>
  <c r="C383" i="1"/>
  <c r="C381" i="1"/>
  <c r="C379" i="1"/>
  <c r="C377" i="1"/>
  <c r="C375" i="1"/>
  <c r="C373" i="1"/>
  <c r="P332" i="1"/>
  <c r="C5" i="3"/>
  <c r="D352" i="1" s="1"/>
  <c r="AH343" i="1" l="1"/>
  <c r="AG317" i="1"/>
  <c r="AE317" i="1"/>
  <c r="AF317" i="1"/>
  <c r="AL317" i="1"/>
  <c r="Z18" i="4"/>
  <c r="Z19" i="4" s="1"/>
  <c r="AI20" i="4"/>
  <c r="BK352" i="1"/>
  <c r="BK353" i="1"/>
  <c r="AC21" i="4"/>
  <c r="AC22" i="4"/>
  <c r="AC23" i="4"/>
  <c r="AC17" i="4"/>
  <c r="BK332" i="1"/>
  <c r="C7" i="3"/>
  <c r="D356" i="1" s="1"/>
  <c r="C4" i="3"/>
  <c r="D350" i="1" s="1"/>
  <c r="C12" i="3"/>
  <c r="D366" i="1" s="1"/>
  <c r="C11" i="3"/>
  <c r="D364" i="1" s="1"/>
  <c r="C10" i="3"/>
  <c r="D362" i="1" s="1"/>
  <c r="C9" i="3"/>
  <c r="D360" i="1" s="1"/>
  <c r="C8" i="3"/>
  <c r="D358" i="1" s="1"/>
  <c r="C6" i="3"/>
  <c r="D354" i="1" s="1"/>
  <c r="C307" i="1"/>
  <c r="C10" i="5" s="1"/>
  <c r="C26" i="5" s="1"/>
  <c r="C27" i="5" s="1"/>
  <c r="C308" i="1"/>
  <c r="C11" i="5" s="1"/>
  <c r="C28" i="5" s="1"/>
  <c r="C29" i="5" s="1"/>
  <c r="P353" i="1"/>
  <c r="P383" i="1"/>
  <c r="P381" i="1"/>
  <c r="P379" i="1"/>
  <c r="P380" i="1" s="1"/>
  <c r="P377" i="1"/>
  <c r="P378" i="1" s="1"/>
  <c r="P375" i="1"/>
  <c r="P376" i="1" s="1"/>
  <c r="C352" i="1"/>
  <c r="C354" i="1"/>
  <c r="C356" i="1"/>
  <c r="C358" i="1"/>
  <c r="C360" i="1"/>
  <c r="C362" i="1"/>
  <c r="C364" i="1"/>
  <c r="C366" i="1"/>
  <c r="C350" i="1"/>
  <c r="P319" i="1"/>
  <c r="Q318" i="1"/>
  <c r="Q332" i="1" s="1"/>
  <c r="AJ317" i="1" l="1"/>
  <c r="AK317" i="1"/>
  <c r="AI317" i="1"/>
  <c r="AE340" i="1"/>
  <c r="AE341" i="1"/>
  <c r="AG341" i="1"/>
  <c r="AG340" i="1"/>
  <c r="AF341" i="1"/>
  <c r="AF340" i="1"/>
  <c r="AE343" i="1"/>
  <c r="AG343" i="1"/>
  <c r="AF343" i="1"/>
  <c r="AQ317" i="1"/>
  <c r="BK350" i="1"/>
  <c r="BK351" i="1"/>
  <c r="AL20" i="4"/>
  <c r="AC18" i="4"/>
  <c r="AC19" i="4" s="1"/>
  <c r="BK362" i="1"/>
  <c r="BK363" i="1"/>
  <c r="BK355" i="1"/>
  <c r="BK354" i="1"/>
  <c r="BK358" i="1"/>
  <c r="BK359" i="1"/>
  <c r="BK365" i="1"/>
  <c r="BK364" i="1"/>
  <c r="BK357" i="1"/>
  <c r="BK356" i="1"/>
  <c r="BK361" i="1"/>
  <c r="BK360" i="1"/>
  <c r="P367" i="1"/>
  <c r="BK367" i="1"/>
  <c r="BK366" i="1"/>
  <c r="Q330" i="1"/>
  <c r="Q331" i="1" s="1"/>
  <c r="Q326" i="1"/>
  <c r="Q327" i="1" s="1"/>
  <c r="Q334" i="1"/>
  <c r="Q337" i="1"/>
  <c r="Q340" i="1"/>
  <c r="Q335" i="1"/>
  <c r="Q336" i="1"/>
  <c r="Q322" i="1"/>
  <c r="AF22" i="4"/>
  <c r="AF23" i="4"/>
  <c r="AF21" i="4"/>
  <c r="AF17" i="4"/>
  <c r="P351" i="1"/>
  <c r="P350" i="1"/>
  <c r="P359" i="1"/>
  <c r="P358" i="1"/>
  <c r="P362" i="1"/>
  <c r="P361" i="1"/>
  <c r="P364" i="1"/>
  <c r="P354" i="1"/>
  <c r="R318" i="1"/>
  <c r="R332" i="1" s="1"/>
  <c r="Q377" i="1"/>
  <c r="Q378" i="1" s="1"/>
  <c r="P355" i="1"/>
  <c r="Q366" i="1"/>
  <c r="Q375" i="1"/>
  <c r="Q376" i="1" s="1"/>
  <c r="P363" i="1"/>
  <c r="Q364" i="1"/>
  <c r="Q383" i="1"/>
  <c r="P352" i="1"/>
  <c r="P360" i="1"/>
  <c r="Q381" i="1"/>
  <c r="Q382" i="1" s="1"/>
  <c r="Q379" i="1"/>
  <c r="Q380" i="1" s="1"/>
  <c r="Q362" i="1"/>
  <c r="Q355" i="1"/>
  <c r="Q359" i="1"/>
  <c r="Q363" i="1"/>
  <c r="Q367" i="1"/>
  <c r="P385" i="1"/>
  <c r="Q373" i="1"/>
  <c r="Q374" i="1" s="1"/>
  <c r="P356" i="1"/>
  <c r="Q352" i="1"/>
  <c r="P357" i="1"/>
  <c r="P365" i="1"/>
  <c r="Q356" i="1"/>
  <c r="Q353" i="1"/>
  <c r="Q360" i="1"/>
  <c r="P366" i="1"/>
  <c r="Q350" i="1"/>
  <c r="Q357" i="1"/>
  <c r="Q361" i="1"/>
  <c r="Q365" i="1"/>
  <c r="Q354" i="1"/>
  <c r="Q351" i="1"/>
  <c r="Q358" i="1"/>
  <c r="P382" i="1"/>
  <c r="P386" i="1" s="1"/>
  <c r="Q319" i="1"/>
  <c r="AK341" i="1" l="1"/>
  <c r="AK340" i="1"/>
  <c r="AJ340" i="1"/>
  <c r="AJ341" i="1"/>
  <c r="AI340" i="1"/>
  <c r="AI341" i="1"/>
  <c r="AM317" i="1"/>
  <c r="AO317" i="1"/>
  <c r="AN317" i="1"/>
  <c r="AP317" i="1"/>
  <c r="R326" i="1"/>
  <c r="R327" i="1" s="1"/>
  <c r="AV317" i="1"/>
  <c r="AO20" i="4"/>
  <c r="AF18" i="4"/>
  <c r="AF19" i="4" s="1"/>
  <c r="BK369" i="1"/>
  <c r="BK368" i="1"/>
  <c r="R375" i="1"/>
  <c r="R376" i="1" s="1"/>
  <c r="R356" i="1"/>
  <c r="R330" i="1"/>
  <c r="R331" i="1" s="1"/>
  <c r="R381" i="1"/>
  <c r="R382" i="1" s="1"/>
  <c r="R352" i="1"/>
  <c r="R351" i="1"/>
  <c r="R373" i="1"/>
  <c r="R374" i="1" s="1"/>
  <c r="R353" i="1"/>
  <c r="R319" i="1"/>
  <c r="Q323" i="1"/>
  <c r="Q324" i="1"/>
  <c r="Q325" i="1" s="1"/>
  <c r="R343" i="1"/>
  <c r="S318" i="1"/>
  <c r="S332" i="1" s="1"/>
  <c r="R322" i="1"/>
  <c r="R366" i="1"/>
  <c r="R365" i="1"/>
  <c r="R377" i="1"/>
  <c r="R378" i="1" s="1"/>
  <c r="R361" i="1"/>
  <c r="R360" i="1"/>
  <c r="R336" i="1"/>
  <c r="R334" i="1"/>
  <c r="R337" i="1"/>
  <c r="R340" i="1"/>
  <c r="R335" i="1"/>
  <c r="AI23" i="4"/>
  <c r="AI21" i="4"/>
  <c r="AI22" i="4"/>
  <c r="AI17" i="4"/>
  <c r="AI18" i="4" s="1"/>
  <c r="P369" i="1"/>
  <c r="Q369" i="1"/>
  <c r="R363" i="1"/>
  <c r="R362" i="1"/>
  <c r="R358" i="1"/>
  <c r="R355" i="1"/>
  <c r="R357" i="1"/>
  <c r="R350" i="1"/>
  <c r="R359" i="1"/>
  <c r="R364" i="1"/>
  <c r="R383" i="1"/>
  <c r="R354" i="1"/>
  <c r="R379" i="1"/>
  <c r="R380" i="1" s="1"/>
  <c r="R367" i="1"/>
  <c r="Q385" i="1"/>
  <c r="P368" i="1"/>
  <c r="Q368" i="1"/>
  <c r="Q386" i="1"/>
  <c r="AS317" i="1" l="1"/>
  <c r="AS341" i="1" s="1"/>
  <c r="AM340" i="1"/>
  <c r="AM341" i="1"/>
  <c r="AR317" i="1"/>
  <c r="BA317" i="1"/>
  <c r="AP341" i="1"/>
  <c r="AP340" i="1"/>
  <c r="AT317" i="1"/>
  <c r="AO341" i="1"/>
  <c r="AO340" i="1"/>
  <c r="AN341" i="1"/>
  <c r="AN340" i="1"/>
  <c r="AU317" i="1"/>
  <c r="S326" i="1"/>
  <c r="S327" i="1" s="1"/>
  <c r="S367" i="1"/>
  <c r="S357" i="1"/>
  <c r="S355" i="1"/>
  <c r="S353" i="1"/>
  <c r="S375" i="1"/>
  <c r="S376" i="1" s="1"/>
  <c r="S363" i="1"/>
  <c r="S362" i="1"/>
  <c r="S354" i="1"/>
  <c r="S365" i="1"/>
  <c r="S360" i="1"/>
  <c r="S383" i="1"/>
  <c r="S350" i="1"/>
  <c r="S330" i="1"/>
  <c r="S331" i="1" s="1"/>
  <c r="S361" i="1"/>
  <c r="S359" i="1"/>
  <c r="S352" i="1"/>
  <c r="S373" i="1"/>
  <c r="S374" i="1" s="1"/>
  <c r="S356" i="1"/>
  <c r="T318" i="1"/>
  <c r="T332" i="1" s="1"/>
  <c r="S366" i="1"/>
  <c r="S364" i="1"/>
  <c r="S377" i="1"/>
  <c r="S378" i="1" s="1"/>
  <c r="R386" i="1"/>
  <c r="S351" i="1"/>
  <c r="S379" i="1"/>
  <c r="S380" i="1" s="1"/>
  <c r="S381" i="1"/>
  <c r="S382" i="1" s="1"/>
  <c r="S319" i="1"/>
  <c r="S358" i="1"/>
  <c r="S343" i="1"/>
  <c r="R323" i="1"/>
  <c r="R324" i="1"/>
  <c r="R325" i="1" s="1"/>
  <c r="S335" i="1"/>
  <c r="S336" i="1"/>
  <c r="S337" i="1"/>
  <c r="S340" i="1"/>
  <c r="S334" i="1"/>
  <c r="R385" i="1"/>
  <c r="S322" i="1"/>
  <c r="AL22" i="4"/>
  <c r="AL21" i="4"/>
  <c r="AL23" i="4"/>
  <c r="AL17" i="4"/>
  <c r="AL18" i="4" s="1"/>
  <c r="AI19" i="4"/>
  <c r="R368" i="1"/>
  <c r="R369" i="1"/>
  <c r="BA341" i="1" l="1"/>
  <c r="AS340" i="1"/>
  <c r="AW317" i="1"/>
  <c r="AW341" i="1" s="1"/>
  <c r="BF317" i="1"/>
  <c r="BC317" i="1" s="1"/>
  <c r="AY317" i="1"/>
  <c r="AU341" i="1"/>
  <c r="AU340" i="1"/>
  <c r="AX317" i="1"/>
  <c r="AR340" i="1"/>
  <c r="AR341" i="1"/>
  <c r="AZ317" i="1"/>
  <c r="AT340" i="1"/>
  <c r="AT341" i="1"/>
  <c r="T362" i="1"/>
  <c r="T366" i="1"/>
  <c r="T363" i="1"/>
  <c r="T375" i="1"/>
  <c r="T376" i="1" s="1"/>
  <c r="T360" i="1"/>
  <c r="T361" i="1"/>
  <c r="T352" i="1"/>
  <c r="T358" i="1"/>
  <c r="T373" i="1"/>
  <c r="T374" i="1" s="1"/>
  <c r="S369" i="1"/>
  <c r="T359" i="1"/>
  <c r="T351" i="1"/>
  <c r="T381" i="1"/>
  <c r="T382" i="1" s="1"/>
  <c r="T365" i="1"/>
  <c r="T357" i="1"/>
  <c r="T364" i="1"/>
  <c r="T379" i="1"/>
  <c r="T380" i="1" s="1"/>
  <c r="S386" i="1"/>
  <c r="T326" i="1"/>
  <c r="T319" i="1"/>
  <c r="T353" i="1"/>
  <c r="T354" i="1"/>
  <c r="T377" i="1"/>
  <c r="T378" i="1" s="1"/>
  <c r="T322" i="1"/>
  <c r="T324" i="1" s="1"/>
  <c r="T356" i="1"/>
  <c r="U318" i="1"/>
  <c r="T367" i="1"/>
  <c r="S368" i="1"/>
  <c r="T355" i="1"/>
  <c r="T383" i="1"/>
  <c r="S385" i="1"/>
  <c r="T350" i="1"/>
  <c r="T343" i="1"/>
  <c r="S323" i="1"/>
  <c r="S324" i="1"/>
  <c r="S325" i="1" s="1"/>
  <c r="T335" i="1"/>
  <c r="T340" i="1"/>
  <c r="T336" i="1"/>
  <c r="T337" i="1"/>
  <c r="T334" i="1"/>
  <c r="AO21" i="4"/>
  <c r="AO22" i="4"/>
  <c r="AO23" i="4"/>
  <c r="AO17" i="4"/>
  <c r="AO18" i="4" s="1"/>
  <c r="AO19" i="4" s="1"/>
  <c r="AL19" i="4"/>
  <c r="BC340" i="1" l="1"/>
  <c r="BC341" i="1"/>
  <c r="BF340" i="1"/>
  <c r="BF341" i="1"/>
  <c r="BE317" i="1"/>
  <c r="BD317" i="1"/>
  <c r="BB317" i="1"/>
  <c r="AW340" i="1"/>
  <c r="U350" i="1"/>
  <c r="U332" i="1"/>
  <c r="AX340" i="1"/>
  <c r="AX341" i="1"/>
  <c r="AY341" i="1"/>
  <c r="AY340" i="1"/>
  <c r="U360" i="1"/>
  <c r="AZ341" i="1"/>
  <c r="AZ340" i="1"/>
  <c r="U363" i="1"/>
  <c r="BG317" i="1"/>
  <c r="U353" i="1"/>
  <c r="T368" i="1"/>
  <c r="T386" i="1"/>
  <c r="U366" i="1"/>
  <c r="V318" i="1"/>
  <c r="U355" i="1"/>
  <c r="U381" i="1"/>
  <c r="U382" i="1" s="1"/>
  <c r="U361" i="1"/>
  <c r="U362" i="1"/>
  <c r="T385" i="1"/>
  <c r="U358" i="1"/>
  <c r="T369" i="1"/>
  <c r="U319" i="1"/>
  <c r="U356" i="1"/>
  <c r="U379" i="1"/>
  <c r="U380" i="1" s="1"/>
  <c r="U326" i="1"/>
  <c r="U375" i="1"/>
  <c r="U376" i="1" s="1"/>
  <c r="U357" i="1"/>
  <c r="U322" i="1"/>
  <c r="U323" i="1" s="1"/>
  <c r="U365" i="1"/>
  <c r="U364" i="1"/>
  <c r="U359" i="1"/>
  <c r="U377" i="1"/>
  <c r="U378" i="1" s="1"/>
  <c r="U352" i="1"/>
  <c r="U373" i="1"/>
  <c r="U374" i="1" s="1"/>
  <c r="U383" i="1"/>
  <c r="U354" i="1"/>
  <c r="T323" i="1"/>
  <c r="U351" i="1"/>
  <c r="U367" i="1"/>
  <c r="U343" i="1"/>
  <c r="U335" i="1"/>
  <c r="U336" i="1"/>
  <c r="U334" i="1"/>
  <c r="U337" i="1"/>
  <c r="U340" i="1"/>
  <c r="BE341" i="1" l="1"/>
  <c r="BE340" i="1"/>
  <c r="BB341" i="1"/>
  <c r="BB340" i="1"/>
  <c r="BD341" i="1"/>
  <c r="BD340" i="1"/>
  <c r="V322" i="1"/>
  <c r="V324" i="1" s="1"/>
  <c r="V332" i="1"/>
  <c r="V364" i="1"/>
  <c r="V326" i="1"/>
  <c r="BH317" i="1"/>
  <c r="BG341" i="1"/>
  <c r="BG340" i="1"/>
  <c r="V361" i="1"/>
  <c r="V373" i="1"/>
  <c r="V383" i="1"/>
  <c r="V358" i="1"/>
  <c r="V359" i="1"/>
  <c r="V351" i="1"/>
  <c r="V365" i="1"/>
  <c r="V352" i="1"/>
  <c r="V350" i="1"/>
  <c r="V355" i="1"/>
  <c r="V362" i="1"/>
  <c r="V363" i="1"/>
  <c r="V319" i="1"/>
  <c r="V375" i="1"/>
  <c r="V376" i="1" s="1"/>
  <c r="V360" i="1"/>
  <c r="V353" i="1"/>
  <c r="V379" i="1"/>
  <c r="V380" i="1" s="1"/>
  <c r="V377" i="1"/>
  <c r="V378" i="1" s="1"/>
  <c r="V357" i="1"/>
  <c r="V356" i="1"/>
  <c r="W318" i="1"/>
  <c r="W332" i="1" s="1"/>
  <c r="V367" i="1"/>
  <c r="V366" i="1"/>
  <c r="V381" i="1"/>
  <c r="V382" i="1" s="1"/>
  <c r="V354" i="1"/>
  <c r="U386" i="1"/>
  <c r="U369" i="1"/>
  <c r="U385" i="1"/>
  <c r="U368" i="1"/>
  <c r="U324" i="1"/>
  <c r="V343" i="1"/>
  <c r="V323" i="1"/>
  <c r="V335" i="1"/>
  <c r="V336" i="1"/>
  <c r="V337" i="1"/>
  <c r="V334" i="1"/>
  <c r="V340" i="1"/>
  <c r="V374" i="1"/>
  <c r="W360" i="1" l="1"/>
  <c r="BI317" i="1"/>
  <c r="BH340" i="1"/>
  <c r="BH341" i="1"/>
  <c r="W363" i="1"/>
  <c r="W375" i="1"/>
  <c r="W376" i="1" s="1"/>
  <c r="W350" i="1"/>
  <c r="W373" i="1"/>
  <c r="W374" i="1" s="1"/>
  <c r="W361" i="1"/>
  <c r="W366" i="1"/>
  <c r="W383" i="1"/>
  <c r="W355" i="1"/>
  <c r="X318" i="1"/>
  <c r="X332" i="1" s="1"/>
  <c r="W362" i="1"/>
  <c r="W367" i="1"/>
  <c r="W351" i="1"/>
  <c r="V368" i="1"/>
  <c r="W357" i="1"/>
  <c r="V369" i="1"/>
  <c r="V385" i="1"/>
  <c r="W353" i="1"/>
  <c r="W364" i="1"/>
  <c r="W359" i="1"/>
  <c r="W358" i="1"/>
  <c r="W377" i="1"/>
  <c r="W378" i="1" s="1"/>
  <c r="V386" i="1"/>
  <c r="W322" i="1"/>
  <c r="W323" i="1" s="1"/>
  <c r="W379" i="1"/>
  <c r="W380" i="1" s="1"/>
  <c r="W326" i="1"/>
  <c r="W319" i="1"/>
  <c r="W352" i="1"/>
  <c r="W354" i="1"/>
  <c r="W365" i="1"/>
  <c r="W381" i="1"/>
  <c r="W382" i="1" s="1"/>
  <c r="W356" i="1"/>
  <c r="X343" i="1"/>
  <c r="W343" i="1"/>
  <c r="W341" i="1"/>
  <c r="W340" i="1"/>
  <c r="W335" i="1"/>
  <c r="W337" i="1"/>
  <c r="W336" i="1"/>
  <c r="W334" i="1"/>
  <c r="X326" i="1" l="1"/>
  <c r="BJ317" i="1"/>
  <c r="BI340" i="1"/>
  <c r="BI341" i="1"/>
  <c r="X363" i="1"/>
  <c r="X366" i="1"/>
  <c r="X367" i="1"/>
  <c r="X319" i="1"/>
  <c r="X381" i="1"/>
  <c r="X382" i="1" s="1"/>
  <c r="X379" i="1"/>
  <c r="X380" i="1" s="1"/>
  <c r="X377" i="1"/>
  <c r="X378" i="1" s="1"/>
  <c r="X358" i="1"/>
  <c r="X375" i="1"/>
  <c r="X376" i="1" s="1"/>
  <c r="X361" i="1"/>
  <c r="X353" i="1"/>
  <c r="X351" i="1"/>
  <c r="X350" i="1"/>
  <c r="X359" i="1"/>
  <c r="X365" i="1"/>
  <c r="X352" i="1"/>
  <c r="X360" i="1"/>
  <c r="X364" i="1"/>
  <c r="X373" i="1"/>
  <c r="X374" i="1" s="1"/>
  <c r="X357" i="1"/>
  <c r="X362" i="1"/>
  <c r="X356" i="1"/>
  <c r="X355" i="1"/>
  <c r="Y318" i="1"/>
  <c r="X354" i="1"/>
  <c r="X383" i="1"/>
  <c r="X322" i="1"/>
  <c r="X323" i="1" s="1"/>
  <c r="W369" i="1"/>
  <c r="W324" i="1"/>
  <c r="W368" i="1"/>
  <c r="W385" i="1"/>
  <c r="W386" i="1"/>
  <c r="X340" i="1"/>
  <c r="X341" i="1"/>
  <c r="X335" i="1"/>
  <c r="X337" i="1"/>
  <c r="X334" i="1"/>
  <c r="X336" i="1"/>
  <c r="Y383" i="1"/>
  <c r="Y379" i="1"/>
  <c r="Y380" i="1" s="1"/>
  <c r="Y356" i="1" l="1"/>
  <c r="Y332" i="1"/>
  <c r="Y322" i="1"/>
  <c r="Y324" i="1" s="1"/>
  <c r="Y319" i="1"/>
  <c r="BK317" i="1"/>
  <c r="BJ340" i="1"/>
  <c r="BJ341" i="1"/>
  <c r="X386" i="1"/>
  <c r="X385" i="1"/>
  <c r="X369" i="1"/>
  <c r="X368" i="1"/>
  <c r="Y353" i="1"/>
  <c r="Y355" i="1"/>
  <c r="Y363" i="1"/>
  <c r="Y350" i="1"/>
  <c r="Z318" i="1"/>
  <c r="Z332" i="1" s="1"/>
  <c r="Y364" i="1"/>
  <c r="Y377" i="1"/>
  <c r="Y378" i="1" s="1"/>
  <c r="Y373" i="1"/>
  <c r="Y374" i="1" s="1"/>
  <c r="Y366" i="1"/>
  <c r="Y375" i="1"/>
  <c r="Y376" i="1" s="1"/>
  <c r="Y361" i="1"/>
  <c r="Y357" i="1"/>
  <c r="Y362" i="1"/>
  <c r="Y352" i="1"/>
  <c r="Y326" i="1"/>
  <c r="Y360" i="1"/>
  <c r="Y358" i="1"/>
  <c r="Y351" i="1"/>
  <c r="Y367" i="1"/>
  <c r="Y359" i="1"/>
  <c r="Y381" i="1"/>
  <c r="Y382" i="1" s="1"/>
  <c r="Y365" i="1"/>
  <c r="Y354" i="1"/>
  <c r="X324" i="1"/>
  <c r="Y323" i="1"/>
  <c r="Y343" i="1"/>
  <c r="Y341" i="1"/>
  <c r="Y340" i="1"/>
  <c r="Y336" i="1"/>
  <c r="Y337" i="1"/>
  <c r="Y334" i="1"/>
  <c r="Y335" i="1"/>
  <c r="Z326" i="1" l="1"/>
  <c r="Z355" i="1"/>
  <c r="Z360" i="1"/>
  <c r="Z358" i="1"/>
  <c r="Z375" i="1"/>
  <c r="Z376" i="1" s="1"/>
  <c r="Z362" i="1"/>
  <c r="Y368" i="1"/>
  <c r="Z366" i="1"/>
  <c r="Z373" i="1"/>
  <c r="Z374" i="1" s="1"/>
  <c r="Z352" i="1"/>
  <c r="Z359" i="1"/>
  <c r="Z377" i="1"/>
  <c r="Z378" i="1" s="1"/>
  <c r="Z364" i="1"/>
  <c r="Z361" i="1"/>
  <c r="Z367" i="1"/>
  <c r="Z353" i="1"/>
  <c r="Z357" i="1"/>
  <c r="Z379" i="1"/>
  <c r="Z380" i="1" s="1"/>
  <c r="Z365" i="1"/>
  <c r="AA318" i="1"/>
  <c r="Z350" i="1"/>
  <c r="Z322" i="1"/>
  <c r="Z324" i="1" s="1"/>
  <c r="Y369" i="1"/>
  <c r="Z363" i="1"/>
  <c r="Z356" i="1"/>
  <c r="Z381" i="1"/>
  <c r="Z382" i="1" s="1"/>
  <c r="Z351" i="1"/>
  <c r="Z354" i="1"/>
  <c r="Z383" i="1"/>
  <c r="Z319" i="1"/>
  <c r="Y385" i="1"/>
  <c r="Y386" i="1"/>
  <c r="Z343" i="1"/>
  <c r="Z341" i="1"/>
  <c r="Z340" i="1"/>
  <c r="Z337" i="1"/>
  <c r="Z334" i="1"/>
  <c r="Z336" i="1"/>
  <c r="Z335" i="1"/>
  <c r="AA364" i="1" l="1"/>
  <c r="AA332" i="1"/>
  <c r="AA377" i="1"/>
  <c r="AA378" i="1" s="1"/>
  <c r="AA362" i="1"/>
  <c r="AA319" i="1"/>
  <c r="AA355" i="1"/>
  <c r="AA381" i="1"/>
  <c r="AA382" i="1" s="1"/>
  <c r="Z323" i="1"/>
  <c r="AA383" i="1"/>
  <c r="AA367" i="1"/>
  <c r="AA357" i="1"/>
  <c r="AA358" i="1"/>
  <c r="AA356" i="1"/>
  <c r="AA353" i="1"/>
  <c r="AA366" i="1"/>
  <c r="AA350" i="1"/>
  <c r="Z385" i="1"/>
  <c r="Z368" i="1"/>
  <c r="AA360" i="1"/>
  <c r="AA365" i="1"/>
  <c r="AA363" i="1"/>
  <c r="AA326" i="1"/>
  <c r="AA354" i="1"/>
  <c r="AA352" i="1"/>
  <c r="AB318" i="1"/>
  <c r="AA351" i="1"/>
  <c r="AA322" i="1"/>
  <c r="AA324" i="1" s="1"/>
  <c r="AA361" i="1"/>
  <c r="AA379" i="1"/>
  <c r="AA380" i="1" s="1"/>
  <c r="AA359" i="1"/>
  <c r="Z369" i="1"/>
  <c r="Z386" i="1"/>
  <c r="AA375" i="1"/>
  <c r="AA376" i="1" s="1"/>
  <c r="AA373" i="1"/>
  <c r="AA374" i="1" s="1"/>
  <c r="AA341" i="1"/>
  <c r="AA343" i="1"/>
  <c r="AA334" i="1"/>
  <c r="AA336" i="1"/>
  <c r="AA340" i="1"/>
  <c r="AA335" i="1"/>
  <c r="AA337" i="1"/>
  <c r="AB383" i="1" l="1"/>
  <c r="AB332" i="1"/>
  <c r="AB358" i="1"/>
  <c r="AB375" i="1"/>
  <c r="AB376" i="1" s="1"/>
  <c r="AB364" i="1"/>
  <c r="AB357" i="1"/>
  <c r="AB354" i="1"/>
  <c r="AB326" i="1"/>
  <c r="AB360" i="1"/>
  <c r="AB377" i="1"/>
  <c r="AB378" i="1" s="1"/>
  <c r="AB362" i="1"/>
  <c r="AB361" i="1"/>
  <c r="AB365" i="1"/>
  <c r="AB352" i="1"/>
  <c r="AB322" i="1"/>
  <c r="AB323" i="1" s="1"/>
  <c r="AB379" i="1"/>
  <c r="AB380" i="1" s="1"/>
  <c r="AB319" i="1"/>
  <c r="AA369" i="1"/>
  <c r="AA368" i="1"/>
  <c r="AB350" i="1"/>
  <c r="AB351" i="1"/>
  <c r="AB359" i="1"/>
  <c r="AB355" i="1"/>
  <c r="AB353" i="1"/>
  <c r="AB356" i="1"/>
  <c r="AA323" i="1"/>
  <c r="AB366" i="1"/>
  <c r="AC318" i="1"/>
  <c r="AC332" i="1" s="1"/>
  <c r="AB381" i="1"/>
  <c r="AB382" i="1" s="1"/>
  <c r="AA385" i="1"/>
  <c r="AB373" i="1"/>
  <c r="AB374" i="1" s="1"/>
  <c r="AB363" i="1"/>
  <c r="AB367" i="1"/>
  <c r="AA386" i="1"/>
  <c r="AB341" i="1"/>
  <c r="AB343" i="1"/>
  <c r="AB334" i="1"/>
  <c r="AB336" i="1"/>
  <c r="AB337" i="1"/>
  <c r="AB340" i="1"/>
  <c r="AB335" i="1"/>
  <c r="AC326" i="1" l="1"/>
  <c r="AB324" i="1"/>
  <c r="AB369" i="1"/>
  <c r="AB368" i="1"/>
  <c r="AC351" i="1"/>
  <c r="AC352" i="1"/>
  <c r="AC364" i="1"/>
  <c r="AC367" i="1"/>
  <c r="AC350" i="1"/>
  <c r="AC361" i="1"/>
  <c r="AC383" i="1"/>
  <c r="AC359" i="1"/>
  <c r="AC356" i="1"/>
  <c r="AC354" i="1"/>
  <c r="AC375" i="1"/>
  <c r="AC376" i="1" s="1"/>
  <c r="AC357" i="1"/>
  <c r="AC353" i="1"/>
  <c r="AC363" i="1"/>
  <c r="AC360" i="1"/>
  <c r="AC355" i="1"/>
  <c r="AC319" i="1"/>
  <c r="AD318" i="1"/>
  <c r="AD332" i="1" s="1"/>
  <c r="AC322" i="1"/>
  <c r="AC323" i="1" s="1"/>
  <c r="AC377" i="1"/>
  <c r="AC378" i="1" s="1"/>
  <c r="AC362" i="1"/>
  <c r="AC366" i="1"/>
  <c r="AB386" i="1"/>
  <c r="AB385" i="1"/>
  <c r="AC373" i="1"/>
  <c r="AC374" i="1" s="1"/>
  <c r="AC358" i="1"/>
  <c r="AC365" i="1"/>
  <c r="AC381" i="1"/>
  <c r="AC382" i="1" s="1"/>
  <c r="AC379" i="1"/>
  <c r="AC380" i="1" s="1"/>
  <c r="AC341" i="1"/>
  <c r="AC343" i="1"/>
  <c r="AC337" i="1"/>
  <c r="AC336" i="1"/>
  <c r="AC334" i="1"/>
  <c r="AC340" i="1"/>
  <c r="AC335" i="1"/>
  <c r="AD326" i="1" l="1"/>
  <c r="AD357" i="1"/>
  <c r="AD356" i="1"/>
  <c r="AD358" i="1"/>
  <c r="AD362" i="1"/>
  <c r="AH318" i="1"/>
  <c r="AD353" i="1"/>
  <c r="AD355" i="1"/>
  <c r="AD381" i="1"/>
  <c r="AD382" i="1" s="1"/>
  <c r="AD361" i="1"/>
  <c r="AD319" i="1"/>
  <c r="AD359" i="1"/>
  <c r="AD375" i="1"/>
  <c r="AD376" i="1" s="1"/>
  <c r="AD322" i="1"/>
  <c r="AD323" i="1" s="1"/>
  <c r="AD351" i="1"/>
  <c r="AD383" i="1"/>
  <c r="AD377" i="1"/>
  <c r="AD378" i="1" s="1"/>
  <c r="AD379" i="1"/>
  <c r="AD380" i="1" s="1"/>
  <c r="AD363" i="1"/>
  <c r="AC369" i="1"/>
  <c r="AD365" i="1"/>
  <c r="AD364" i="1"/>
  <c r="AD366" i="1"/>
  <c r="AD360" i="1"/>
  <c r="AD350" i="1"/>
  <c r="AD367" i="1"/>
  <c r="AC368" i="1"/>
  <c r="AC324" i="1"/>
  <c r="AC386" i="1"/>
  <c r="AC385" i="1"/>
  <c r="AD352" i="1"/>
  <c r="AD354" i="1"/>
  <c r="AD373" i="1"/>
  <c r="AD374" i="1" s="1"/>
  <c r="AD341" i="1"/>
  <c r="AD343" i="1"/>
  <c r="AD337" i="1"/>
  <c r="AD334" i="1"/>
  <c r="AD336" i="1"/>
  <c r="AD340" i="1"/>
  <c r="AD335" i="1"/>
  <c r="AH362" i="1" l="1"/>
  <c r="AH332" i="1"/>
  <c r="AH359" i="1"/>
  <c r="AH357" i="1"/>
  <c r="AH352" i="1"/>
  <c r="AE318" i="1"/>
  <c r="AE332" i="1" s="1"/>
  <c r="AG318" i="1"/>
  <c r="AG332" i="1" s="1"/>
  <c r="AF318" i="1"/>
  <c r="AF332" i="1" s="1"/>
  <c r="AH379" i="1"/>
  <c r="AH380" i="1" s="1"/>
  <c r="AH353" i="1"/>
  <c r="AH381" i="1"/>
  <c r="AH382" i="1" s="1"/>
  <c r="AH350" i="1"/>
  <c r="AH360" i="1"/>
  <c r="AH365" i="1"/>
  <c r="AH375" i="1"/>
  <c r="AH376" i="1" s="1"/>
  <c r="AH364" i="1"/>
  <c r="AH367" i="1"/>
  <c r="AH354" i="1"/>
  <c r="AH366" i="1"/>
  <c r="AH319" i="1"/>
  <c r="AH326" i="1"/>
  <c r="AH351" i="1"/>
  <c r="AH363" i="1"/>
  <c r="AH355" i="1"/>
  <c r="AH322" i="1"/>
  <c r="AH323" i="1" s="1"/>
  <c r="AH361" i="1"/>
  <c r="AH377" i="1"/>
  <c r="AH378" i="1" s="1"/>
  <c r="AH383" i="1"/>
  <c r="AH356" i="1"/>
  <c r="AL318" i="1"/>
  <c r="AH358" i="1"/>
  <c r="AH373" i="1"/>
  <c r="AH374" i="1" s="1"/>
  <c r="AD386" i="1"/>
  <c r="AD369" i="1"/>
  <c r="AD324" i="1"/>
  <c r="AD368" i="1"/>
  <c r="AD385" i="1"/>
  <c r="AH341" i="1"/>
  <c r="AH334" i="1"/>
  <c r="AH336" i="1"/>
  <c r="AH340" i="1"/>
  <c r="AH335" i="1"/>
  <c r="AH337" i="1"/>
  <c r="AI318" i="1" l="1"/>
  <c r="AI332" i="1" s="1"/>
  <c r="AL332" i="1"/>
  <c r="AJ318" i="1"/>
  <c r="AJ332" i="1" s="1"/>
  <c r="AK318" i="1"/>
  <c r="AK332" i="1" s="1"/>
  <c r="AL363" i="1"/>
  <c r="AL353" i="1"/>
  <c r="AL365" i="1"/>
  <c r="AQ318" i="1"/>
  <c r="AQ342" i="1" s="1"/>
  <c r="AQ343" i="1" s="1"/>
  <c r="AL364" i="1"/>
  <c r="AH324" i="1"/>
  <c r="AL367" i="1"/>
  <c r="AL379" i="1"/>
  <c r="AL380" i="1" s="1"/>
  <c r="AL354" i="1"/>
  <c r="AL350" i="1"/>
  <c r="AL375" i="1"/>
  <c r="AL376" i="1" s="1"/>
  <c r="AL358" i="1"/>
  <c r="AL360" i="1"/>
  <c r="AL319" i="1"/>
  <c r="AL381" i="1"/>
  <c r="AL382" i="1" s="1"/>
  <c r="AL377" i="1"/>
  <c r="AL378" i="1" s="1"/>
  <c r="AL383" i="1"/>
  <c r="AL366" i="1"/>
  <c r="AL351" i="1"/>
  <c r="AL352" i="1"/>
  <c r="AL359" i="1"/>
  <c r="AL326" i="1"/>
  <c r="AL373" i="1"/>
  <c r="AL374" i="1" s="1"/>
  <c r="AL356" i="1"/>
  <c r="AH368" i="1"/>
  <c r="AH369" i="1"/>
  <c r="AL362" i="1"/>
  <c r="AH385" i="1"/>
  <c r="AL322" i="1"/>
  <c r="AL323" i="1" s="1"/>
  <c r="AL355" i="1"/>
  <c r="AL357" i="1"/>
  <c r="AL361" i="1"/>
  <c r="AH386" i="1"/>
  <c r="AF375" i="1"/>
  <c r="AF376" i="1" s="1"/>
  <c r="AF381" i="1"/>
  <c r="AF382" i="1" s="1"/>
  <c r="AF377" i="1"/>
  <c r="AF378" i="1" s="1"/>
  <c r="AF319" i="1"/>
  <c r="AF322" i="1"/>
  <c r="AF373" i="1"/>
  <c r="AF326" i="1"/>
  <c r="AF383" i="1"/>
  <c r="AF379" i="1"/>
  <c r="AF380" i="1" s="1"/>
  <c r="AF353" i="1"/>
  <c r="AF352" i="1"/>
  <c r="AF361" i="1"/>
  <c r="AF354" i="1"/>
  <c r="AF358" i="1"/>
  <c r="AF360" i="1"/>
  <c r="AF364" i="1"/>
  <c r="AF355" i="1"/>
  <c r="AF359" i="1"/>
  <c r="AF365" i="1"/>
  <c r="AF366" i="1"/>
  <c r="AF362" i="1"/>
  <c r="AF350" i="1"/>
  <c r="AF356" i="1"/>
  <c r="AF367" i="1"/>
  <c r="AF363" i="1"/>
  <c r="AF357" i="1"/>
  <c r="AF351" i="1"/>
  <c r="AG375" i="1"/>
  <c r="AG376" i="1" s="1"/>
  <c r="AG381" i="1"/>
  <c r="AG382" i="1" s="1"/>
  <c r="AG322" i="1"/>
  <c r="AG377" i="1"/>
  <c r="AG378" i="1" s="1"/>
  <c r="AG379" i="1"/>
  <c r="AG380" i="1" s="1"/>
  <c r="AG373" i="1"/>
  <c r="AG326" i="1"/>
  <c r="AG383" i="1"/>
  <c r="AG319" i="1"/>
  <c r="AG352" i="1"/>
  <c r="AG353" i="1"/>
  <c r="AG364" i="1"/>
  <c r="AG365" i="1"/>
  <c r="AG354" i="1"/>
  <c r="AG358" i="1"/>
  <c r="AG350" i="1"/>
  <c r="AG361" i="1"/>
  <c r="AG360" i="1"/>
  <c r="AG355" i="1"/>
  <c r="AG359" i="1"/>
  <c r="AG357" i="1"/>
  <c r="AG366" i="1"/>
  <c r="AG362" i="1"/>
  <c r="AG356" i="1"/>
  <c r="AG367" i="1"/>
  <c r="AG363" i="1"/>
  <c r="AG351" i="1"/>
  <c r="AE319" i="1"/>
  <c r="AE326" i="1"/>
  <c r="AE373" i="1"/>
  <c r="AE322" i="1"/>
  <c r="AE383" i="1"/>
  <c r="AE379" i="1"/>
  <c r="AE380" i="1" s="1"/>
  <c r="AE375" i="1"/>
  <c r="AE376" i="1" s="1"/>
  <c r="AE381" i="1"/>
  <c r="AE382" i="1" s="1"/>
  <c r="AE377" i="1"/>
  <c r="AE378" i="1" s="1"/>
  <c r="AE352" i="1"/>
  <c r="AE353" i="1"/>
  <c r="AE354" i="1"/>
  <c r="AE358" i="1"/>
  <c r="AE360" i="1"/>
  <c r="AE364" i="1"/>
  <c r="AE355" i="1"/>
  <c r="AE359" i="1"/>
  <c r="AE365" i="1"/>
  <c r="AE361" i="1"/>
  <c r="AE362" i="1"/>
  <c r="AE350" i="1"/>
  <c r="AE356" i="1"/>
  <c r="AE367" i="1"/>
  <c r="AE363" i="1"/>
  <c r="AE351" i="1"/>
  <c r="AE366" i="1"/>
  <c r="AE357" i="1"/>
  <c r="AL343" i="1"/>
  <c r="AL341" i="1"/>
  <c r="AL340" i="1"/>
  <c r="AL335" i="1"/>
  <c r="AL334" i="1"/>
  <c r="AL336" i="1"/>
  <c r="AL337" i="1"/>
  <c r="AQ354" i="1" l="1"/>
  <c r="W325" i="1"/>
  <c r="AB333" i="1"/>
  <c r="AC333" i="1"/>
  <c r="AD333" i="1"/>
  <c r="AH333" i="1"/>
  <c r="AL333" i="1"/>
  <c r="AF333" i="1"/>
  <c r="AE333" i="1"/>
  <c r="AG333" i="1"/>
  <c r="AI333" i="1"/>
  <c r="AK333" i="1"/>
  <c r="AJ333" i="1"/>
  <c r="Z327" i="1"/>
  <c r="W330" i="1"/>
  <c r="W331" i="1" s="1"/>
  <c r="V325" i="1"/>
  <c r="U325" i="1"/>
  <c r="AB325" i="1"/>
  <c r="AE327" i="1"/>
  <c r="V328" i="1"/>
  <c r="V329" i="1" s="1"/>
  <c r="T328" i="1"/>
  <c r="T329" i="1" s="1"/>
  <c r="AE330" i="1"/>
  <c r="AE331" i="1" s="1"/>
  <c r="V330" i="1"/>
  <c r="V331" i="1" s="1"/>
  <c r="Y328" i="1"/>
  <c r="Y329" i="1" s="1"/>
  <c r="AA325" i="1"/>
  <c r="Y327" i="1"/>
  <c r="Q328" i="1"/>
  <c r="Q329" i="1" s="1"/>
  <c r="Q320" i="1" s="1"/>
  <c r="Q321" i="1" s="1"/>
  <c r="AC325" i="1"/>
  <c r="V327" i="1"/>
  <c r="U327" i="1"/>
  <c r="T325" i="1"/>
  <c r="U328" i="1"/>
  <c r="U329" i="1" s="1"/>
  <c r="X330" i="1"/>
  <c r="X331" i="1" s="1"/>
  <c r="U330" i="1"/>
  <c r="U331" i="1" s="1"/>
  <c r="T327" i="1"/>
  <c r="S328" i="1"/>
  <c r="S329" i="1" s="1"/>
  <c r="S320" i="1" s="1"/>
  <c r="S321" i="1" s="1"/>
  <c r="Z325" i="1"/>
  <c r="Y330" i="1"/>
  <c r="Y331" i="1" s="1"/>
  <c r="R328" i="1"/>
  <c r="R329" i="1" s="1"/>
  <c r="R320" i="1" s="1"/>
  <c r="R321" i="1" s="1"/>
  <c r="W328" i="1"/>
  <c r="W329" i="1" s="1"/>
  <c r="Z328" i="1"/>
  <c r="Z329" i="1" s="1"/>
  <c r="X327" i="1"/>
  <c r="T330" i="1"/>
  <c r="T331" i="1" s="1"/>
  <c r="W327" i="1"/>
  <c r="Y325" i="1"/>
  <c r="X325" i="1"/>
  <c r="Z330" i="1"/>
  <c r="Z331" i="1" s="1"/>
  <c r="X328" i="1"/>
  <c r="X329" i="1" s="1"/>
  <c r="AQ326" i="1"/>
  <c r="AQ379" i="1"/>
  <c r="AQ380" i="1" s="1"/>
  <c r="AN318" i="1"/>
  <c r="AN342" i="1" s="1"/>
  <c r="AQ373" i="1"/>
  <c r="AQ374" i="1" s="1"/>
  <c r="AM318" i="1"/>
  <c r="AO318" i="1"/>
  <c r="AO342" i="1" s="1"/>
  <c r="AO343" i="1" s="1"/>
  <c r="AP318" i="1"/>
  <c r="AP342" i="1" s="1"/>
  <c r="AP343" i="1" s="1"/>
  <c r="AQ322" i="1"/>
  <c r="AQ324" i="1" s="1"/>
  <c r="AV318" i="1"/>
  <c r="AQ357" i="1"/>
  <c r="AQ332" i="1"/>
  <c r="AQ366" i="1"/>
  <c r="AQ363" i="1"/>
  <c r="AQ356" i="1"/>
  <c r="AQ358" i="1"/>
  <c r="AQ367" i="1"/>
  <c r="AQ361" i="1"/>
  <c r="AQ383" i="1"/>
  <c r="AQ351" i="1"/>
  <c r="AQ359" i="1"/>
  <c r="AQ352" i="1"/>
  <c r="AQ365" i="1"/>
  <c r="AQ377" i="1"/>
  <c r="AQ378" i="1" s="1"/>
  <c r="AQ381" i="1"/>
  <c r="AQ382" i="1" s="1"/>
  <c r="AK322" i="1"/>
  <c r="AK377" i="1"/>
  <c r="AK378" i="1" s="1"/>
  <c r="AK381" i="1"/>
  <c r="AK382" i="1" s="1"/>
  <c r="AK350" i="1"/>
  <c r="AK354" i="1"/>
  <c r="AK358" i="1"/>
  <c r="AK362" i="1"/>
  <c r="AK366" i="1"/>
  <c r="AK373" i="1"/>
  <c r="AK357" i="1"/>
  <c r="AK351" i="1"/>
  <c r="AK355" i="1"/>
  <c r="AK359" i="1"/>
  <c r="AK363" i="1"/>
  <c r="AK367" i="1"/>
  <c r="AK365" i="1"/>
  <c r="AK375" i="1"/>
  <c r="AK376" i="1" s="1"/>
  <c r="AK379" i="1"/>
  <c r="AK380" i="1" s="1"/>
  <c r="AK383" i="1"/>
  <c r="AK352" i="1"/>
  <c r="AK356" i="1"/>
  <c r="AK360" i="1"/>
  <c r="AK364" i="1"/>
  <c r="AK361" i="1"/>
  <c r="AK353" i="1"/>
  <c r="AK326" i="1"/>
  <c r="AK319" i="1"/>
  <c r="AQ355" i="1"/>
  <c r="AQ319" i="1"/>
  <c r="AJ326" i="1"/>
  <c r="AJ377" i="1"/>
  <c r="AJ378" i="1" s="1"/>
  <c r="AJ381" i="1"/>
  <c r="AJ382" i="1" s="1"/>
  <c r="AJ350" i="1"/>
  <c r="AJ354" i="1"/>
  <c r="AJ358" i="1"/>
  <c r="AJ362" i="1"/>
  <c r="AJ366" i="1"/>
  <c r="AJ379" i="1"/>
  <c r="AJ380" i="1" s="1"/>
  <c r="AJ356" i="1"/>
  <c r="AJ353" i="1"/>
  <c r="AJ373" i="1"/>
  <c r="AJ375" i="1"/>
  <c r="AJ376" i="1" s="1"/>
  <c r="AJ352" i="1"/>
  <c r="AJ364" i="1"/>
  <c r="AJ361" i="1"/>
  <c r="AJ351" i="1"/>
  <c r="AJ355" i="1"/>
  <c r="AJ359" i="1"/>
  <c r="AJ363" i="1"/>
  <c r="AJ367" i="1"/>
  <c r="AJ383" i="1"/>
  <c r="AJ360" i="1"/>
  <c r="AJ357" i="1"/>
  <c r="AJ365" i="1"/>
  <c r="AJ319" i="1"/>
  <c r="AJ322" i="1"/>
  <c r="AQ362" i="1"/>
  <c r="AQ353" i="1"/>
  <c r="AQ360" i="1"/>
  <c r="AQ350" i="1"/>
  <c r="AQ364" i="1"/>
  <c r="AQ375" i="1"/>
  <c r="AQ376" i="1" s="1"/>
  <c r="AI373" i="1"/>
  <c r="AI361" i="1"/>
  <c r="AI354" i="1"/>
  <c r="AI358" i="1"/>
  <c r="AI351" i="1"/>
  <c r="AI355" i="1"/>
  <c r="AI359" i="1"/>
  <c r="AI363" i="1"/>
  <c r="AI367" i="1"/>
  <c r="AI353" i="1"/>
  <c r="AI377" i="1"/>
  <c r="AI378" i="1" s="1"/>
  <c r="AI362" i="1"/>
  <c r="AI366" i="1"/>
  <c r="AI375" i="1"/>
  <c r="AI376" i="1" s="1"/>
  <c r="AI379" i="1"/>
  <c r="AI380" i="1" s="1"/>
  <c r="AI383" i="1"/>
  <c r="AI352" i="1"/>
  <c r="AI356" i="1"/>
  <c r="AI360" i="1"/>
  <c r="AI364" i="1"/>
  <c r="AI365" i="1"/>
  <c r="AI350" i="1"/>
  <c r="AI357" i="1"/>
  <c r="AI381" i="1"/>
  <c r="AI382" i="1" s="1"/>
  <c r="AI319" i="1"/>
  <c r="AI326" i="1"/>
  <c r="AI322" i="1"/>
  <c r="AL324" i="1"/>
  <c r="AL385" i="1"/>
  <c r="AL368" i="1"/>
  <c r="AL386" i="1"/>
  <c r="AL369" i="1"/>
  <c r="AG369" i="1"/>
  <c r="AE369" i="1"/>
  <c r="AE323" i="1"/>
  <c r="AE324" i="1"/>
  <c r="AE325" i="1" s="1"/>
  <c r="AE385" i="1"/>
  <c r="AE374" i="1"/>
  <c r="AE386" i="1" s="1"/>
  <c r="AF368" i="1"/>
  <c r="AG374" i="1"/>
  <c r="AG386" i="1" s="1"/>
  <c r="AG385" i="1"/>
  <c r="AG368" i="1"/>
  <c r="AG323" i="1"/>
  <c r="AG324" i="1"/>
  <c r="AF374" i="1"/>
  <c r="AF386" i="1" s="1"/>
  <c r="AF385" i="1"/>
  <c r="AE368" i="1"/>
  <c r="AF323" i="1"/>
  <c r="AF324" i="1"/>
  <c r="AF369" i="1"/>
  <c r="AD325" i="1"/>
  <c r="AB327" i="1"/>
  <c r="AC327" i="1"/>
  <c r="AD327" i="1"/>
  <c r="AA327" i="1"/>
  <c r="AA330" i="1"/>
  <c r="AA331" i="1" s="1"/>
  <c r="AA328" i="1"/>
  <c r="AA329" i="1" s="1"/>
  <c r="AB328" i="1"/>
  <c r="AB329" i="1" s="1"/>
  <c r="AB330" i="1"/>
  <c r="AB331" i="1" s="1"/>
  <c r="AC330" i="1"/>
  <c r="AC331" i="1" s="1"/>
  <c r="AC328" i="1"/>
  <c r="AC329" i="1" s="1"/>
  <c r="AD330" i="1"/>
  <c r="AD331" i="1" s="1"/>
  <c r="AQ341" i="1"/>
  <c r="AQ335" i="1"/>
  <c r="AQ336" i="1"/>
  <c r="AQ334" i="1"/>
  <c r="AQ337" i="1"/>
  <c r="AQ340" i="1"/>
  <c r="AV332" i="1" l="1"/>
  <c r="AV342" i="1"/>
  <c r="AV343" i="1" s="1"/>
  <c r="AM332" i="1"/>
  <c r="AM343" i="1"/>
  <c r="AN343" i="1"/>
  <c r="AN332" i="1"/>
  <c r="V320" i="1"/>
  <c r="V321" i="1" s="1"/>
  <c r="U320" i="1"/>
  <c r="U321" i="1" s="1"/>
  <c r="T320" i="1"/>
  <c r="T321" i="1" s="1"/>
  <c r="W320" i="1"/>
  <c r="W321" i="1" s="1"/>
  <c r="AV354" i="1"/>
  <c r="Y320" i="1"/>
  <c r="Y321" i="1" s="1"/>
  <c r="X320" i="1"/>
  <c r="X321" i="1" s="1"/>
  <c r="Z320" i="1"/>
  <c r="Z321" i="1" s="1"/>
  <c r="AN375" i="1"/>
  <c r="AN376" i="1" s="1"/>
  <c r="AN379" i="1"/>
  <c r="AN380" i="1" s="1"/>
  <c r="AN383" i="1"/>
  <c r="AN351" i="1"/>
  <c r="AN354" i="1"/>
  <c r="AN357" i="1"/>
  <c r="AN360" i="1"/>
  <c r="AN363" i="1"/>
  <c r="AN366" i="1"/>
  <c r="AN355" i="1"/>
  <c r="AN367" i="1"/>
  <c r="AN352" i="1"/>
  <c r="AN361" i="1"/>
  <c r="AN364" i="1"/>
  <c r="AN373" i="1"/>
  <c r="AN377" i="1"/>
  <c r="AN378" i="1" s="1"/>
  <c r="AN358" i="1"/>
  <c r="AN381" i="1"/>
  <c r="AN382" i="1" s="1"/>
  <c r="AN350" i="1"/>
  <c r="AN353" i="1"/>
  <c r="AN356" i="1"/>
  <c r="AN359" i="1"/>
  <c r="AN362" i="1"/>
  <c r="AN365" i="1"/>
  <c r="AM366" i="1"/>
  <c r="AM359" i="1"/>
  <c r="AM362" i="1"/>
  <c r="AM375" i="1"/>
  <c r="AM376" i="1" s="1"/>
  <c r="AM379" i="1"/>
  <c r="AM380" i="1" s="1"/>
  <c r="AM383" i="1"/>
  <c r="AM351" i="1"/>
  <c r="AM354" i="1"/>
  <c r="AM357" i="1"/>
  <c r="AM360" i="1"/>
  <c r="AM363" i="1"/>
  <c r="AM353" i="1"/>
  <c r="AM356" i="1"/>
  <c r="AM373" i="1"/>
  <c r="AM377" i="1"/>
  <c r="AM378" i="1" s="1"/>
  <c r="AM352" i="1"/>
  <c r="AM355" i="1"/>
  <c r="AM358" i="1"/>
  <c r="AM361" i="1"/>
  <c r="AM364" i="1"/>
  <c r="AM367" i="1"/>
  <c r="AM365" i="1"/>
  <c r="AM381" i="1"/>
  <c r="AM382" i="1" s="1"/>
  <c r="AM350" i="1"/>
  <c r="AT318" i="1"/>
  <c r="AT342" i="1" s="1"/>
  <c r="AT343" i="1" s="1"/>
  <c r="AR318" i="1"/>
  <c r="AR342" i="1" s="1"/>
  <c r="AR343" i="1" s="1"/>
  <c r="AU318" i="1"/>
  <c r="AU342" i="1" s="1"/>
  <c r="AU343" i="1" s="1"/>
  <c r="AP355" i="1"/>
  <c r="AP381" i="1"/>
  <c r="AP382" i="1" s="1"/>
  <c r="AP350" i="1"/>
  <c r="AP353" i="1"/>
  <c r="AP356" i="1"/>
  <c r="AP359" i="1"/>
  <c r="AP362" i="1"/>
  <c r="AP365" i="1"/>
  <c r="AP361" i="1"/>
  <c r="AP352" i="1"/>
  <c r="AP373" i="1"/>
  <c r="AP377" i="1"/>
  <c r="AP378" i="1" s="1"/>
  <c r="AP375" i="1"/>
  <c r="AP376" i="1" s="1"/>
  <c r="AP379" i="1"/>
  <c r="AP380" i="1" s="1"/>
  <c r="AP383" i="1"/>
  <c r="AP351" i="1"/>
  <c r="AP354" i="1"/>
  <c r="AP357" i="1"/>
  <c r="AP360" i="1"/>
  <c r="AP363" i="1"/>
  <c r="AP366" i="1"/>
  <c r="AP358" i="1"/>
  <c r="AP367" i="1"/>
  <c r="AP364" i="1"/>
  <c r="AS318" i="1"/>
  <c r="AS342" i="1" s="1"/>
  <c r="AS343" i="1" s="1"/>
  <c r="AO381" i="1"/>
  <c r="AO382" i="1" s="1"/>
  <c r="AO350" i="1"/>
  <c r="AO353" i="1"/>
  <c r="AO356" i="1"/>
  <c r="AO359" i="1"/>
  <c r="AO362" i="1"/>
  <c r="AO365" i="1"/>
  <c r="AO355" i="1"/>
  <c r="AO361" i="1"/>
  <c r="AO375" i="1"/>
  <c r="AO376" i="1" s="1"/>
  <c r="AO379" i="1"/>
  <c r="AO380" i="1" s="1"/>
  <c r="AO383" i="1"/>
  <c r="AO351" i="1"/>
  <c r="AO354" i="1"/>
  <c r="AO357" i="1"/>
  <c r="AO360" i="1"/>
  <c r="AO363" i="1"/>
  <c r="AO366" i="1"/>
  <c r="AO364" i="1"/>
  <c r="AO358" i="1"/>
  <c r="AO367" i="1"/>
  <c r="AO373" i="1"/>
  <c r="AO377" i="1"/>
  <c r="AO378" i="1" s="1"/>
  <c r="AO352" i="1"/>
  <c r="AV356" i="1"/>
  <c r="AV358" i="1"/>
  <c r="AV362" i="1"/>
  <c r="AV360" i="1"/>
  <c r="AV350" i="1"/>
  <c r="AV352" i="1"/>
  <c r="BA318" i="1"/>
  <c r="AV319" i="1"/>
  <c r="AQ323" i="1"/>
  <c r="AV353" i="1"/>
  <c r="AI343" i="1"/>
  <c r="AJ343" i="1"/>
  <c r="AM333" i="1" s="1"/>
  <c r="AV383" i="1"/>
  <c r="AP319" i="1"/>
  <c r="AP332" i="1"/>
  <c r="AP322" i="1"/>
  <c r="AP326" i="1"/>
  <c r="AV357" i="1"/>
  <c r="AV366" i="1"/>
  <c r="AV361" i="1"/>
  <c r="AV355" i="1"/>
  <c r="AV377" i="1"/>
  <c r="AV378" i="1" s="1"/>
  <c r="AO319" i="1"/>
  <c r="AO332" i="1"/>
  <c r="AO322" i="1"/>
  <c r="AO326" i="1"/>
  <c r="AK343" i="1"/>
  <c r="AN333" i="1" s="1"/>
  <c r="AM319" i="1"/>
  <c r="AM322" i="1"/>
  <c r="AM326" i="1"/>
  <c r="AV359" i="1"/>
  <c r="AV381" i="1"/>
  <c r="AV382" i="1" s="1"/>
  <c r="AV363" i="1"/>
  <c r="AV351" i="1"/>
  <c r="AV379" i="1"/>
  <c r="AV380" i="1" s="1"/>
  <c r="AV326" i="1"/>
  <c r="AV375" i="1"/>
  <c r="AV376" i="1" s="1"/>
  <c r="AV364" i="1"/>
  <c r="AV367" i="1"/>
  <c r="AV373" i="1"/>
  <c r="AV322" i="1"/>
  <c r="AV324" i="1" s="1"/>
  <c r="AN319" i="1"/>
  <c r="AN322" i="1"/>
  <c r="AN326" i="1"/>
  <c r="AV365" i="1"/>
  <c r="AK368" i="1"/>
  <c r="AQ368" i="1"/>
  <c r="AQ385" i="1"/>
  <c r="AQ369" i="1"/>
  <c r="AQ386" i="1"/>
  <c r="AI324" i="1"/>
  <c r="AI323" i="1"/>
  <c r="AJ324" i="1"/>
  <c r="AJ323" i="1"/>
  <c r="AJ368" i="1"/>
  <c r="AK369" i="1"/>
  <c r="AI369" i="1"/>
  <c r="AI374" i="1"/>
  <c r="AI386" i="1" s="1"/>
  <c r="AI385" i="1"/>
  <c r="AK374" i="1"/>
  <c r="AK386" i="1" s="1"/>
  <c r="AK385" i="1"/>
  <c r="AK324" i="1"/>
  <c r="AK323" i="1"/>
  <c r="AJ374" i="1"/>
  <c r="AJ386" i="1" s="1"/>
  <c r="AJ385" i="1"/>
  <c r="AI368" i="1"/>
  <c r="AJ369" i="1"/>
  <c r="AC320" i="1"/>
  <c r="AC321" i="1" s="1"/>
  <c r="AB320" i="1"/>
  <c r="AB321" i="1" s="1"/>
  <c r="AA320" i="1"/>
  <c r="AA321" i="1" s="1"/>
  <c r="AV341" i="1"/>
  <c r="AV336" i="1"/>
  <c r="AV335" i="1"/>
  <c r="AV334" i="1"/>
  <c r="AV337" i="1"/>
  <c r="AV340" i="1"/>
  <c r="BA342" i="1" l="1"/>
  <c r="D314" i="1"/>
  <c r="AW328" i="1"/>
  <c r="BA356" i="1"/>
  <c r="BA373" i="1"/>
  <c r="BA351" i="1"/>
  <c r="BA379" i="1"/>
  <c r="BA380" i="1" s="1"/>
  <c r="BA377" i="1"/>
  <c r="BA378" i="1" s="1"/>
  <c r="BA362" i="1"/>
  <c r="BA322" i="1"/>
  <c r="BA324" i="1" s="1"/>
  <c r="AW330" i="1"/>
  <c r="AX318" i="1"/>
  <c r="AX342" i="1" s="1"/>
  <c r="AX343" i="1" s="1"/>
  <c r="AY318" i="1"/>
  <c r="AY342" i="1" s="1"/>
  <c r="AY343" i="1" s="1"/>
  <c r="AZ318" i="1"/>
  <c r="AZ342" i="1" s="1"/>
  <c r="AZ343" i="1" s="1"/>
  <c r="AW318" i="1"/>
  <c r="AW342" i="1" s="1"/>
  <c r="AW343" i="1" s="1"/>
  <c r="BA359" i="1"/>
  <c r="BA366" i="1"/>
  <c r="BA361" i="1"/>
  <c r="BA364" i="1"/>
  <c r="BA375" i="1"/>
  <c r="BA376" i="1" s="1"/>
  <c r="AM368" i="1"/>
  <c r="AM369" i="1"/>
  <c r="BA360" i="1"/>
  <c r="BA357" i="1"/>
  <c r="BA363" i="1"/>
  <c r="BA326" i="1"/>
  <c r="BA365" i="1"/>
  <c r="BA355" i="1"/>
  <c r="BA367" i="1"/>
  <c r="BA352" i="1"/>
  <c r="BA350" i="1"/>
  <c r="BA383" i="1"/>
  <c r="BA332" i="1"/>
  <c r="BA319" i="1"/>
  <c r="BA381" i="1"/>
  <c r="BA382" i="1" s="1"/>
  <c r="AR328" i="1"/>
  <c r="AO368" i="1"/>
  <c r="AS373" i="1"/>
  <c r="AS377" i="1"/>
  <c r="AS378" i="1" s="1"/>
  <c r="AS352" i="1"/>
  <c r="AS355" i="1"/>
  <c r="AS358" i="1"/>
  <c r="AS361" i="1"/>
  <c r="AS364" i="1"/>
  <c r="AS367" i="1"/>
  <c r="AS381" i="1"/>
  <c r="AS382" i="1" s="1"/>
  <c r="AS350" i="1"/>
  <c r="AS353" i="1"/>
  <c r="AS356" i="1"/>
  <c r="AS359" i="1"/>
  <c r="AS362" i="1"/>
  <c r="AS365" i="1"/>
  <c r="AS319" i="1"/>
  <c r="AS332" i="1"/>
  <c r="AS375" i="1"/>
  <c r="AS376" i="1" s="1"/>
  <c r="AS379" i="1"/>
  <c r="AS380" i="1" s="1"/>
  <c r="AS383" i="1"/>
  <c r="AS351" i="1"/>
  <c r="AS354" i="1"/>
  <c r="AS357" i="1"/>
  <c r="AS360" i="1"/>
  <c r="AS363" i="1"/>
  <c r="AS366" i="1"/>
  <c r="AS322" i="1"/>
  <c r="AS326" i="1"/>
  <c r="AP369" i="1"/>
  <c r="AU326" i="1"/>
  <c r="AU373" i="1"/>
  <c r="AU377" i="1"/>
  <c r="AU378" i="1" s="1"/>
  <c r="AU352" i="1"/>
  <c r="AU355" i="1"/>
  <c r="AU358" i="1"/>
  <c r="AU361" i="1"/>
  <c r="AU364" i="1"/>
  <c r="AU367" i="1"/>
  <c r="AU381" i="1"/>
  <c r="AU382" i="1" s="1"/>
  <c r="AU350" i="1"/>
  <c r="AU353" i="1"/>
  <c r="AU356" i="1"/>
  <c r="AU359" i="1"/>
  <c r="AU362" i="1"/>
  <c r="AU365" i="1"/>
  <c r="AU319" i="1"/>
  <c r="AU332" i="1"/>
  <c r="AU375" i="1"/>
  <c r="AU376" i="1" s="1"/>
  <c r="AU379" i="1"/>
  <c r="AU380" i="1" s="1"/>
  <c r="AU383" i="1"/>
  <c r="AU351" i="1"/>
  <c r="AU354" i="1"/>
  <c r="AU357" i="1"/>
  <c r="AU360" i="1"/>
  <c r="AU363" i="1"/>
  <c r="AU366" i="1"/>
  <c r="AU322" i="1"/>
  <c r="AN385" i="1"/>
  <c r="AN374" i="1"/>
  <c r="AN386" i="1" s="1"/>
  <c r="AO374" i="1"/>
  <c r="AO386" i="1" s="1"/>
  <c r="AO385" i="1"/>
  <c r="AP374" i="1"/>
  <c r="AP386" i="1" s="1"/>
  <c r="AP385" i="1"/>
  <c r="AR373" i="1"/>
  <c r="AR377" i="1"/>
  <c r="AR378" i="1" s="1"/>
  <c r="AR352" i="1"/>
  <c r="AR355" i="1"/>
  <c r="AR358" i="1"/>
  <c r="AR361" i="1"/>
  <c r="AR364" i="1"/>
  <c r="AR367" i="1"/>
  <c r="AR381" i="1"/>
  <c r="AR382" i="1" s="1"/>
  <c r="AR350" i="1"/>
  <c r="AR353" i="1"/>
  <c r="AR356" i="1"/>
  <c r="AR359" i="1"/>
  <c r="AR362" i="1"/>
  <c r="AR365" i="1"/>
  <c r="AR319" i="1"/>
  <c r="AR332" i="1"/>
  <c r="AR375" i="1"/>
  <c r="AR376" i="1" s="1"/>
  <c r="AR379" i="1"/>
  <c r="AR380" i="1" s="1"/>
  <c r="AR383" i="1"/>
  <c r="AR351" i="1"/>
  <c r="AR354" i="1"/>
  <c r="AR357" i="1"/>
  <c r="AR360" i="1"/>
  <c r="AR363" i="1"/>
  <c r="AR366" i="1"/>
  <c r="AR322" i="1"/>
  <c r="AR326" i="1"/>
  <c r="AR327" i="1" s="1"/>
  <c r="AM385" i="1"/>
  <c r="AM374" i="1"/>
  <c r="AM386" i="1" s="1"/>
  <c r="AP368" i="1"/>
  <c r="AT357" i="1"/>
  <c r="AT322" i="1"/>
  <c r="AT363" i="1"/>
  <c r="AT373" i="1"/>
  <c r="AT377" i="1"/>
  <c r="AT378" i="1" s="1"/>
  <c r="AT352" i="1"/>
  <c r="AT355" i="1"/>
  <c r="AT358" i="1"/>
  <c r="AT361" i="1"/>
  <c r="AT364" i="1"/>
  <c r="AT367" i="1"/>
  <c r="AT379" i="1"/>
  <c r="AT380" i="1" s="1"/>
  <c r="AT351" i="1"/>
  <c r="AT354" i="1"/>
  <c r="AT360" i="1"/>
  <c r="AT381" i="1"/>
  <c r="AT382" i="1" s="1"/>
  <c r="AT350" i="1"/>
  <c r="AT353" i="1"/>
  <c r="AT356" i="1"/>
  <c r="AT359" i="1"/>
  <c r="AT362" i="1"/>
  <c r="AT365" i="1"/>
  <c r="AT319" i="1"/>
  <c r="AT375" i="1"/>
  <c r="AT376" i="1" s="1"/>
  <c r="AT332" i="1"/>
  <c r="AT366" i="1"/>
  <c r="AT326" i="1"/>
  <c r="AT383" i="1"/>
  <c r="AN369" i="1"/>
  <c r="AV385" i="1"/>
  <c r="AO369" i="1"/>
  <c r="AN368" i="1"/>
  <c r="AR333" i="1"/>
  <c r="BA358" i="1"/>
  <c r="BF318" i="1"/>
  <c r="BF342" i="1" s="1"/>
  <c r="BF343" i="1" s="1"/>
  <c r="AV368" i="1"/>
  <c r="BA354" i="1"/>
  <c r="BA353" i="1"/>
  <c r="AV323" i="1"/>
  <c r="AN327" i="1"/>
  <c r="AV369" i="1"/>
  <c r="AO324" i="1"/>
  <c r="AO325" i="1" s="1"/>
  <c r="AO323" i="1"/>
  <c r="AN324" i="1"/>
  <c r="AN323" i="1"/>
  <c r="AP323" i="1"/>
  <c r="AP324" i="1"/>
  <c r="AV374" i="1"/>
  <c r="AV386" i="1" s="1"/>
  <c r="AI327" i="1"/>
  <c r="AN330" i="1"/>
  <c r="AN331" i="1" s="1"/>
  <c r="AN328" i="1"/>
  <c r="AP333" i="1"/>
  <c r="AM330" i="1"/>
  <c r="AM331" i="1" s="1"/>
  <c r="AM327" i="1"/>
  <c r="AM324" i="1"/>
  <c r="AM325" i="1" s="1"/>
  <c r="AM323" i="1"/>
  <c r="AJ328" i="1"/>
  <c r="AI328" i="1"/>
  <c r="AJ330" i="1"/>
  <c r="AJ331" i="1" s="1"/>
  <c r="AI330" i="1"/>
  <c r="AI331" i="1" s="1"/>
  <c r="AK328" i="1"/>
  <c r="AK330" i="1"/>
  <c r="AK331" i="1" s="1"/>
  <c r="AJ325" i="1"/>
  <c r="AI325" i="1"/>
  <c r="AK325" i="1"/>
  <c r="AJ327" i="1"/>
  <c r="AK327" i="1"/>
  <c r="AO330" i="1"/>
  <c r="AO331" i="1" s="1"/>
  <c r="BA337" i="1"/>
  <c r="BA334" i="1"/>
  <c r="BA340" i="1"/>
  <c r="BA335" i="1"/>
  <c r="BA336" i="1"/>
  <c r="BA374" i="1"/>
  <c r="BB318" i="1" l="1"/>
  <c r="BD318" i="1"/>
  <c r="BE318" i="1"/>
  <c r="BC318" i="1"/>
  <c r="BF356" i="1"/>
  <c r="BF379" i="1"/>
  <c r="BF380" i="1" s="1"/>
  <c r="BF381" i="1"/>
  <c r="BF382" i="1" s="1"/>
  <c r="AX330" i="1"/>
  <c r="AX328" i="1"/>
  <c r="BA343" i="1"/>
  <c r="BA323" i="1"/>
  <c r="BA386" i="1"/>
  <c r="BF332" i="1"/>
  <c r="BF353" i="1"/>
  <c r="BF351" i="1"/>
  <c r="BF319" i="1"/>
  <c r="AT327" i="1"/>
  <c r="AU327" i="1"/>
  <c r="BA327" i="1"/>
  <c r="AW373" i="1"/>
  <c r="AW377" i="1"/>
  <c r="AW378" i="1" s="1"/>
  <c r="AW381" i="1"/>
  <c r="AW382" i="1" s="1"/>
  <c r="AW319" i="1"/>
  <c r="AW375" i="1"/>
  <c r="AW376" i="1" s="1"/>
  <c r="AW332" i="1"/>
  <c r="AW379" i="1"/>
  <c r="AW380" i="1" s="1"/>
  <c r="AW383" i="1"/>
  <c r="AW322" i="1"/>
  <c r="AW326" i="1"/>
  <c r="AW327" i="1" s="1"/>
  <c r="AW353" i="1"/>
  <c r="AW352" i="1"/>
  <c r="AW355" i="1"/>
  <c r="AW358" i="1"/>
  <c r="AW363" i="1"/>
  <c r="AW350" i="1"/>
  <c r="AW366" i="1"/>
  <c r="AW351" i="1"/>
  <c r="AW367" i="1"/>
  <c r="AW360" i="1"/>
  <c r="AW362" i="1"/>
  <c r="AW365" i="1"/>
  <c r="AW356" i="1"/>
  <c r="AW359" i="1"/>
  <c r="AW354" i="1"/>
  <c r="AW361" i="1"/>
  <c r="AW364" i="1"/>
  <c r="AW357" i="1"/>
  <c r="AZ379" i="1"/>
  <c r="AZ380" i="1" s="1"/>
  <c r="AZ373" i="1"/>
  <c r="AZ377" i="1"/>
  <c r="AZ378" i="1" s="1"/>
  <c r="AZ332" i="1"/>
  <c r="AZ322" i="1"/>
  <c r="AZ381" i="1"/>
  <c r="AZ382" i="1" s="1"/>
  <c r="AZ319" i="1"/>
  <c r="AZ383" i="1"/>
  <c r="AZ326" i="1"/>
  <c r="AZ375" i="1"/>
  <c r="AZ376" i="1" s="1"/>
  <c r="AZ353" i="1"/>
  <c r="AZ352" i="1"/>
  <c r="AZ367" i="1"/>
  <c r="AZ359" i="1"/>
  <c r="AZ365" i="1"/>
  <c r="AZ362" i="1"/>
  <c r="AZ357" i="1"/>
  <c r="AZ366" i="1"/>
  <c r="AZ361" i="1"/>
  <c r="AZ350" i="1"/>
  <c r="AZ363" i="1"/>
  <c r="AZ364" i="1"/>
  <c r="AZ355" i="1"/>
  <c r="AZ360" i="1"/>
  <c r="AZ351" i="1"/>
  <c r="AZ358" i="1"/>
  <c r="AZ356" i="1"/>
  <c r="AZ354" i="1"/>
  <c r="AY326" i="1"/>
  <c r="AY373" i="1"/>
  <c r="AY377" i="1"/>
  <c r="AY378" i="1" s="1"/>
  <c r="AY383" i="1"/>
  <c r="AY381" i="1"/>
  <c r="AY382" i="1" s="1"/>
  <c r="AY319" i="1"/>
  <c r="AY322" i="1"/>
  <c r="AY332" i="1"/>
  <c r="AY375" i="1"/>
  <c r="AY376" i="1" s="1"/>
  <c r="AY379" i="1"/>
  <c r="AY380" i="1" s="1"/>
  <c r="AY353" i="1"/>
  <c r="AY352" i="1"/>
  <c r="AY362" i="1"/>
  <c r="AY354" i="1"/>
  <c r="AY367" i="1"/>
  <c r="AY357" i="1"/>
  <c r="AY363" i="1"/>
  <c r="AY350" i="1"/>
  <c r="AY364" i="1"/>
  <c r="AY356" i="1"/>
  <c r="AY366" i="1"/>
  <c r="AY361" i="1"/>
  <c r="AY365" i="1"/>
  <c r="AY355" i="1"/>
  <c r="AY358" i="1"/>
  <c r="AY360" i="1"/>
  <c r="AY351" i="1"/>
  <c r="AY359" i="1"/>
  <c r="AX373" i="1"/>
  <c r="AX377" i="1"/>
  <c r="AX378" i="1" s="1"/>
  <c r="AX381" i="1"/>
  <c r="AX382" i="1" s="1"/>
  <c r="AX319" i="1"/>
  <c r="AX326" i="1"/>
  <c r="AX327" i="1" s="1"/>
  <c r="AX332" i="1"/>
  <c r="AX383" i="1"/>
  <c r="AX322" i="1"/>
  <c r="AX379" i="1"/>
  <c r="AX380" i="1" s="1"/>
  <c r="AX375" i="1"/>
  <c r="AX376" i="1" s="1"/>
  <c r="AX352" i="1"/>
  <c r="AX353" i="1"/>
  <c r="AX354" i="1"/>
  <c r="AX357" i="1"/>
  <c r="AX359" i="1"/>
  <c r="AX361" i="1"/>
  <c r="AX364" i="1"/>
  <c r="AX366" i="1"/>
  <c r="AX363" i="1"/>
  <c r="AX355" i="1"/>
  <c r="AX350" i="1"/>
  <c r="AX358" i="1"/>
  <c r="AX360" i="1"/>
  <c r="AX365" i="1"/>
  <c r="AX351" i="1"/>
  <c r="AX356" i="1"/>
  <c r="AX367" i="1"/>
  <c r="AX362" i="1"/>
  <c r="BF354" i="1"/>
  <c r="BF352" i="1"/>
  <c r="BA369" i="1"/>
  <c r="AM328" i="1"/>
  <c r="AM329" i="1" s="1"/>
  <c r="AM320" i="1" s="1"/>
  <c r="AM321" i="1" s="1"/>
  <c r="AP328" i="1"/>
  <c r="AR330" i="1"/>
  <c r="AR331" i="1" s="1"/>
  <c r="AR329" i="1" s="1"/>
  <c r="AR320" i="1" s="1"/>
  <c r="AR321" i="1" s="1"/>
  <c r="AS327" i="1"/>
  <c r="AS328" i="1"/>
  <c r="AS333" i="1"/>
  <c r="AS330" i="1"/>
  <c r="AS331" i="1" s="1"/>
  <c r="AO327" i="1"/>
  <c r="AO333" i="1"/>
  <c r="AN325" i="1"/>
  <c r="BA368" i="1"/>
  <c r="AP327" i="1"/>
  <c r="BA385" i="1"/>
  <c r="AP330" i="1"/>
  <c r="AP331" i="1" s="1"/>
  <c r="AO328" i="1"/>
  <c r="AO329" i="1" s="1"/>
  <c r="AO320" i="1" s="1"/>
  <c r="AP325" i="1"/>
  <c r="AT368" i="1"/>
  <c r="BF326" i="1"/>
  <c r="BF383" i="1"/>
  <c r="BF350" i="1"/>
  <c r="AT385" i="1"/>
  <c r="AT374" i="1"/>
  <c r="AT386" i="1" s="1"/>
  <c r="BG318" i="1"/>
  <c r="BG367" i="1" s="1"/>
  <c r="BF373" i="1"/>
  <c r="BF374" i="1" s="1"/>
  <c r="BF377" i="1"/>
  <c r="BF378" i="1" s="1"/>
  <c r="AT323" i="1"/>
  <c r="AT324" i="1"/>
  <c r="AT325" i="1" s="1"/>
  <c r="AS323" i="1"/>
  <c r="AS324" i="1"/>
  <c r="AS325" i="1" s="1"/>
  <c r="AS368" i="1"/>
  <c r="BF367" i="1"/>
  <c r="BF375" i="1"/>
  <c r="BF376" i="1" s="1"/>
  <c r="BF322" i="1"/>
  <c r="BF324" i="1" s="1"/>
  <c r="AR385" i="1"/>
  <c r="AR374" i="1"/>
  <c r="AR386" i="1" s="1"/>
  <c r="AS385" i="1"/>
  <c r="AS374" i="1"/>
  <c r="AS386" i="1" s="1"/>
  <c r="AS369" i="1"/>
  <c r="BF364" i="1"/>
  <c r="AU369" i="1"/>
  <c r="BF365" i="1"/>
  <c r="BF363" i="1"/>
  <c r="BF362" i="1"/>
  <c r="AU323" i="1"/>
  <c r="AU324" i="1"/>
  <c r="AU368" i="1"/>
  <c r="BF366" i="1"/>
  <c r="BF361" i="1"/>
  <c r="BF359" i="1"/>
  <c r="BF360" i="1"/>
  <c r="AR369" i="1"/>
  <c r="AU385" i="1"/>
  <c r="AU374" i="1"/>
  <c r="AU386" i="1" s="1"/>
  <c r="BF357" i="1"/>
  <c r="BF358" i="1"/>
  <c r="BF355" i="1"/>
  <c r="AT369" i="1"/>
  <c r="AR323" i="1"/>
  <c r="AR324" i="1"/>
  <c r="AR325" i="1" s="1"/>
  <c r="AR368" i="1"/>
  <c r="AN329" i="1"/>
  <c r="AN320" i="1" s="1"/>
  <c r="AN321" i="1" s="1"/>
  <c r="AK329" i="1"/>
  <c r="AK320" i="1" s="1"/>
  <c r="AK321" i="1" s="1"/>
  <c r="AI329" i="1"/>
  <c r="AI320" i="1" s="1"/>
  <c r="AI321" i="1" s="1"/>
  <c r="AJ329" i="1"/>
  <c r="AJ320" i="1" s="1"/>
  <c r="AJ321" i="1" s="1"/>
  <c r="AH328" i="1"/>
  <c r="AL328" i="1"/>
  <c r="AF330" i="1"/>
  <c r="AF331" i="1" s="1"/>
  <c r="AF327" i="1"/>
  <c r="AF325" i="1"/>
  <c r="AH327" i="1"/>
  <c r="AL327" i="1"/>
  <c r="AQ327" i="1"/>
  <c r="AG327" i="1"/>
  <c r="AQ325" i="1"/>
  <c r="AG328" i="1"/>
  <c r="AG325" i="1"/>
  <c r="AG330" i="1"/>
  <c r="AG331" i="1" s="1"/>
  <c r="AF328" i="1"/>
  <c r="AH325" i="1"/>
  <c r="AL325" i="1"/>
  <c r="AH330" i="1"/>
  <c r="AH331" i="1" s="1"/>
  <c r="AD328" i="1"/>
  <c r="AD329" i="1" s="1"/>
  <c r="AQ333" i="1"/>
  <c r="BK341" i="1"/>
  <c r="BK343" i="1"/>
  <c r="BK328" i="1" s="1"/>
  <c r="BK337" i="1"/>
  <c r="BK334" i="1"/>
  <c r="BK340" i="1"/>
  <c r="BL317" i="1"/>
  <c r="BK336" i="1"/>
  <c r="BK335" i="1"/>
  <c r="BB333" i="1" l="1"/>
  <c r="BB328" i="1"/>
  <c r="BB330" i="1"/>
  <c r="BB331" i="1" s="1"/>
  <c r="BB329" i="1" s="1"/>
  <c r="BC322" i="1"/>
  <c r="BC375" i="1"/>
  <c r="BC376" i="1" s="1"/>
  <c r="BC379" i="1"/>
  <c r="BC380" i="1" s="1"/>
  <c r="BC352" i="1"/>
  <c r="BC355" i="1"/>
  <c r="BC358" i="1"/>
  <c r="BC361" i="1"/>
  <c r="BC364" i="1"/>
  <c r="BC367" i="1"/>
  <c r="BC383" i="1"/>
  <c r="BC342" i="1"/>
  <c r="BC343" i="1" s="1"/>
  <c r="BC357" i="1"/>
  <c r="BC377" i="1"/>
  <c r="BC378" i="1" s="1"/>
  <c r="BC354" i="1"/>
  <c r="BC373" i="1"/>
  <c r="BC332" i="1"/>
  <c r="BC351" i="1"/>
  <c r="BC319" i="1"/>
  <c r="BC381" i="1"/>
  <c r="BC382" i="1" s="1"/>
  <c r="BC350" i="1"/>
  <c r="BC353" i="1"/>
  <c r="BC356" i="1"/>
  <c r="BC359" i="1"/>
  <c r="BC362" i="1"/>
  <c r="BC365" i="1"/>
  <c r="BC366" i="1"/>
  <c r="BC360" i="1"/>
  <c r="BC363" i="1"/>
  <c r="BC326" i="1"/>
  <c r="BE326" i="1"/>
  <c r="BE383" i="1"/>
  <c r="BE351" i="1"/>
  <c r="BE354" i="1"/>
  <c r="BE357" i="1"/>
  <c r="BE360" i="1"/>
  <c r="BE363" i="1"/>
  <c r="BE366" i="1"/>
  <c r="BE375" i="1"/>
  <c r="BE376" i="1" s="1"/>
  <c r="BE379" i="1"/>
  <c r="BE380" i="1" s="1"/>
  <c r="BE352" i="1"/>
  <c r="BE355" i="1"/>
  <c r="BE358" i="1"/>
  <c r="BE361" i="1"/>
  <c r="BE364" i="1"/>
  <c r="BE367" i="1"/>
  <c r="BE342" i="1"/>
  <c r="BE343" i="1" s="1"/>
  <c r="BF325" i="1" s="1"/>
  <c r="BE377" i="1"/>
  <c r="BE378" i="1" s="1"/>
  <c r="BE373" i="1"/>
  <c r="BE381" i="1"/>
  <c r="BE382" i="1" s="1"/>
  <c r="BE350" i="1"/>
  <c r="BE353" i="1"/>
  <c r="BE356" i="1"/>
  <c r="BE359" i="1"/>
  <c r="BE362" i="1"/>
  <c r="BE365" i="1"/>
  <c r="BE319" i="1"/>
  <c r="BE332" i="1"/>
  <c r="BE322" i="1"/>
  <c r="BD326" i="1"/>
  <c r="BD327" i="1" s="1"/>
  <c r="BD365" i="1"/>
  <c r="BD366" i="1"/>
  <c r="BD375" i="1"/>
  <c r="BD376" i="1" s="1"/>
  <c r="BD379" i="1"/>
  <c r="BD380" i="1" s="1"/>
  <c r="BD319" i="1"/>
  <c r="BD363" i="1"/>
  <c r="BD362" i="1"/>
  <c r="BD352" i="1"/>
  <c r="BD355" i="1"/>
  <c r="BD369" i="1" s="1"/>
  <c r="BD358" i="1"/>
  <c r="BD361" i="1"/>
  <c r="BD364" i="1"/>
  <c r="BD367" i="1"/>
  <c r="BD342" i="1"/>
  <c r="BD343" i="1" s="1"/>
  <c r="BD377" i="1"/>
  <c r="BD378" i="1" s="1"/>
  <c r="BD373" i="1"/>
  <c r="BD322" i="1"/>
  <c r="BD381" i="1"/>
  <c r="BD382" i="1" s="1"/>
  <c r="BD350" i="1"/>
  <c r="BD353" i="1"/>
  <c r="BD356" i="1"/>
  <c r="BD359" i="1"/>
  <c r="BD357" i="1"/>
  <c r="BD383" i="1"/>
  <c r="BD351" i="1"/>
  <c r="BD354" i="1"/>
  <c r="BD360" i="1"/>
  <c r="BD332" i="1"/>
  <c r="BB322" i="1"/>
  <c r="BB358" i="1"/>
  <c r="BB364" i="1"/>
  <c r="BB352" i="1"/>
  <c r="BB355" i="1"/>
  <c r="BB361" i="1"/>
  <c r="BB367" i="1"/>
  <c r="BB354" i="1"/>
  <c r="BB342" i="1"/>
  <c r="BB343" i="1" s="1"/>
  <c r="BB351" i="1"/>
  <c r="BB377" i="1"/>
  <c r="BB378" i="1" s="1"/>
  <c r="BB363" i="1"/>
  <c r="BB373" i="1"/>
  <c r="BB357" i="1"/>
  <c r="BB381" i="1"/>
  <c r="BB382" i="1" s="1"/>
  <c r="BB350" i="1"/>
  <c r="BB353" i="1"/>
  <c r="BB356" i="1"/>
  <c r="BB359" i="1"/>
  <c r="BB362" i="1"/>
  <c r="BB365" i="1"/>
  <c r="BB383" i="1"/>
  <c r="BB366" i="1"/>
  <c r="BB360" i="1"/>
  <c r="BB375" i="1"/>
  <c r="BB376" i="1" s="1"/>
  <c r="BB379" i="1"/>
  <c r="BB380" i="1" s="1"/>
  <c r="BB319" i="1"/>
  <c r="BB332" i="1"/>
  <c r="BB326" i="1"/>
  <c r="BB327" i="1" s="1"/>
  <c r="AO321" i="1"/>
  <c r="BG342" i="1"/>
  <c r="AX333" i="1"/>
  <c r="AX331" i="1"/>
  <c r="AX329" i="1" s="1"/>
  <c r="AX320" i="1" s="1"/>
  <c r="AV325" i="1"/>
  <c r="AW333" i="1"/>
  <c r="AW331" i="1"/>
  <c r="AW329" i="1" s="1"/>
  <c r="AW320" i="1" s="1"/>
  <c r="BG319" i="1"/>
  <c r="BG359" i="1"/>
  <c r="AT328" i="1"/>
  <c r="AT333" i="1"/>
  <c r="AT330" i="1"/>
  <c r="AT331" i="1" s="1"/>
  <c r="AU330" i="1"/>
  <c r="AU331" i="1" s="1"/>
  <c r="AU333" i="1"/>
  <c r="AU328" i="1"/>
  <c r="AY327" i="1"/>
  <c r="BA328" i="1"/>
  <c r="AP329" i="1"/>
  <c r="AP320" i="1" s="1"/>
  <c r="AP321" i="1" s="1"/>
  <c r="BA333" i="1"/>
  <c r="BA325" i="1"/>
  <c r="AU325" i="1"/>
  <c r="AV327" i="1"/>
  <c r="BG364" i="1"/>
  <c r="BG362" i="1"/>
  <c r="BG358" i="1"/>
  <c r="BG365" i="1"/>
  <c r="BG363" i="1"/>
  <c r="AZ327" i="1"/>
  <c r="AW368" i="1"/>
  <c r="AV333" i="1"/>
  <c r="AY323" i="1"/>
  <c r="AY324" i="1"/>
  <c r="AY325" i="1" s="1"/>
  <c r="AY368" i="1"/>
  <c r="AX369" i="1"/>
  <c r="AX385" i="1"/>
  <c r="AX374" i="1"/>
  <c r="AX386" i="1" s="1"/>
  <c r="AZ368" i="1"/>
  <c r="AY369" i="1"/>
  <c r="AW385" i="1"/>
  <c r="AW374" i="1"/>
  <c r="AW386" i="1" s="1"/>
  <c r="AY385" i="1"/>
  <c r="AY374" i="1"/>
  <c r="AY386" i="1" s="1"/>
  <c r="AZ323" i="1"/>
  <c r="AZ324" i="1"/>
  <c r="AZ325" i="1" s="1"/>
  <c r="AX323" i="1"/>
  <c r="AX324" i="1"/>
  <c r="AX325" i="1" s="1"/>
  <c r="AZ330" i="1"/>
  <c r="AZ331" i="1" s="1"/>
  <c r="AZ328" i="1"/>
  <c r="AZ333" i="1"/>
  <c r="AW324" i="1"/>
  <c r="AW325" i="1" s="1"/>
  <c r="AW323" i="1"/>
  <c r="AZ385" i="1"/>
  <c r="AZ374" i="1"/>
  <c r="AZ386" i="1" s="1"/>
  <c r="AY330" i="1"/>
  <c r="AY331" i="1" s="1"/>
  <c r="AY328" i="1"/>
  <c r="AY333" i="1"/>
  <c r="BF368" i="1"/>
  <c r="AX368" i="1"/>
  <c r="AZ369" i="1"/>
  <c r="AW369" i="1"/>
  <c r="BF369" i="1"/>
  <c r="AS329" i="1"/>
  <c r="AS320" i="1" s="1"/>
  <c r="AS321" i="1" s="1"/>
  <c r="BF323" i="1"/>
  <c r="BG360" i="1"/>
  <c r="BG361" i="1"/>
  <c r="BG356" i="1"/>
  <c r="BG357" i="1"/>
  <c r="BF385" i="1"/>
  <c r="BG353" i="1"/>
  <c r="BF386" i="1"/>
  <c r="BG350" i="1"/>
  <c r="BG351" i="1"/>
  <c r="BG352" i="1"/>
  <c r="BG379" i="1"/>
  <c r="BG380" i="1" s="1"/>
  <c r="BG381" i="1"/>
  <c r="BG382" i="1" s="1"/>
  <c r="BG383" i="1"/>
  <c r="BG355" i="1"/>
  <c r="BH318" i="1"/>
  <c r="BH365" i="1" s="1"/>
  <c r="BG373" i="1"/>
  <c r="BG374" i="1" s="1"/>
  <c r="BG377" i="1"/>
  <c r="BG378" i="1" s="1"/>
  <c r="BG354" i="1"/>
  <c r="BG326" i="1"/>
  <c r="BG327" i="1" s="1"/>
  <c r="BG322" i="1"/>
  <c r="BG324" i="1" s="1"/>
  <c r="BG325" i="1" s="1"/>
  <c r="BG375" i="1"/>
  <c r="BG376" i="1" s="1"/>
  <c r="BG332" i="1"/>
  <c r="BG366" i="1"/>
  <c r="AG329" i="1"/>
  <c r="AG320" i="1" s="1"/>
  <c r="AG321" i="1" s="1"/>
  <c r="AF329" i="1"/>
  <c r="AF320" i="1" s="1"/>
  <c r="AF321" i="1" s="1"/>
  <c r="AD320" i="1"/>
  <c r="AD321" i="1" s="1"/>
  <c r="BA330" i="1"/>
  <c r="BA331" i="1" s="1"/>
  <c r="AQ328" i="1"/>
  <c r="AH329" i="1"/>
  <c r="AV330" i="1"/>
  <c r="AV331" i="1" s="1"/>
  <c r="AL330" i="1"/>
  <c r="AL331" i="1" s="1"/>
  <c r="AV328" i="1"/>
  <c r="AQ330" i="1"/>
  <c r="AQ331" i="1" s="1"/>
  <c r="BL341" i="1"/>
  <c r="BL340" i="1"/>
  <c r="BL343" i="1"/>
  <c r="BC330" i="1" s="1"/>
  <c r="BC331" i="1" s="1"/>
  <c r="BC327" i="1" l="1"/>
  <c r="BE368" i="1"/>
  <c r="BC368" i="1"/>
  <c r="BD324" i="1"/>
  <c r="BD323" i="1"/>
  <c r="BE369" i="1"/>
  <c r="BD385" i="1"/>
  <c r="BD374" i="1"/>
  <c r="BD386" i="1" s="1"/>
  <c r="BC328" i="1"/>
  <c r="BC333" i="1"/>
  <c r="BE328" i="1"/>
  <c r="BE333" i="1"/>
  <c r="BE330" i="1"/>
  <c r="BE331" i="1" s="1"/>
  <c r="BC385" i="1"/>
  <c r="BC374" i="1"/>
  <c r="BC386" i="1"/>
  <c r="BC369" i="1"/>
  <c r="BB369" i="1"/>
  <c r="BE385" i="1"/>
  <c r="BE374" i="1"/>
  <c r="BE386" i="1" s="1"/>
  <c r="BC324" i="1"/>
  <c r="BC325" i="1" s="1"/>
  <c r="BC323" i="1"/>
  <c r="BB320" i="1"/>
  <c r="BB321" i="1" s="1"/>
  <c r="BE324" i="1"/>
  <c r="BE325" i="1" s="1"/>
  <c r="BE323" i="1"/>
  <c r="BF330" i="1"/>
  <c r="BF331" i="1" s="1"/>
  <c r="BF328" i="1"/>
  <c r="BF329" i="1" s="1"/>
  <c r="BF333" i="1"/>
  <c r="BD333" i="1"/>
  <c r="BD330" i="1"/>
  <c r="BD331" i="1" s="1"/>
  <c r="BD328" i="1"/>
  <c r="BD325" i="1"/>
  <c r="BF327" i="1"/>
  <c r="BB368" i="1"/>
  <c r="BD368" i="1"/>
  <c r="BA329" i="1"/>
  <c r="BB374" i="1"/>
  <c r="BB386" i="1" s="1"/>
  <c r="BB385" i="1"/>
  <c r="BB324" i="1"/>
  <c r="BB325" i="1" s="1"/>
  <c r="BB323" i="1"/>
  <c r="BE327" i="1"/>
  <c r="AT329" i="1"/>
  <c r="AT320" i="1" s="1"/>
  <c r="AT321" i="1" s="1"/>
  <c r="AW321" i="1"/>
  <c r="AX321" i="1"/>
  <c r="BG333" i="1"/>
  <c r="BG330" i="1"/>
  <c r="BG331" i="1" s="1"/>
  <c r="BG328" i="1"/>
  <c r="BH342" i="1"/>
  <c r="BG343" i="1"/>
  <c r="AU329" i="1"/>
  <c r="AU320" i="1" s="1"/>
  <c r="AU321" i="1" s="1"/>
  <c r="AY329" i="1"/>
  <c r="AY320" i="1" s="1"/>
  <c r="AY321" i="1" s="1"/>
  <c r="BH352" i="1"/>
  <c r="BH356" i="1"/>
  <c r="BG369" i="1"/>
  <c r="AZ329" i="1"/>
  <c r="AZ320" i="1" s="1"/>
  <c r="AZ321" i="1" s="1"/>
  <c r="BH381" i="1"/>
  <c r="BH382" i="1" s="1"/>
  <c r="BH354" i="1"/>
  <c r="BH363" i="1"/>
  <c r="BH367" i="1"/>
  <c r="BH361" i="1"/>
  <c r="BH359" i="1"/>
  <c r="BH326" i="1"/>
  <c r="BH327" i="1" s="1"/>
  <c r="BH357" i="1"/>
  <c r="BG368" i="1"/>
  <c r="BG386" i="1"/>
  <c r="BH355" i="1"/>
  <c r="BH362" i="1"/>
  <c r="BH353" i="1"/>
  <c r="BH375" i="1"/>
  <c r="BH376" i="1" s="1"/>
  <c r="BH351" i="1"/>
  <c r="BH377" i="1"/>
  <c r="BH378" i="1" s="1"/>
  <c r="BH383" i="1"/>
  <c r="BI318" i="1"/>
  <c r="BI377" i="1" s="1"/>
  <c r="BI378" i="1" s="1"/>
  <c r="BH358" i="1"/>
  <c r="BH364" i="1"/>
  <c r="BH332" i="1"/>
  <c r="BH350" i="1"/>
  <c r="BG385" i="1"/>
  <c r="BH319" i="1"/>
  <c r="BH366" i="1"/>
  <c r="BH379" i="1"/>
  <c r="BH380" i="1" s="1"/>
  <c r="BG323" i="1"/>
  <c r="BH373" i="1"/>
  <c r="BH374" i="1" s="1"/>
  <c r="BH360" i="1"/>
  <c r="BL333" i="1"/>
  <c r="AE328" i="1"/>
  <c r="AE329" i="1" s="1"/>
  <c r="AE320" i="1" s="1"/>
  <c r="AE321" i="1" s="1"/>
  <c r="AV329" i="1"/>
  <c r="AV320" i="1" s="1"/>
  <c r="AV321" i="1" s="1"/>
  <c r="BH323" i="1"/>
  <c r="BH324" i="1"/>
  <c r="AH320" i="1"/>
  <c r="AH321" i="1" s="1"/>
  <c r="AQ329" i="1"/>
  <c r="AQ320" i="1" s="1"/>
  <c r="AQ321" i="1" s="1"/>
  <c r="AL329" i="1"/>
  <c r="AL320" i="1" s="1"/>
  <c r="AL321" i="1" s="1"/>
  <c r="BA320" i="1"/>
  <c r="BA321" i="1" s="1"/>
  <c r="BC329" i="1" l="1"/>
  <c r="BC320" i="1" s="1"/>
  <c r="BC321" i="1" s="1"/>
  <c r="BD329" i="1"/>
  <c r="BD320" i="1" s="1"/>
  <c r="BD321" i="1" s="1"/>
  <c r="BF320" i="1"/>
  <c r="BF321" i="1" s="1"/>
  <c r="BE329" i="1"/>
  <c r="BE320" i="1" s="1"/>
  <c r="BE321" i="1" s="1"/>
  <c r="BH325" i="1"/>
  <c r="BH333" i="1"/>
  <c r="BH330" i="1"/>
  <c r="BH331" i="1" s="1"/>
  <c r="BH328" i="1"/>
  <c r="BH343" i="1"/>
  <c r="BI342" i="1"/>
  <c r="BG329" i="1"/>
  <c r="BG320" i="1" s="1"/>
  <c r="BG321" i="1" s="1"/>
  <c r="BI362" i="1"/>
  <c r="BH369" i="1"/>
  <c r="BI360" i="1"/>
  <c r="BI355" i="1"/>
  <c r="BI358" i="1"/>
  <c r="BI357" i="1"/>
  <c r="BI353" i="1"/>
  <c r="BI351" i="1"/>
  <c r="BI352" i="1"/>
  <c r="BI373" i="1"/>
  <c r="BI374" i="1" s="1"/>
  <c r="BI383" i="1"/>
  <c r="BI326" i="1"/>
  <c r="BI327" i="1" s="1"/>
  <c r="BI319" i="1"/>
  <c r="BI367" i="1"/>
  <c r="BI365" i="1"/>
  <c r="BI375" i="1"/>
  <c r="BI376" i="1" s="1"/>
  <c r="BI363" i="1"/>
  <c r="BI356" i="1"/>
  <c r="BI354" i="1"/>
  <c r="BI379" i="1"/>
  <c r="BI380" i="1" s="1"/>
  <c r="BI381" i="1"/>
  <c r="BI382" i="1" s="1"/>
  <c r="BI366" i="1"/>
  <c r="BI361" i="1"/>
  <c r="BI364" i="1"/>
  <c r="BI359" i="1"/>
  <c r="BH368" i="1"/>
  <c r="BI332" i="1"/>
  <c r="BI350" i="1"/>
  <c r="BH386" i="1"/>
  <c r="BH385" i="1"/>
  <c r="BJ375" i="1"/>
  <c r="BJ376" i="1" s="1"/>
  <c r="BJ373" i="1"/>
  <c r="BJ379" i="1"/>
  <c r="BJ380" i="1" s="1"/>
  <c r="BJ383" i="1"/>
  <c r="BJ351" i="1"/>
  <c r="BJ353" i="1"/>
  <c r="BJ355" i="1"/>
  <c r="BJ357" i="1"/>
  <c r="BJ359" i="1"/>
  <c r="BJ361" i="1"/>
  <c r="BJ363" i="1"/>
  <c r="BJ365" i="1"/>
  <c r="BJ367" i="1"/>
  <c r="BJ377" i="1"/>
  <c r="BJ378" i="1" s="1"/>
  <c r="BJ381" i="1"/>
  <c r="BJ382" i="1" s="1"/>
  <c r="BJ350" i="1"/>
  <c r="BJ352" i="1"/>
  <c r="BJ354" i="1"/>
  <c r="BJ356" i="1"/>
  <c r="BJ358" i="1"/>
  <c r="BJ360" i="1"/>
  <c r="BJ362" i="1"/>
  <c r="BJ364" i="1"/>
  <c r="BJ366" i="1"/>
  <c r="BI324" i="1"/>
  <c r="BI323" i="1"/>
  <c r="BJ332" i="1"/>
  <c r="BJ319" i="1"/>
  <c r="BJ326" i="1"/>
  <c r="BI325" i="1" l="1"/>
  <c r="BJ342" i="1"/>
  <c r="BJ343" i="1" s="1"/>
  <c r="BI343" i="1"/>
  <c r="BI328" i="1"/>
  <c r="BI333" i="1"/>
  <c r="BI330" i="1"/>
  <c r="BI331" i="1" s="1"/>
  <c r="BH329" i="1"/>
  <c r="BH320" i="1" s="1"/>
  <c r="BH321" i="1" s="1"/>
  <c r="BI369" i="1"/>
  <c r="BI368" i="1"/>
  <c r="BI386" i="1"/>
  <c r="BI385" i="1"/>
  <c r="BJ368" i="1"/>
  <c r="BJ369" i="1"/>
  <c r="BJ323" i="1"/>
  <c r="BJ324" i="1"/>
  <c r="BJ325" i="1" s="1"/>
  <c r="BJ374" i="1"/>
  <c r="BJ386" i="1" s="1"/>
  <c r="BJ385" i="1"/>
  <c r="BI329" i="1" l="1"/>
  <c r="BI320" i="1" s="1"/>
  <c r="BI321" i="1" s="1"/>
  <c r="BJ333" i="1"/>
  <c r="BJ330" i="1"/>
  <c r="BJ331" i="1" s="1"/>
  <c r="BJ328" i="1"/>
  <c r="BK333" i="1"/>
  <c r="BK330" i="1"/>
  <c r="BK331" i="1" s="1"/>
  <c r="BK329" i="1" s="1"/>
  <c r="BK325" i="1"/>
  <c r="BK327" i="1"/>
  <c r="BJ327" i="1"/>
  <c r="BJ329" i="1" l="1"/>
  <c r="BJ320" i="1" s="1"/>
  <c r="BJ321" i="1" s="1"/>
  <c r="BK320" i="1"/>
  <c r="BK321" i="1" s="1"/>
</calcChain>
</file>

<file path=xl/sharedStrings.xml><?xml version="1.0" encoding="utf-8"?>
<sst xmlns="http://schemas.openxmlformats.org/spreadsheetml/2006/main" count="858" uniqueCount="632">
  <si>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</si>
  <si>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</si>
  <si>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</si>
  <si>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</si>
  <si>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</si>
  <si>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</si>
  <si>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</si>
  <si>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</si>
  <si>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</si>
  <si>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</si>
  <si>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</si>
  <si>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</si>
  <si>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</si>
  <si>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</si>
  <si>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</si>
  <si>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</si>
  <si>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</si>
  <si>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</si>
  <si>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</si>
  <si>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</si>
  <si>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</si>
  <si>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</si>
  <si>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</si>
  <si>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</si>
  <si>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</si>
  <si>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</si>
  <si>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</si>
  <si>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</si>
  <si>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</si>
  <si>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</si>
  <si>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</si>
  <si>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</si>
  <si>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</si>
  <si>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</si>
  <si>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</si>
  <si>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</si>
  <si>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</si>
  <si>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</si>
  <si>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</si>
  <si>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</si>
  <si>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</si>
  <si>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</si>
  <si>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</si>
  <si>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</si>
  <si>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</si>
  <si>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</si>
  <si>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</si>
  <si>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</si>
  <si>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</si>
  <si>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</si>
  <si>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</si>
  <si>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</si>
  <si>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</si>
  <si>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</si>
  <si>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</si>
  <si>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</si>
  <si>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</si>
  <si>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</si>
  <si>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</si>
  <si>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</si>
  <si>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</si>
  <si>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</si>
  <si>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</si>
  <si>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</si>
  <si>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</si>
  <si>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</si>
  <si>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</si>
  <si>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</si>
  <si>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</si>
  <si>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</si>
  <si>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</si>
  <si>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</si>
  <si>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</si>
  <si>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</si>
  <si>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</si>
  <si>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</si>
  <si>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</si>
  <si>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</si>
  <si>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</si>
  <si>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</si>
  <si>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</si>
  <si>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</si>
  <si>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</si>
  <si>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</si>
  <si>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</si>
  <si>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</si>
  <si>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</si>
  <si>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</si>
  <si>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</si>
  <si>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</si>
  <si>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</si>
  <si>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</si>
  <si>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</si>
  <si>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</si>
  <si>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</si>
  <si>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</si>
  <si>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</si>
  <si>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</si>
  <si>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</si>
  <si>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</si>
  <si>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</si>
  <si>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</si>
  <si>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</si>
  <si>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</si>
  <si>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</si>
  <si>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</si>
  <si>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</si>
  <si>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</si>
  <si>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</si>
  <si>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</si>
  <si>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</si>
  <si>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</si>
  <si>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</si>
  <si>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</si>
  <si>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</si>
  <si>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</si>
  <si>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</si>
  <si>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</si>
  <si>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</si>
  <si>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</si>
  <si>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</si>
  <si>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</si>
  <si>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</si>
  <si>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</si>
  <si>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</si>
  <si>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</si>
  <si>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</si>
  <si>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</si>
  <si>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</si>
  <si>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</si>
  <si>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</si>
  <si>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</si>
  <si>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</si>
  <si>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</si>
  <si>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</si>
  <si>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</si>
  <si>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</si>
  <si>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</si>
  <si>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</si>
  <si>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</si>
  <si>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</si>
  <si>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</si>
  <si>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</si>
  <si>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</si>
  <si>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</si>
  <si>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</si>
  <si>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</si>
  <si>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</si>
  <si>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</si>
  <si>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</si>
  <si>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</si>
  <si>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</si>
  <si>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</si>
  <si>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</si>
  <si>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</si>
  <si>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</si>
  <si>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</si>
  <si>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</si>
  <si>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</si>
  <si>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</si>
  <si>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</si>
  <si>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</si>
  <si>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</si>
  <si>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</si>
  <si>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</si>
  <si>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</si>
  <si>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</si>
  <si>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</si>
  <si>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</si>
  <si>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</si>
  <si>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</si>
  <si>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Travel from the European Schengen Area blocked</t>
  </si>
  <si>
    <t>Canada travel restricted</t>
  </si>
  <si>
    <t>Mexico travel restricted</t>
  </si>
  <si>
    <t>UK and Ireland travel restricted</t>
  </si>
  <si>
    <t>Iran travel blocked</t>
  </si>
  <si>
    <t>State of Emergency declared by Trump</t>
  </si>
  <si>
    <t>Public Hospital Beds in US / 1,000</t>
  </si>
  <si>
    <t>ICU Beds in US / 100,000</t>
  </si>
  <si>
    <t>85+</t>
  </si>
  <si>
    <t>Age group</t>
  </si>
  <si>
    <t>Total (of population)</t>
  </si>
  <si>
    <t>Using Australian rates as testing more comprehensive and cultures are similar</t>
  </si>
  <si>
    <t>Rates as of 8/4/2020</t>
  </si>
  <si>
    <t>Undetected Cases</t>
  </si>
  <si>
    <t>Undetected</t>
  </si>
  <si>
    <t xml:space="preserve"> of total (assumed for US situation)</t>
  </si>
  <si>
    <t>Worst case numbers</t>
  </si>
  <si>
    <t>USA Population</t>
  </si>
  <si>
    <t>American CFR</t>
  </si>
  <si>
    <t>Actual Active Confirmed Infections</t>
  </si>
  <si>
    <t>CDC begins to issue travel advisory warnings to China</t>
  </si>
  <si>
    <t>CDC states that they will begin to screen travellers from Wuhan</t>
  </si>
  <si>
    <t>First US confirmed case in Washington state</t>
  </si>
  <si>
    <t>Trump states "totally under control. It's one person coming in from China, and we have it under control. It's going to be just fine."</t>
  </si>
  <si>
    <t>US coronavirus taskforce created</t>
  </si>
  <si>
    <t>In response to stockmarket falls, Trump tweets that the virus "is very much under control" and the stock market "starting to look very good to me!"</t>
  </si>
  <si>
    <t>Trump issues executive order - China travel restricted</t>
  </si>
  <si>
    <t>FDA eases testing guidelines</t>
  </si>
  <si>
    <t>House passes $8.3bn emerg bill, Trump incorrectly criticises Obama admin for not doing anything about Swine Flu on Fox News</t>
  </si>
  <si>
    <t>Trump asks "everyone to work from home, and limit social gatherings to no more than 10 people", also stating that he has "always known this is a real, this is a pandemic.  I've felt it was a pandemic long before it was called a pandemic."</t>
  </si>
  <si>
    <t>WHO declares coronavirus a pandemic</t>
  </si>
  <si>
    <t>Health Secretary, Alex Azar briefs Trump on the coronavirus threat, during which Trump spent much of the conversation talking about vaping</t>
  </si>
  <si>
    <t>Joe Grogan, head of WH domestic policy council, warns WH to take the virus seriously or it could cost the president his re-election</t>
  </si>
  <si>
    <t>Economic adivsor, Peter Navarro warns the NSC in a memo that the virus could kill half a million Americans and cause a $5.7tn hit to the economy</t>
  </si>
  <si>
    <t>Azar again warns Trump of the looming threat which Trump dismisses as "alarmist" and tweets "Only 5 people in US, all in good recovery"</t>
  </si>
  <si>
    <t>Jan - Feb</t>
  </si>
  <si>
    <t>US Intelligence agencies file classified reports warning about global destabilisation from the pending coronavirus pandemic</t>
  </si>
  <si>
    <t>WH coronavirus taskforce models pandemic response and concludes that aggressive social distancing is necessary</t>
  </si>
  <si>
    <t>Economics Advisor, Navarro warns that a Covid-19 pandemic could infect as many as 100m Americans with a loss of 1-2m lives</t>
  </si>
  <si>
    <t>Director of the Center for the National Center for Immunization and Respiratory Diseases, Nancy Messonnier says "Ultimately, we expect we will see community spread in this country" and "disruption to everyday life may be severe. But these are things that people need to start thinking about now."</t>
  </si>
  <si>
    <t>Trump while in India states "is very well under control in our country", complains to Azar that Messonnier is scaring the stock market, and tweets "doing a GREAT job of handling Coronavirus including the very early closing of our borders… It was opposed by the Dems..."</t>
  </si>
  <si>
    <t>Director of the National Economics Council, Larry Kudlow states "We have contained this, I won't say airtight, but it's pretty close to airtight"</t>
  </si>
  <si>
    <t>WH states US will have tested 1m people by that week, and then 4m tests per week, by 12/3 the CDC had only completed 4,000 tests</t>
  </si>
  <si>
    <t>Trump states "When people need a test, they can get a test. When the professionals need a test, when they need tests for people, they can get the test. It’s gone really well."</t>
  </si>
  <si>
    <t>Dr Anthony Fauci tells Congress that there is not sufficient testing or capacity to do so "That is a failing. Let's admit it."  Trump states that there are a "million tests out now.  If you go to the right agency, if you go to the right area, you get the test"</t>
  </si>
  <si>
    <t>Trump warns against those without symptoms being tested, "It's totally unecessary.  This will pass". He also states "We’ve been in discussions with pharmacies and retailers to make drive-through tests available in the critical locations identified by public health professionals" and announces a Google site under development but that was not correct.</t>
  </si>
  <si>
    <t>Trump states "I don't take responsibility at all"</t>
  </si>
  <si>
    <t>CDC begins screening arrivals of travellers from Wuhan at 3 airports</t>
  </si>
  <si>
    <t>Trump announces ban on travel from Europe, incorrectly suggesting also cargo would be subject to the ban and that health insurance providers to waive all co-pays for coronavirus treatment, the waiver only applied to the test, not the treatment</t>
  </si>
  <si>
    <t>Trump signs $2.2tn emergency spending bill</t>
  </si>
  <si>
    <t>Trump recommends people wear non-medical masks but states "I don't think I'm going to be doing it"</t>
  </si>
  <si>
    <t>Fauci states that masks could help limit spread, but would not provide the protection people hoped</t>
  </si>
  <si>
    <t>Trump pushes hydroxychloroquine again while Fauci states that the data is at best suggestive and can't definitely say it works</t>
  </si>
  <si>
    <t>Trump claims total authority over governors on opening back up, and retweets a tweet containing #FireFauci after Fauci admitted that if controls had been introduced earlier, more lives could have been saved</t>
  </si>
  <si>
    <t>WHO begins ongoing briefings to US and other national govts</t>
  </si>
  <si>
    <t>WHO distributes guidance to member states for their own risk assessments and planning</t>
  </si>
  <si>
    <t>Trump tweets "China has been working very hard to contain the coronavirus… The United States greatly appreciates their efforts and transparency"</t>
  </si>
  <si>
    <t>WHO team finally permitted to visit Wuhan after obstruction by the Chinese govt</t>
  </si>
  <si>
    <t>Early Feb</t>
  </si>
  <si>
    <t>WHO distributes a Covid-19 test worldwide, but CDC chose to not use this test but to develop their own which proved faulty, with the US not having any testing capability/capacity until the end of Feb with limited availability of testing kits</t>
  </si>
  <si>
    <t>WHO confirms human to human transmission and the global risk was high following a brief field visit to Wuhan</t>
  </si>
  <si>
    <t>Trump claims COVID-19 has gotten too brilliant for antibiotics to work against the virus, not understanding the difference between virus' and bacteria</t>
  </si>
  <si>
    <t>Chinese scientists publicly release the genetic sequence of Covid-19</t>
  </si>
  <si>
    <t>WHO declares a global health emergency while praising China for its efforts to contain the virus including its commitment to transparency and discouraging again the closing down of borders</t>
  </si>
  <si>
    <t>Trump at the CDC calls the pandemic "an unforeseen problem. What a problem, came out of nowhere." Stockmarkets begin to plunge in earnest</t>
  </si>
  <si>
    <t>Trump tweets "cure can't be worse than the problem itself" and states he would "love to have the country opened up, and just raring to go by Easter" and claimed that he instituted a travel ban against everyone’s wishes and that “nobody,” not even doctors, wanted him to restrict travel. But “probably tens of thousands” of people would be dead now if he hadn’t done so</t>
  </si>
  <si>
    <t>Biden tweets “We are in the midst of a crisis with the coronavirus. We need to lead the way with science — not Donald Trump’s record of hysteria, xenophobia, and fear-mongering. He is the worst possible person to lead our country through a global health emergency.”, which Trump then uses multiple times to claim that Biden had called him racist for stopping people arriving from China</t>
  </si>
  <si>
    <t>Biden states that the United States should not be overly dismissive of the outbreak, “but neither should we panic or fall back on xenophobia, labeling COVID-19 a foreign virus does not displace accountability for the misjudgments that have been taken thus far by the Trump administration.”</t>
  </si>
  <si>
    <t>Trump tweeted: “I always treated the Chinese Virus very seriously, and have done a very good job from the beginning, including my very early decision to close the ‘borders’ from China - against the wishes of almost all. Many lives were saved. The Fake News new narrative is disgraceful &amp; false!”. Biden replied the same day: “Stop the xenophobic fear-mongering. Be honest. Take responsibility. Do your job.”</t>
  </si>
  <si>
    <t>Azar declares a public health emergency</t>
  </si>
  <si>
    <t>Biden accuses Trump of xenophobia in dealing with the coronavirus pandemic at a rally</t>
  </si>
  <si>
    <t>Senate briefed by WH, expresses concern that WH not taking the threat seriously enough, while three Democrats at a House subcommittee questioned the travel restrictions with China</t>
  </si>
  <si>
    <t>Trump announces a "travel ban" on entry to the US from foreign nationals who recently visited China, which Trump claims he decided against advice of "experts", but Azar states it was based on a uniform recommendation from experts in his department.  Trump also claims he was the first country to do so, when some 38-45 countries had already done so.</t>
  </si>
  <si>
    <t>WHO fails to acknowledge Taiwan in a video call with a HK journalist, subsequently used as one of the reasons to justify accusation that WHO is too heavily influenced by China</t>
  </si>
  <si>
    <t>Trump retweets a post referring to the virus as the China Virus to justify the wall with Mexico, ramping up the racialisation of the epidemic</t>
  </si>
  <si>
    <t>Pompeo refers to the virus as the Wuhan Virus, ratcheting up the racialisation from the Republican party in relation to the pandemic</t>
  </si>
  <si>
    <t>When Trump was asked what he wanted state governors to do in their attemps to source medical supplies, Trump said "very simple: I want them to be appreciative" singling out 2 Democratic governors for not being appreciative enough of him and also saying "when they’re not appreciative to me, they’re not appreciative to the Army Corps, they’re not appreciative to FEMA, it’s not right," setting up a ongoing public dispute over aid provisioning to Michigan and Washington with the implication that Trump would not provide Federal assistance until they became more "appreciative" of him.  "If they don't treat you right, I don't call," echoing his approach with Ukraine that got him impeached, seeking praise before unlocking aid.</t>
  </si>
  <si>
    <t>Washington Post revealed a visit by US diplomatic officials to the Wuhan Institute of Virology in 2018 found lack of training and safety procedures in the lab and recommended that the US provide assistance to improve standards.  It is unclear if this was ever done.</t>
  </si>
  <si>
    <t>Trump cited the theory that the coronavirus was accidentally leaked from China's Wuhan Institute of Virology, despite overwhelming weight of scientific research pointing to it originally coming from animals, prompting responses from WHO and China and many science researchers and journals such as The Lancet</t>
  </si>
  <si>
    <t>Trump falsely states that he "inherited a broken test" for COVID-19 (COVID-19 is a new virus, not one that had occurred during previous presidencies), tells nation to prepare for hard days</t>
  </si>
  <si>
    <t>In response to protests and Fox News Trump further attacks Democratic governors tweeting: "LIBERATE MINNESOTA", "LIBERATE MICHIGAN", "LIBERATE VIRGINIA and save your great 2nd Amendment. It is under siege!". Trump stated "These are people expressing their views, I see where they are and I see the way they're working.  They seem to be very responsible people to me, but they've been treated a little bit rough"</t>
  </si>
  <si>
    <t>Trump tweets "Tell the Democrat Governors that “Mutiny On The Bounty” was one of my all time favorite movies. A good old fashioned mutiny every now and then is an exciting and invigorating thing to watch, especially when the mutineers need so much from the Captain. Too easy!".  Death threat to governors for not praising him?</t>
  </si>
  <si>
    <t>Zhao Lijian, a Chinese foreign ministry official tweets a conspiracy theory that Coronavirus originated in US soldiers visiting China in October, presumably a response to the racialisation of the virus by Republicans</t>
  </si>
  <si>
    <t>Trump announces halt to funding of WHO stating that the WHO had "failed in its basic duty and it must be held accountable", mainly based on WHO stating early Jan that China had not found human to human transmission at that point in time, after Taiwan had apparently told WHO otherwise.  There is no evidence that Taiwan had conveyed this information at that point in time.</t>
  </si>
  <si>
    <t>WHO raises first alert over Wuhan outbreak, WHO states that the information they have from China showed there was no evidence of significant human to human transmission</t>
  </si>
  <si>
    <t>Trump warned that Beijing would face consequences if it was "knowingly responsible" for the spread of Covid-19 but he didn’t say what sort of consequences he had in mind. Trump questioned whether it was a "mistake that got out of control" or a crisis that was started deliberately in China</t>
  </si>
  <si>
    <t>Dr Li dies from coronavirus</t>
  </si>
  <si>
    <t>In December, Dr Li was accused of spreading rumours by Chinese police and summoned to a government Public Security Bureau, where he was warned that he should not continue to make comments that "disturb the social order". "We solemnly warn you: If you keep being stubborn, with such impertinence, and continue this illegal activity, you will be brought to justice – is that understood?" an official letter given to the doctor said.</t>
  </si>
  <si>
    <t>Ophthalmologist Dr Li Wenliang notices some asymptomatic flu symptoms that are SARS like and asks other doctors on WeChat social media in a private message if they have noticed these cases as well and to be alert and protect themselves.  He is one of 8 whistleblowers who tried to send warnings to other medics in Dec.</t>
  </si>
  <si>
    <t>Dr Li admitted to intensive care</t>
  </si>
  <si>
    <t>Dr Li tests positive to coronavirus following being tested several times through January, he was diagnosed with the infection 1/2/2020</t>
  </si>
  <si>
    <t>Reports that China is investigating respiratory illness in Wuhan after Taiwan sent an alert to the WHO in Geneva and began quarantining arrivals from China.  When WHO forwarded the alert to China, the Chinese regime told the WHO there was no problem</t>
  </si>
  <si>
    <t>Dr Li contracts coronavirus</t>
  </si>
  <si>
    <t>New cases peaked 4/4</t>
  </si>
  <si>
    <t>US Dept of Health and Human Services (HHS) extended screening of international arrivals from China to 20 U.S. airports</t>
  </si>
  <si>
    <t>US and China sign phase one trade deal, potentially complicating Trump's following actions with respect to coronavirus and China</t>
  </si>
  <si>
    <t>Trump announces that VP Mike Pence to coordinate US govt response to the coronavirus outbreak, both men stating that the risk to American people remained very low</t>
  </si>
  <si>
    <t>Trump states "It's going to disappear, One day it's like a miracle, it will disappear", and that researchers were rapidly developing a vaccine</t>
  </si>
  <si>
    <t>WHO states that a vaccine for coronavirus would be available in 18 months</t>
  </si>
  <si>
    <t>Trump states that "anyone who wants a test can get one", but this was a false claim</t>
  </si>
  <si>
    <t>Trump promises a vaccine would be available soon "Now they have it, they have studied it, they know very much, in fact, we're very close to a vaccine", meanwhile Dr Fauci estimated that a vaccine would be at least 12 - 18 months away</t>
  </si>
  <si>
    <t>Trump proposes huge cuts to both the CDC and the National Institutes of Health</t>
  </si>
  <si>
    <t>Trump fires the govt's entire pandemic response chain of command, including the WH mgmt infrastructure</t>
  </si>
  <si>
    <t>Trump's 2018 budget requests a cut of $1.2 billion from the CDC</t>
  </si>
  <si>
    <t>Trump claims "You can call it a germ, you can call it a flu, you can call it a virus, you know you can call it many different names. I’m not sure anybody even knows what it is"</t>
  </si>
  <si>
    <t>Trump gets corrected in front of cameras in relation to vaccine timelines and asked whether the flu vaccine could be used to prevent the coronavirus</t>
  </si>
  <si>
    <t>Trump states "We have a very little problem in this country at this moment"</t>
  </si>
  <si>
    <t>Trump states "Now the virus that we’re talking about, a lot of people think that goes away in April, with the heat".  Robert Redfield, director of Centres of Disease Control and Prevention responded "It looks like this virus is probably with us beyond this season and beyond this year"</t>
  </si>
  <si>
    <t>Trump at a rally "The Democrats are politicizing the coronavirus.  This is their new hoax"</t>
  </si>
  <si>
    <t>Trump states that a vaccine would be available very quickly and very rapidly</t>
  </si>
  <si>
    <t>Trump at a press conference, "On average, you lose from 26,000 to 70,000 or so, and even some cases more, from the flu. We lose – we have deaths of that per year, and here, we’re talking about a much smaller range."</t>
  </si>
  <si>
    <t>Trump states "We pretty much shut it down coming in from China.  It's going to be fine."</t>
  </si>
  <si>
    <t>Trump "I like this stuff. I really get it. People are surprised that I understand it. Every one of these doctors said, 'How do you know so much about this?' Maybe I have a natural ability. Maybe I should have done that instead of running for president."</t>
  </si>
  <si>
    <t>Trump "I don't need to have the numbers double b/c of 1 ship that wasn't our fault" in response to allowing a cruise ship to dock with coronavirus infected passengers/crew</t>
  </si>
  <si>
    <t>Trump "We have a perfectly coordinated and fine tuned plan at the White House for our attack on Coronavirus"</t>
  </si>
  <si>
    <t>Trump "It will go away. Just stay calm. It will go away."</t>
  </si>
  <si>
    <t>Trump begins pushing hydroxychloroquine and azithromycin, media outlets point out that Trump has shares in a pharmaceutical that makes hydroxychloroquine, this after Trump had previously stated that he does not do shares, only hotels</t>
  </si>
  <si>
    <t>Trump falsely states "We have one of the most successful, if you can call it, mortality rates. Our mortality rate remains roughly half that of other countries, one of the lowest in any other country in the world... One person is too many, but we’ve tested more than any other country in the world, put together" - wrong on both counts. Dr Birx also falsely stated that the US has one of the lowest mortality rates worldwide.</t>
  </si>
  <si>
    <t>Deaths peaked 21/4</t>
  </si>
  <si>
    <t>Hydroxychloroquine and azithromycin in initial trial results from France and US show either no positive effect, or even a negative effect. Results yet to be peer reviewed but advice is now not to use in treatment regimes of COVID-19. Scientists in Brazil had aborted a study of the drug earlier in April after heart rhythm problems developed in 1/4 of patients.</t>
  </si>
  <si>
    <t>Trump "We may not even have corona come back, and if it did, it would just be in pockets and embers".  Fauci stated that he was "convinced we will have coronavirus in the fall"</t>
  </si>
  <si>
    <t>After attacking Democrat governors for not opening up sooner, Trump criticizes a Republican governor for his decision to begin reopening Friday. "I told the governor of Georgia, Brian Kemp, that I disagree strongly with his decision to open certain facilities which are in violation of the phase one guidelines for the incredible people of Georgia they're incredible people. It's just too soon. I think it's too soon. Safety has to predominate. I told the governor very simply that I disagree with his decision, but he has to do what he thinks is right."</t>
  </si>
  <si>
    <t>AG Bill Barr "These are unprecedented burdens on civil liberties right now. You know, the idea that you have to stay in your house is disturbingly close to house arrest… We’re looking carefully at a number of these rules that are being put into place. And if we think one goes too far, we initially try to jawbone the governors into rolling them back or adjusting them."</t>
  </si>
  <si>
    <t>Trump backs down on his total authority claim, outlining a 3 step process to open states back up again and stating that it will be up to the states when and how they open back up, wanting some states to be open again before May 1 with his "Open Up America Again" slogan/plan</t>
  </si>
  <si>
    <t xml:space="preserve">An Arizona couple are admitted to hospital after consuming chloroquine phosphate used to clean fish tanks as she trusted what she had thought was the president's advice to avoid getting sick, "Trump kept saying it was basically pretty much a cure", although they were Democrats. The 68 yo male died and the 61 yo female survived. </t>
  </si>
  <si>
    <t>WHO published advice recommending no international restrictions, stating that restricting the movement of people and goods during public health emergencies is ineffective in most situations and can hide actual movements.</t>
  </si>
  <si>
    <t>First Detected Infection in US</t>
  </si>
  <si>
    <t>First identified death from coronavirus 29/2 in Washington state</t>
  </si>
  <si>
    <t>23/4 blood samples from 3,300 volunteers in Santa Clara County showed actual cases may be more than 50 times confirmed cases</t>
  </si>
  <si>
    <t>New cases peaked 24/4</t>
  </si>
  <si>
    <t>Trump states that he can't understand why there has been an increase in people asking about using disenfectants for treating coronavirus and when asked if he took responsibility, he responded "no, I don't."</t>
  </si>
  <si>
    <t>Trump states in reference to the initial trial results of Hydroxychloroquine and azithromycin "Obviously, there have been some very good reports and perhaps this one is not a good report. But we'll be looking at it".</t>
  </si>
  <si>
    <t>Trump says that states need to work out competing bids for medical equipment among themselves…  "We're a backup, we’re not an ordering clerk, we're a backup, and we've done an unbelievable job"</t>
  </si>
  <si>
    <t>Trump tweets that he will impose a temporary immigration ban for 60 days via executive order in bid to tackle coronavirus and protect American jobs, what was signed a couple of days later only affected about 1/3 of green card applications,</t>
  </si>
  <si>
    <t>Trump "So supposing we hit the body with a tremendous, whether it’s ultraviolet or just very powerful light and I think you said that hasn’t been checked but you’re going to test it. And then I said supposing you brought the light inside the body, which you can do either through the skin or in some other way. And I think you’re going to test that too? I would like you to speak to the medical doctors to see if there’s any way that you can apply light and heat to cure. And then I see the disinfectant where it knocks it out in a minute, one minute! And is there a way we can do something, by an injection inside or almost a cleaning? Because you see it gets in the lungs and it does a tremendous number on the lungs, so it’d be interesting to check that. So, that you’re going to have to use medical doctors with, but it sounds interesting to me."  He subsequently claimed he was being sarcastic to the press to see what would happen.</t>
  </si>
  <si>
    <t>A 57 yo female in California died on 6/2, following postmortem results released 23/4 showing she had a COVID-19 infection at the time of death, indicating that infections had been present in Jan earlier than previously thought</t>
  </si>
  <si>
    <t>States begin reporting increase in enquiries to COVID-19 support services regarding the use of disenfectants and UV light for treating COVID-19 infections</t>
  </si>
  <si>
    <t>Trump suggests that he may seek damages from China over the coronavirus outbreak, and following a German newspaper editorial calling on China to pay Germany several million in reparations because of economic damage, Trump said "We are talking about a lot more money than Germany's talking about. We haven't determined the final amount yet. It's very substantial."</t>
  </si>
  <si>
    <t>Trump tweets "Just finished a very good conversation with President Xi of China. Discussed in great detail the CoronaVirus that is ravaging large parts of our Planet. China has been through much &amp; has developed a strong understanding of the Virus. We are working closely together. Much respect!"</t>
  </si>
  <si>
    <t>It emerges that Trump owes a Chinese state-owned bank tens of millions which comes due in the next term, complicating matters for Trump in attacking either China or Biden's dealings with China</t>
  </si>
  <si>
    <t>WHO director-general Tedros Adhanom Ghebreyesus stated that the agency had sounded the highest level of alarm over the novel coronavirus early on, declaring a "Public Health Emergency of International Concern" on January 30, when there were no deaths and only 82 cases registered outside China.  "We advised the whole world to implement a comprehensive public health approach, and we said find, test, isolate, and do contact tracing. You can check for yourselves: countries who followed that are in a better position than others. This is fact."</t>
  </si>
  <si>
    <t>The WHO warned that there is no evidence that people who have recovered from COVID-19 and have antibodies are protected from a second coronavirus infection, warning against coutries issueing "immunity passports" or "risk-free certificates" to people who have been infected.</t>
  </si>
  <si>
    <t>World leaders hold a virtual meeting to work on a global initiate to accelerate the fight on COVID-19  coordinated by the WHO to speed up the development of improved tests, treatment protocols and medication trials, and vaccination development.  The US did not participate and has flagged that it will go it alone.</t>
  </si>
  <si>
    <t>Trump states in an interview "China will do anything they can to have me lose this race", referring to the Nov presidential elections, citing China's handling of the COVID-19 crises as proof. In a WH presentation the following day, Trump implies that the coronavirus may have been used by China to wreck the US economy and a trade deal between the two countries.</t>
  </si>
  <si>
    <t>Trump claims that he has seen evidence that links the novel coronavirus to the Wuhan Institute of Virology, but claimed that he's not allowed to say what the evidence is.</t>
  </si>
  <si>
    <t>WH announces operation warp speed, a program to accelerate the development of a vaccine with a target for mass deployment by January, a timeline that would be unprecedented in vaccine development timelines.  The US taxpayer to pick up the bill, rather than drug companies.</t>
  </si>
  <si>
    <t>The office of the director of national intelligence said that the intelligence community does not believe coronavirus was man made.</t>
  </si>
  <si>
    <t>Pence visits the Mayo clinic without a mask, despite being informed that it was a requirement for all visitors.  Pence claims that as he did not have an infection, he did not need to wear a mask and wanted people to see his eys, sparking a backlash from healthcare workers and the press.  His wife later claimed that they had not been told.  Pence later threatens retaliatory action against a reporter in the party who provided evidence that everyone had been instructed to wear masks prior to attending.</t>
  </si>
  <si>
    <t>Rick Bright, director of Biomedical Advanced Research and Development Authority  (BARDA) and deputy assistant secretary for preparedness and response has been ousted according to him for not promoting hydroxychloroquine.  He was transferred to a post at the National Institutes of Health.</t>
  </si>
  <si>
    <t>Right wing protests begin in some states against lockdown laws, ironically with many of the protestors wearing some form of PPE</t>
  </si>
  <si>
    <t>More than half of the US states are to begin lifting restrictions by the end of the week, even though no states have as yet met the original criteria set by the WH for lifting restrictions.  In Michigan, protestors, some armed and wearing bullet proof vests, many with some form of PPE (obviously oblivious to the irony), entered the state Capitol building.</t>
  </si>
  <si>
    <t>Trump "And so, if we could hold that down, as we’re saying, to 100,000 – it’s a horrible number, maybe even less, but to 100,000, so we have between 100 [thousand] and 200,000 – we altogether have done a very good job", extends shutdown for an additional month, predicts peak to occur in 2 weeks, states "We can expect by June 1st we will be well on our way to recovery," and accuses health care workers of stealing masks without providing any evidence to support the accusation</t>
  </si>
  <si>
    <t>Trump "Our country wasn’t built to be shut down.  This is not a country that was built for this.  It was not built to be shut down ... Our country was at its strongest financial point.  We’ve never had an economy like we had just a few weeks ago, and then it got hit with something that nobody could have ever thought possible ... People get tremendous anxiety and depression, and you have suicides over things like this when you have terrible economies.  You have death.  Probably and — I mean, definitely would be in far greater numbers than the numbers that we’re talking about with regard to the virus."  The US has 45,000 - 50,000 suicides per year, COVID-19 deaths hit that by mid-late April.  There were more than 10,000 deaths across Europe and North Ameria attributed to the GFC.  Even adding another 10,000 to this, the US had 60,000 deaths to coronavirus by the end of April.</t>
  </si>
  <si>
    <t>Jarrod Kushner has been made the WH pointman of the coronavirus response in a vaguely defined role working with the Federal Emergency Management Agency to oversee distribution of medical supplies and to assist Pence and "reinvigorate" the team struggling with the dire challenge of battling the pandemic.  From JK "The notion of the federal stockpile was it's supposed to be our stockpile. It's not supposed to be state stockpiles that they then use."</t>
  </si>
  <si>
    <t>Trump contradicts public health expert estimates of death rate of COVID-19 of confirmed cases as less than 1% based on a hunch, and suggests that those infected can still go to work, comparing it with the flu and referring to it as the corona flu</t>
  </si>
  <si>
    <t>Trump tweets "Gallup just gave us the highest rating ever for the way we are handling the CoronaVirus situation. The April 2009-10 Swine Flu, where nearly 13,000 people died in the U.S., was poorly handled. Ask MSDNC &amp; lightweight Washington failure @RonaldKlain, who the President was then?".  Deaths from COVID-19 hit 13,000 6/4</t>
  </si>
  <si>
    <t>Trump "The Fake News Media &amp; their partner, the Democrat Party, is doing everything within its semi-considerable power to inflame the Coronavirus situation"</t>
  </si>
  <si>
    <t>Projections less meaningful as rates begin to decrease</t>
  </si>
  <si>
    <t>Trump states that he would wear a mask if it was an environment that required a mask, but while touring a mask making factory where instructions everywhere were to wear a mask and all the staff were wearing masks, he only wore goggles, claiming Honeywell had told the WH that Trump didn't need to wear a mask.</t>
  </si>
  <si>
    <t>Pence flags that the coronavirus taskforce would be winding up by 25/5, to be replaced by a transition/opening up taskforce</t>
  </si>
  <si>
    <t>Rick Bright lodges a whistleblower complaint against the WH, painting the WH response to the novel coronavirus in an unfavourable light</t>
  </si>
  <si>
    <t>A personal valet to Trump, a member of the US Navy, has tested positive to coronavirus</t>
  </si>
  <si>
    <t>Katie Miller, Pence's press secretary has tested positive to coronavirus. Her husband, Stephen Miller is a senior advisor to Trump.</t>
  </si>
  <si>
    <t>The Office of Special Counsel has determined that there were reasonable grounds to believe Rick Bright was removed for reliatory reasons, and will recommend that he is reinstated to the Department of Health and Human Services while it investigates.</t>
  </si>
  <si>
    <t>Trump confirms that he is pushing ahead with attempts to abolish health care, without promising any details of what would go in its place.</t>
  </si>
  <si>
    <t>US unemployment hits 14.7%, the steepest plunge since the great depression, coming off a five decade low of 3.5% in Feb, and unemployment figures not seen since 1982.  Underemployment hits 22.8%, a record high.</t>
  </si>
  <si>
    <t>Jared Kushner "We're on the other side of the medical aspect of this, and I think that we've achieved all the different milestones that are needed. The federal government rose to the challenge, and this is a great success story. And I think that that's really, you know, what needs to be told. May will be a transition month. I think you will see by June, a lot of the country should be back to normal, and the hope is that by July the country is really rocking again. The eternal lockdown crowd can make jokes on late-night television but the reality is that the data's on our side," as the death toll surpasses 60,000 and the rate of new cases has remained fairly steady for the last month</t>
  </si>
  <si>
    <t xml:space="preserve"> Trump states that "testing isn't necessary" and is an imperfect guide and makes the United States "look bad".  Although he and Pence will in the coming days start to be tested daily themselves.  Birx in response states in an interview when asked about testing, states the need for testing and that such efforts are essential and should be stepped up.</t>
  </si>
  <si>
    <t>Members of the Coronavirus Taskforce, including Fauci and Pence self quarantine</t>
  </si>
  <si>
    <t>Trump tweeted: "We are getting great marks for the handling of the CoronaVirus pandemic, especially the very early BAN of people from China, the infectious source, entering the USA"</t>
  </si>
  <si>
    <t>Trump in relation to Katie Miller testing positive: "This is why the whole concept of tests aren’t necessarily great. The tests are perfect but something can happen between a test where it’s good and then something happens." He also said "The media likes to say we have the most cases, but we do, by far, the most testing. If we did very little testing, we wouldn’t have the most cases. So, in a way, by doing all of this testing, we make ourselves look bad."</t>
  </si>
  <si>
    <t>Barack Obama describes Trump handling of the coronavirus pandemic as "an absolute chaotic disaster."</t>
  </si>
  <si>
    <t>The WH has ordered everyone entering the West Wing to wear a face mask, other than for Trump who is exempt.</t>
  </si>
  <si>
    <t>Trump tweets: "Coronavirus numbers are looking MUCH better, going down almost everywhere. Big progress being made!"</t>
  </si>
  <si>
    <t>Trump signals that he is looking ahead to reopening the country, with no intent of extending the federal guidelines aimed to limit the spread of the coronavirus that are to expire 1/5.  He also suggested that the virus may just go away without the need of a vaccine and everything will return to normal after "It's gonna go, it's gonna leave, it's be gonna be eradicated" somehow magically. "We did all the right moves. This is going away. I see the new normal being what it was three months ago. Hopefully in the not too distant future, we'll have some massive rallies and people will be sitting next to each other." He also stated that he believes the U.S. can never declare “total victory” over the coronavirus because too many people have died. But he added that he will count it a win when the virus is gone and the economy fully reopened.</t>
  </si>
  <si>
    <t>Trump "Thanks to the courage of our citizens and our aggressive strategy, hundreds of thousands of lives have been saved. In every generation, through every challenge and hardship and danger, America has risen to the task, we have met the moment and we have prevailed."  he also continued to encourage states to lift lockdown measures, saying "people are dying in the lockdown position too."</t>
  </si>
  <si>
    <t>Dr Thomas R Frieden, former director of the Centers for Disease Control and Prevention "We're not reopening based on science, we're reopening based on politics, ideology, and public pressure. And I think it's going to end badly."</t>
  </si>
  <si>
    <t>Trump tweets: "The great people of Pennsylvania want their freedom now, and they are fully aware of what that entails. The Democrats are moving slowly, all over the USA, for political purposes. They would wait until November 3rd if it were up to them. Don't play politics. Be safe, move quickly!"</t>
  </si>
  <si>
    <t>Fauci, in an email to a news outlet discussing his forthcoming Congress appearance on 12/5, stated ""If we skip over the checkpoints in the guidelines to 'Open America Again', then we risk the danger of multiple outbreaks throughout the country. This will not only result in needless suffering and death, but would actually set us back on our quest to return to normal."</t>
  </si>
  <si>
    <t>Trump in response to Fauci's warnings to congress about really serious consequences if states moving too quickly to reopen or restarting schools too soon, "I was surprised by his answer, actually, because, you know, it’s just, to me, it’s not an acceptable answer, especially when it comes to schools."  Trump also said "The state is not open if the schools are not open."</t>
  </si>
  <si>
    <t>Trump tweets "So last year 37,000 Americans died from the common Flu. It averages between 27,000 and 70,000 per year. Nothing is shut down, life &amp; the economy go on. At this moment there are 546 confirmed cases of CoronaVirus, with 22 deaths. Think about that!" Deaths from COVID-19 passed 70,000 by 5/5</t>
  </si>
  <si>
    <t>Trump defending his tweets "I think some things are too tough, and if you look at some of the states you just mentioned, it's too tough, not only in reference to this but what they've done in Virginia with respect to the second amendment is just a horrible thing... When you see what other states have done, I think I feel very comfortable." When asked if the 3 states should lift their stay at home orders "I think elements of what they've done are too much... What they've done in Virginia is just incredible" this despite these states following Federal guidelines for their stay at home orders.</t>
  </si>
  <si>
    <t>-</t>
  </si>
  <si>
    <t>CDC confirms first case of person to person transmission in the US</t>
  </si>
  <si>
    <t>+</t>
  </si>
  <si>
    <t>Cases</t>
  </si>
  <si>
    <t>14 Day lead time before expect to begin seeing results</t>
  </si>
  <si>
    <t>Pence travels to Iowa, signalling to religious leaders that they should reopen their houses of worship, claiming "for most healthy Americans, the risks that the coronavirus poses remains very low," and thanked them for stepping "forward back into the exercise of your faith."</t>
  </si>
  <si>
    <t>CDC was to release guidelines for reopening the previous Friday, but WH has now stated that it is to be shelved and will not see the light of day, due in part because of a "religious freedom" concern in placing restrictions on churches.  However Birx states that "No one has stopped those guidelines.  We're still in editing."</t>
  </si>
  <si>
    <t xml:space="preserve"> By 16/3 all states had declared a State of Emergency.  States progressively began implementing stay at home orders.  Seven states did not end up implementing any stay at home orders - Arkansas, Iowa, Nebraska, North Dakota, Oklahoma, Utah, and Wyoming, although some cities in these states issued their own local lockdowns</t>
  </si>
  <si>
    <t>Trump claims that state and local government officials were treating Christians worse than Muslims during the pandemic. "Our politicians seem to treat different faiths very differently. … The Christian faith is treated much differently."  At least 20 states include exemptions on large gatherings to allow church congregations to meet, putting themselves and the wider communities at greater risk and despite coronavirus not discriminating on the grounds of religion or seculism</t>
  </si>
  <si>
    <t>Only two states have yet to begin reopening - Connecticut and Massachusetts</t>
  </si>
  <si>
    <t>In response to Rick Bright testifying to Congress that the WH still had no pandemic plan, WH Press Secretary (No. 4) Kayleigh McEnany pushed back against reports that the WH admin threw out the Obama admin pandemic response plan, saying that the Trump admin had simply replaced it saying it was insufficient and it wasn't going to work, after previously saying that the Obama admin had not left any pandemic plan.  Holding up two binders, one a 2018 pandemic crisis action plan and the other a "Crimson Contagion 2019 after-action report" which gamed out the pandemic crisis action plan, "Some have erroneously suggested that the Trump administration threw out the pandemic response playbook left by the Obama-Biden administration.  What the critics failed to note, however, is that this thin packet of paper was replaced by two detailed, robust pandemic response reports commissioned by the Trump administration."  Asked about the action report she answered "What it basically did was say to us, look, some of the previous iterations of plans have put HHS in the lead, HHS of course plays a critical role in our response, but one of the things that was identified was you need a whole of government response from the highest levels".  It does not appear that any recommendations in the action report which apparently savaged the pandemic crises action plan were actioned before COVID-19 hit.</t>
  </si>
  <si>
    <t>After the UK alerted doctors to a new syndrome in April and Cuomo flagging a number of children in NY with inflammatory 'Kawasaki like' responses from COVID-19 over the previous days, the CDC has issued a health advisory on the new syndrome in children under 10</t>
  </si>
  <si>
    <t>Trump announces that his administration is working on a plan to manufacture in bulk the leading vaccine contenders to be ready for mass distribution once any of them are approved, targeting the end of the year.</t>
  </si>
  <si>
    <t>Trump flags that he is considering restoring 10% of funding of previous levels back to the WHO, matching current Chinese payment levels, but also stating "Have not made final decision. All funds are frozen. Thanks!"</t>
  </si>
  <si>
    <t>Trump "We’re looking at vaccines, we’re looking at cures and we are very, very far down the line. I think that’s not going to be in the very distant future. But even before that, I think we’ll be back to normal. … We want to get it back to where it was. We want big, big stadiums loaded with people, we want to get sports back. We miss sports. We need sports in terms of the psyche, the psyche of our country."</t>
  </si>
  <si>
    <t>Leaked projections from the CDC forecasts that the US will be recording 200,000 new cases each day and up to 3,000 deaths each day from COVID-10 by the end of May.  In a separate model, The Institute of Health Metrics and Evaluation now projects that 135,000 people will die from COVID-19, up from its previous estimate of 72,433 deaths</t>
  </si>
  <si>
    <t>Trump tweets contents of letter sent to the WHO which included "If the World Health Organisation does not commit to major substantive improvements within the next 30 days, I will make my temporary freeze of United States funding to the World Health Organisation permanent and reconsider our membership in the organisation."</t>
  </si>
  <si>
    <t>In defending the use of hydroxychloroquine, Trump states "If you look at the one survey, the only bad survey, they were giving it to people that were in very bad shape. They were very old. Almost dead. It was a Trump enemy statement." presumably referring to a study of hundreds of patients treated by the Department of Veterans Affairs in which more of those in a group who were administered hydroxychloroquine died than among those who weren’t.</t>
  </si>
  <si>
    <t>Trump states that he has been taking hydroxychloroquine for about a week and a half, following the positive COVID-19 tests of WH staff. "You'd be surprised at how many people are taking it, especially the frontline workers before you catch it, the frontline workers, many, many are taking it, I happen to be taking it. Here's my evidence: I get a lot of positive calls about it. I've heard a lot of good stories and if it's not good, I'll tell you right I'm not going to get hurt by it."  He added that he was taking a daily zinc supplement and received a single does of the antibiotic azithromycin, saying that he had requested the medication.</t>
  </si>
  <si>
    <t>Trump "You know when you say that we lead in cases, that's because we have more testing than anybody else. It's a great tribute to the testing and all of the work that a lot of of professionals have done."  Trump also suggested he might close the border with Brazil, "I don't want people coming over here and infecting our people.  I don't want people over there sick either."</t>
  </si>
  <si>
    <t>Donald Trump's son and executive VP of the Trump Organisation, Eric Trump: "They think they are taking away Donald Trump's greatest tool, which is being able to go into an arena and fill it with 50,000 people every single time. Joe Biden can't get 10 people in a room. My father is getting 50,000 in a room. And they want to do everything they can to stop it. You watch, they'll milk it every single day between now and Nov. 3. And guess what, after Nov. 3, coronavirus will magically all of a sudden go away and disappear and everybody will be able to reopen. ... This is a very cognizant strategy that they're trying to employ. It's no different than the mail-in voting that they want to do all these places. It's no different than wanting illegal immigrants to vote in our country. It is a cognizant strategy. And it's sad. And, again, it's not going to be allowed to happen and we're going to win in November." His brother, Trump Jr also stated that coronavirus was invented by the Democrats to cancel his father's campaign.</t>
  </si>
  <si>
    <t>Speaker Nancy Pelosi "As far as the President is concerned, he's our President and I would rather he not be taking something that has not been approved by the scientists, especially in his age group and in his, shall we say, weight group, morbidly obese, they say. So I think it's not a good idea."  To be fair to Trump, his BMI suggests that he is obese, rather than morbidly obese.  Trump responded "Pelosi is a sick woman. She’s got a lot of problems, a lot of mental problems."</t>
  </si>
  <si>
    <t>American biotech company Moderna announce findings from a Phase I trial of 8 people who received 2 doses of an experimental vaccine, showing no ill side effects and production of antibodies.</t>
  </si>
  <si>
    <t>The CDC finally releases its guidelines on how to reopen the US with little fanfare, after changes were made to remove specific guidance on religious practices as directed by the WH. The release comes as tensions between the WH and the CDC continue to rise and Birx accusing the CDC of antiquated processes, including the gathering and reporting of cases and deaths.</t>
  </si>
  <si>
    <t>Baltimore's Mayor requests that Trump sets an example with the stay-at-home order and not visit the state but Trump has said that he would still visit.</t>
  </si>
  <si>
    <t>Trump states "We are opening our churches again. I think the CDC is going to put something out very soon, spoke to them today. I think they are going to put something out very soon. We got to open our churches. I said you better put it out and they’re doing it and they’re going to be issuing something today or tomorrow and churches are going to get our churches open."  He also said "This country is poised for an epic comeback, this is going to be an incredible comeback.  Just watch.  It's already happening."</t>
  </si>
  <si>
    <t xml:space="preserve">Michigan AG warns Ford of letting Trump visit factory without a mask, and Ford released a statement that they had requested Trump to wear a mask during his visit, but Trump doesn't wear a mask anyway, claiming he had worn one "in the back area" but did not want to give reporters the pleasure of seeing him wear it.  During the Ford plant visit where the factory had been repurposed to produce ventilators, Trump praises the Ford companies "bloodlines" and Henry Ford's "good blood", which given Henry Ford's notorious anti-Semitism was interesting... </t>
  </si>
  <si>
    <t>Trump the previous day threatened to withhold funding from Michigan over mail-in ballots "We don’t want them to do mail-in ballots. We don’t want anyone to do mail-in ballots."  He repeated similar today "We don’t want them to do mail-in ballots because it’s going to lead to total election fraud. We don’t want to take any chances with fraud in our elections."</t>
  </si>
  <si>
    <t>COVID-19 base CFR</t>
  </si>
  <si>
    <t>Based on difference from base CFR, does not account for lag between detection and deaths</t>
  </si>
  <si>
    <t>The Lancet takes the unusual step to publish an article refuting Trump's claims regarding the Lancet and China with regard to Dec 2019, Jan 2020 timelines and recommended that Trump should not be voted back in. "Americans must put a president in the White House come January, 2021, who will understand that public health should not be guided by partisan politics."</t>
  </si>
  <si>
    <t>CDC  admits that its testing kits are faulty</t>
  </si>
  <si>
    <t>The last remaining CDC officer recalled home from the China CDC, leaving an intelligence vacuum when COVID-19 subsequently began to emerge</t>
  </si>
  <si>
    <t>Trump "Some governors have deemed liquor stores and abortion clinics essential, but have left out churches and houses of worship. It's not right. So I'm correcting this injustice and calling houses of worship essential. The governors need to do the right thing and allow these very important essential places of faith to open right now, this weekend. If they don't do it, I will override the governors. If there's any question, they're going to have to call me, but they're not going to be successful in that call. In America, we need more prayer not less."</t>
  </si>
  <si>
    <t>The CDC release a report of an Arkansas case study where church gatherings resulted in significant COVID-19 outbreaks, impacting not just the congregation, but the wider community as well.  From 2 initial infections who attended church events over 3 days, 38% of the congregation (35 of 92) became infected, and an additional 26 infections occured in the wider community from the infected congregation - resulting in 4 deaths.  The CDC highlight that the total number of infected from this one incident is likely underreported.</t>
  </si>
  <si>
    <t>The CDC releases an interim guidance for communities of faith, "The information offered is non-binding public health guidance for consideration only."</t>
  </si>
  <si>
    <t>Trump Jr referring to Democrats: "... like you said, we've seen this play out for four years. Anything that they can use to try to hurt Trump, they will. Anything he does in a positive sense, like you heard from the reporter that was just suspended from ABC, they will not give him credit for. The playbook is old at this point. But for them to try to take a pandemic and seemingly hope that it comes here, and kills millions of people so that they could end Donald Trump's streak of winning, is a new level of sickness. You know, I don't know if this is coronavirus or Trump derangement syndrome, but these people are infected badly."</t>
  </si>
  <si>
    <t>Trump regarding his morning coronavirus test "And I tested very positively in another sense. So this morning. I tested positively toward negative, right? So no, I tested perfectly this morning. Meaning I tested negative. But that's a way of saying it. Positively toward the negative."</t>
  </si>
  <si>
    <t>The federal DOJ sends letter to the governer of California stating that their reopening plan discriminates against churches.</t>
  </si>
  <si>
    <t>People around the US flout social distancing and mask laws to enjoy the Memorial Day w/e in large crowds at outdoor attractions.</t>
  </si>
  <si>
    <t>Trump tweets that schools "should be opened ASAP", at odds with advice from Fauci.</t>
  </si>
  <si>
    <t>77 Nobel prize-winning US scientists sent an open letter to the Trump administration stating that they are "gravely concernced" about the recent abrupt funding cancellation to EcoHealth Alliance, saying it "sets a dangerous precedent by interfering in the conduct of science, ...deprives the nation and the world of highly regarded science that could help control one of the greatest health crises in modern history and those that may arised in the future."</t>
  </si>
  <si>
    <t>The NIH removes funding from a US non-profit research group EcoHealth Alliance that had been trapping bats throughout China and the world to collect blood and saliva samples to understand potential virus pandemic risks.  It is assumed that because they are partnered with the Wuhan Institute of Virology, and the US government is buying into the leaked virus from the lab conspiracy/myth, that the funding cancellation has been political.</t>
  </si>
  <si>
    <t xml:space="preserve">Delays in implementing lockdown measures in the US had lead to at least 36,000 more deaths, </t>
  </si>
  <si>
    <t>Mike Pompeo scuttles joint G7 communique referring to the COVID-19 virus, insisting that it was called the "Wuhan virus" in the communique.</t>
  </si>
  <si>
    <t>Trump "I wish -- again, our relationship with China is a very good relationship. I wish they told us three months sooner that this was a problem. We didn't know about it. They knew about it and they should have told us. We could have saved a lot of lives throughout the world. If you look at what's happening in Italy and Spain and a lot of other countries, we could have saved a lot of lives throughout the world.  ... as much as I like President Xi and as much as I respect the country and admire the country -- I have great admiration for the country, what they've done in a short period of time. Of course, our presidents, our previous presidents allowed that to happen; you should say "thank you very much" to all of them. But they should have told us about this. And I did ask him whether or not we could send some people, and they didn't want that -- out of pride. I think, really, out of pride. They don't want -- they don't want us sending people into China, to help them. You know, China is a strong country. They have -- they have their scientists and they have their doctors -- very smart."</t>
  </si>
  <si>
    <t>Trump when asked if used the expression Chinese Virus was racist: "It's not racist at all.  No it's not at all. It's from China. That's why. It comes from China. I want to be accurate."  Asked if his aides were comfortable with the term "No, I have a great -- I have great love for all of the people from our country. But, as you know, China tried to say at one point -- maybe they stopped now -- that it was caused by American soldiers. That can't happen. It's not going to happen -- not as long as I'm President. It comes from China."</t>
  </si>
  <si>
    <t>Trump "I just spoke to President Xi last night, and, you know, we're working on the -- the problem, the virus. It's a -- it's a very tough situation. But I think he's going to handle it. I think he's handled it really well. We're helping wherever we can. But we have a great relationship. It's incredible. ...They respect us again and we respect them. And we think -- I think we have the best relationship we've had with China. But it's really incredible."</t>
  </si>
  <si>
    <t>Trump "I have great respect for President Xi and great respect for China, frankly"</t>
  </si>
  <si>
    <t>Trump when asked how confident China was in being 100 percent honest regarding coronavirus "Well, I'm confident that they're trying very hard. I mean, I know President Xi -- I get along with him very well. We've just made a great trade deal, which is going to be a lot of business for Arizona and every other place. But, they are trying very, very hard, and I think the numbers are going to get progressively better as we go along. They're working it -- they built they built a hospital in seven days, and now they're building another one. I think it's going to work out fine. I think when we get into April, in the warmer weather, that has a very negative effect on that and that type of a virus. So let's see what happens, but I think it's going to work out fine."</t>
  </si>
  <si>
    <t>Trump when asked if he trusted the data coming out of China "Look, I know this: President Xi loves the people of China, he loves his country, and he's doing a very good job with a very, very tough situation."</t>
  </si>
  <si>
    <t>Trump on coronavirus "Yeah, we're very much involved. We're very -- very cognizant of everything going on. We have it very much under control in this country. … Well, it's a big -- it's a big situation going on throughout the world. And I can say, the United States, we've very much closed our doors in certain areas, in about certain areas, through certain areas. And we'll see what happens. But we have the greatest doctors in the world. We have it very much under control. We accepted a few people -- a small number of people. They're very well confined and they should be getting better fairly soon. Very interestingly, we've had no deaths. We have a -- I mean, you know, we've had a great practice. We had 12, at one point. And now they've gotten very much better. Many of them are fully recovered."</t>
  </si>
  <si>
    <t>Trump on whether President Xi should be doing anything different: "No, I think President Xi is working very, very hard. I spoke to him. He's working very hard. I think he's doing a very good job. It's a big problem. But President Xi loves his country. He's working very hard to solve the problem and he will solve the problem. Okay?"</t>
  </si>
  <si>
    <t>Trump "Well, we're working on it very closely. I spoke to President Xi two days ago. They're working on it very professionally. It's a problem, we think and we hope, based on all signs that the problem goes away in April because -- which is not too far down the road, because heat kills this virus. We think, now we're going to find out, Geraldo, but we think, and they are having difficulty in China but they're working very, very hard. We're working with them. We're sending a lot of people and CDC has been great but it is -- it's a problem in China. Has not been spreading very much. In our country, we only have, basically, 12 cases and most of those people are recovering and some cases fully recovered. So it's actually less."  On whether the Chinese is telling the truth "Well, you never know. I think they want to put the best face on it. So you know, I mean, if somebody -- if you were running it, you'd probably -- you wouldn't want to run out to the world and go crazy and start saying whatever it is because you don't want to create a panic. But, no, I think they've handled it professionally and I think they're extremely capable and I think President Xi is extremely capable and I hope that it's going to be resolved. Again, the April date is very important. But you know this is a big thing. The April date is very, very important because if that's the case, if he does, in fact, kill that's when it starts getting hot and this virus reacts very poorly to heat and dies. So we'll see what happens."</t>
  </si>
  <si>
    <t>Trump tweets "Low Ratings Fake News MSDNC (Comcast) &amp; @CNN are doing everything possible to make the Caronavirus look as bad as possible, including panicking markets, if possible. Likewise their incompetent Do Nothing Democrat comrades are all talk, no action. USA in great shape!"</t>
  </si>
  <si>
    <t xml:space="preserve">First community spread case documented, Trump states "Now, at the same time, you do have some outbreaks in some countries. Italy and various countries are having some difficulty. China, you know about it, where it started. I spoke with President Xi. We had a great talk. He's working very hard, I have to say. He's working very, very hard. And if you can count on the reports coming out of China, that spread has gone down quite a bit. The infection seems to have gone down over the last two days. As opposed to getting larger, it's actually gotten smaller. In one instance where we think we can be -- it's somewhat reliable, it seems to have gotten quite a bit smaller... We’re going to be pretty soon at only five people. And we could be at just one or two people over the next short period of time. ... I want you to understand something that shocked me when I saw it that -- and I spoke with Dr. Fauci on this, and I was really amazed, and I think most people are amazed to hear it: The flu, in our country, kills from 25,000 people to 69,000 people a year. That was shocking to me. And, so far, if you look at what we have with the 15 people and their recovery, one is -- one is pretty sick but hopefully will recover, but the others are in great shape. But think of that: 25,000 to 69,000. Over the last 10 years, we've lost 360,000. These are people that have died from the flu -- from what we call the flu. "Hey, did you get your flu shot?" And that's something. Now, what we've done is we've stopped non-U.S. citizens from coming into America from China. That was done very early on. We're screening people, and we have been, at a very high level -- screening people coming into the country from infected areas. We have in quarantine those infected and those at risk. We have a lot of great quarantine facilities. We're rapidly developing a vaccine, and they can speak to you -- the professionals can speak to you about that. The vaccine is coming along well. And in speaking to the doctors, we think this is something that we can develop fairly rapidly, a vaccine for the future, and coordinate with the support of our partners. We have great relationships with all of the countries that we're talking about. Some fairly large number of countries. Some it's one person, and many countries have no problem whatsoever. And we'll see what happens. But we're very, very ready for this, for anything -- whether it's going to be a breakout of larger proportions or whether or not we're -- you know, we're at that very low level, and we want to keep it that way. So we're at the low level. As they get better, we take them off the list, so that we're going to be pretty soon at only five people. And we could be at just one or two people over the next short period of time. So we've had very good luck. The Johns Hopkins, I guess -- is a highly respected, great place -- they did a study, comprehensive: "The Countries Best and Worst Prepared for an Epidemic." And the United States is now -- we're rated number one. We're rated number one for being prepared. This is a list of different countries. I don't want to get in your way, especially since you do such a good job. This is a list of the different countries. The United States is rated number one most prepared. United Kingdom, Netherlands, Australia, Canada, Thailand, Sweden, Denmark, South Korea, Finland.  ...  And what I've done is I'm going to be announcing, exactly right now, that I'm going to be putting our Vice President, Mike Pence, in charge. And Mike will be working with the professionals, doctors, and everybody else that's working. The team is brilliant. I spent a lot of time with the team over the last couple of weeks, but they're totally brilliant, and we're doing really well. And Mike is going to be in charge, and Mike will report back to me. But he's got a certain talent for this. ... We do have plans of a much -- on a much larger scale, should we need that. We're working with states, we're working with virtually every state. And we do have plans on a larger scale if we need it. We don't think we're going to need it, but, you know, you always have to be prepared. ... No, because we're ready for it. It is what it is. We're ready for it. We're really prepared. We have -- as I said, we've had -- we have the greatest people in the world. We're very ready for it. We hope it doesn't spread. There's a chance that it won't spread too, and there's a chance that it will, and then it's a question of at what level. So far, we've done a great job. When you have 15 people, with this whole world coming into the United States, and the 15 people are either better or close to being better, that's pretty good." </t>
  </si>
  <si>
    <t>On whether the Chinese communist party and President Xi has been forthcoming about coronavirus "Well, I can tell you this: I speak to him; I had a talk with him recently. And he is working so hard on this problem. He is working so hard. And they're very tough and very smart. And it's a significant -- it's a significant group of very talented people that are working. And they're calling up Dr. Fauci. They're calling up our people. We're dealing with them. We're giving them certain advice. We actually have -- through World Health, we have them over there also. And we have a lot of our people making up that group that went over there. No, he's working very hard. It would be very easy for me to say, you know -- it doesn't matter what I say, really. I can tell you, he is working -- I had a long talk with him the other night. He is working really, really hard. He wants it to go away from China and go away fast, and he wants to get back to business as usual. ... We're working with China. We just did the biggest trade deal in history. We did two of them. Between USMCA and the China deal, it's the biggest in history. The relationship with China is a very good one. And I can tell you that, again, President Xi is working really hard. He wants this problem solved."</t>
  </si>
  <si>
    <t>With North Carolina experiencing increased rate of infections, Trump flagged that Republicans may need to reconsider another venue for its GOP convention if safe distancing rules are not lifted in the state</t>
  </si>
  <si>
    <t>As the number of deaths close in on 100,000, Trump spends time at his golf course on Sat and Sun, resulting in social media reposting his criticisms of Obama when he played a round during the Ebola crisis.</t>
  </si>
  <si>
    <t>Trump "Great reviews on our handling of Covid 19, sometimes referred to as the China Virus. Ventilators, Testing, Medical Supply Distribution, we made a lot of Governors look very good - And got no credit for so doing. Most importantly, we helped a lot of great people!", "Nobody in 50 years has been WEAKER on China than Sleepy Joe Biden. He was asleep at the wheel. He gave them EVERYTHING they wanted, including rip-off Trade Deals. I am getting it all back!"</t>
  </si>
  <si>
    <t>Trump "Together we will vanquish the virus and America will rise from this crisis to new and even greater heights. No obstacle, no challenge and no threat is a match for the sheer determination of the American people." at a Memorial Day address in Baltimore despite the mayor urging him to cancel the visit, saying it woudl set the wrong example considering the city is still in lockdown.</t>
  </si>
  <si>
    <t>Politico reports: The National Republican Senatorial Committee distributed a detailed, 57-page memo…advising GOP candidates to address the coronavirus crisis by aggressively attacking China, Don't defend Trump, other than the China Travel Ban – attack China - the memo contains tactics and instructions that focus on three lines of attack: China covered up COVID-19, Democrats are soft on China and the Republicans will sanction China for letting the pandemic getting out of control.</t>
  </si>
  <si>
    <t>The memorial day w/e sees rise in politicising of masks, with Republicans largely not wearing them and Democrats largely wearing them, and political point scoring from Republicans that Democrats are scare mongering by wearing masks, while some Republican governors implore their constituents to wear masks and that doing so should not be a political statement.</t>
  </si>
  <si>
    <t>Trump tweets "Republicans feel that Social Media Platforms totally silence conservatives voices. We will strongly regulate, or close them down, before we can ever allow this to happen."  Kayleigh McEnany, the White House press secretary, told reporters traveling aboard Air Force One on Wednesday that Trump soon planned to sign an executive order on social media companies.  In 2018 a federal judge ruled the president could not block people on Twitter, because it violates their first amendment rights to participate in a "public forum"</t>
  </si>
  <si>
    <t>Trump tweets "This might help explain why Trump doesn’t like to wear a mask in public." after Biden visits a memorial wearing a mask</t>
  </si>
  <si>
    <t>Kayleigh McEnany, while claiming that Trump was not shaming anyone with respect to his tweet about Biden says "It is a bit peculiar though that in his basement right next to his wife he's not wearing a mask but he's wearing one outdoors when he's socially distancing so I think that there was a discrepancy there." - scratching head...</t>
  </si>
  <si>
    <t>Trump suspends entry for foreigners who have been in Brazil within 14 days prior to seeking US admittance.  The new rules were to come into effect Thursday night, but were brought forward and implemented on Tuesday</t>
  </si>
  <si>
    <t>WHO officials cite China for its "openness" to the prospect of scientific inquiries involving foreign experts into the origins of the novel coronavirus, and also place a temporary suspension on the use of hydroxychloroquine from global studies citing concerns over health risks</t>
  </si>
  <si>
    <t>Trump referring to a second wave "We are going to put out the fires, we're not going to close the country, we're going to put out the fire. Whether it's an ember or it's a flame we're going to put it out."</t>
  </si>
  <si>
    <t>All 50 states have now sought to reopen, at least partially</t>
  </si>
  <si>
    <t xml:space="preserve">Trump tweets "Now that our Country is 'Transitioning back to Greatness', I am considering rescheduling the G-7, on the same or similar date, in Washington, D.C., at the legendary Camp David. The other members are also beginning their COMEBACK. It would be a great sign to all – normalization!" referring to the June G7 meeting which had previously been slated back in March to be held in July by videoconference.  </t>
  </si>
  <si>
    <t>Twitter flags a Trump tweet "There is NO WAY (ZERO!) that Mail-In Ballots will be anything less than substantially fraudulent. Mail boxes will be robbed, ballots will be forged &amp; even illegally printed out &amp; fraudulently signed. The Governor of California is sending Ballots to millions of people, anyone....." + "....living in the state, no matter who they are or how they got there, will get one. That will be followed up with professionals telling all of these people, many of whom have never even thought of voting before, how, and for whom, to vote. This will be a Rigged Election. No way!" to be false under its new "misleading information" policy designed to combat misinformation about coronavirus, singling this tweet out because it related to election integrity, Trump follows with a tweet ".@Twitter is now interfering in the 2020 Presidential Election. They are saying my statement on Mail-In Ballots, which will lead to massive corruption and fraud, is incorrect, based on fact-checking by Fake News CNN and the Amazon Washington Post...." + "....Twitter is completely stifling FREE SPEECH, and I, as President, will not allow it to happen!"  Twitter feels the heat for all sides, from conservative supporting Trump, and from critics saying that Twitter should be consistent and also call out the other baseless conspiracy theory about Joe Scarborough having killed his wife that Trump was also pushing that weekend.</t>
  </si>
  <si>
    <t>Trump signs an executive order targeting social media companies stating that it was to "defend free speech from one of the gravest dangers it has faced in American history. A small handful of social media monopolies controls a vast portion of all public and private communications in the United States. They've had unchecked power to censor, restrict, edit, shape, hide, alter, virtually any form of communication between private citizens and large public audiences. ...Imagine if your local phone companies tried to edit or censor what you said. Social media companies have far more power."</t>
  </si>
  <si>
    <t>WWII</t>
  </si>
  <si>
    <t>WWI</t>
  </si>
  <si>
    <t>Korean War</t>
  </si>
  <si>
    <t>Vietnam War</t>
  </si>
  <si>
    <t>Gulf War</t>
  </si>
  <si>
    <t>Conflict</t>
  </si>
  <si>
    <t>US Deaths</t>
  </si>
  <si>
    <t>% US Population</t>
  </si>
  <si>
    <t>Spanish-American War</t>
  </si>
  <si>
    <t>Philippine-American War</t>
  </si>
  <si>
    <t>War in Afghanistan</t>
  </si>
  <si>
    <t>Iraq War</t>
  </si>
  <si>
    <t>American Revolutionary War</t>
  </si>
  <si>
    <t>War of 1812</t>
  </si>
  <si>
    <t>American Civil War</t>
  </si>
  <si>
    <t>Mexican-American War</t>
  </si>
  <si>
    <t>COVID-19 Deaths</t>
  </si>
  <si>
    <t>Date COVID-19 Deaths passed this figure</t>
  </si>
  <si>
    <t>Leading Causes of Death in US</t>
  </si>
  <si>
    <t>Major US Conflicts</t>
  </si>
  <si>
    <t>Heart Disease</t>
  </si>
  <si>
    <t>Accidents</t>
  </si>
  <si>
    <t>Chronic Lower Respiratory Diseases</t>
  </si>
  <si>
    <t>Stroke</t>
  </si>
  <si>
    <t>Alzheimer's Disease</t>
  </si>
  <si>
    <t>Influenza and Pneumonia</t>
  </si>
  <si>
    <t>Suicide</t>
  </si>
  <si>
    <t>Leading Causes</t>
  </si>
  <si>
    <t>Kidney Disease (Nephritis, nephrotic syndrome and nephrosis)</t>
  </si>
  <si>
    <t>Daily Deaths</t>
  </si>
  <si>
    <t>US Epidemics</t>
  </si>
  <si>
    <t>1906-1907 Typhoid Fever (New York)</t>
  </si>
  <si>
    <t>1793 Yellow Fever (Philadelphia)</t>
  </si>
  <si>
    <t>1921-1925 Diptheria</t>
  </si>
  <si>
    <t>1981-1991 Measles</t>
  </si>
  <si>
    <t>2,000-10,000</t>
  </si>
  <si>
    <t>Epidemic</t>
  </si>
  <si>
    <t>US Disasters</t>
  </si>
  <si>
    <t>1900 Galveston Hurricane</t>
  </si>
  <si>
    <t>1899 San Ciriaco Hurricane</t>
  </si>
  <si>
    <t>1906 San Francisco Earthquake</t>
  </si>
  <si>
    <t>2001 September 11 Attacks</t>
  </si>
  <si>
    <t>2017 Hurricane Maria</t>
  </si>
  <si>
    <t>1928 Okeechobee Hurricane</t>
  </si>
  <si>
    <t>1941 Pearl Harbour</t>
  </si>
  <si>
    <t>1889 Johnstown Dam Flood</t>
  </si>
  <si>
    <t>1893 Cheniere Caminada Hurricane</t>
  </si>
  <si>
    <t>1980 Heat wave</t>
  </si>
  <si>
    <t>1871 Wildfire</t>
  </si>
  <si>
    <t>2005 Hurricane Katrina</t>
  </si>
  <si>
    <t>1904 PS General Slocum fire and sinking</t>
  </si>
  <si>
    <t>1943 HMT Rohna bombing and sinking</t>
  </si>
  <si>
    <t>1893 Sea Islands Hurricane</t>
  </si>
  <si>
    <t>1918 Cloquet wildfire</t>
  </si>
  <si>
    <t>1978 Jonestown mass suicide</t>
  </si>
  <si>
    <t>Peak</t>
  </si>
  <si>
    <t>1957-1958 H2N2 Flu Pandemic ("Asian Flu")</t>
  </si>
  <si>
    <t>10,000-50,000</t>
  </si>
  <si>
    <t>US seasonal flu deaths</t>
  </si>
  <si>
    <t>2017-2018 seasonal flu</t>
  </si>
  <si>
    <t>1952 Polio peak year of deaths</t>
  </si>
  <si>
    <t>COVID Deaths</t>
  </si>
  <si>
    <t>First Detected Death</t>
  </si>
  <si>
    <t>Now</t>
  </si>
  <si>
    <t>Current Deaths</t>
  </si>
  <si>
    <t>Avg Deaths / Day</t>
  </si>
  <si>
    <t>Year end at this rate (linear projection)</t>
  </si>
  <si>
    <t>Peak Deaths / Day</t>
  </si>
  <si>
    <t>1918-1919 H1N1 Flu Pandemic ("Spanish Flu")</t>
  </si>
  <si>
    <t>Believed to have originated in Kansas, origin still uncertain</t>
  </si>
  <si>
    <t xml:space="preserve">2009 H1N1 Flu Pandemic ("Swine Flu") </t>
  </si>
  <si>
    <t>1968 H3N2 Flu Pandemic ("Hong Kong Flu")</t>
  </si>
  <si>
    <t>Date COVID-19 Daily Deaths passed this death rate</t>
  </si>
  <si>
    <t>Date COVID-19 Daily Deaths passed deaths from this event</t>
  </si>
  <si>
    <t>Daily COVID-19 Deaths by Date</t>
  </si>
  <si>
    <t>Believed to have originated in Mexico</t>
  </si>
  <si>
    <t>Believed to have originated in China.</t>
  </si>
  <si>
    <t>Trump "I mean, nobody wants to do this.  It’s a brutal step.  'We’re going to close down your country.'  Who ever heard of a thing like this? But we would have had millions of people die if we didn’t do this.  Millions of people.  And I believe that, Mike.  I think — you know, in looking at things that we’ve been looking at over the last couple of days, I think — and, really, over the last couple of weeks — from the time we did it, shortly thereafter I said we made the right decision in closing down.  We made the right decision on borders, banning people coming in from China; banning, ultimately, people coming in from Europe. But we would have had millions of deaths instead of — it looks like we’ll be at about a 60,000 mark, which is 40,000 less than the lowest number thought of."</t>
  </si>
  <si>
    <t>Trump in answering this question "Mr. President, 50,000 people have died today.  You’re saying that you want credit for what the government has done.  Do you take any responsibility for these 50,000 deaths that have happened in this country?" His response: "I think we’ve done a great job.  As you know, minimal numbers were — minimal numbers were going to be 100,000 people.  Minimal numbers were going to be 100,000 people.  And we’re going to be, hopefully, far below that.  If we didn’t take quick action, you could have lost many millions of people."</t>
  </si>
  <si>
    <t>Trump " If we didn’t act quickly and smartly, we would have had, in my opinion and in the opinion of others, anywhere from 10 to 20 and maybe even 25 times the number of deaths.  We closed the border to China, meaning we put it on the ban — people coming in from China.  That was a very big moment.  As Dr. Fauci said, we saved thousands and thousands of lives when we did that.  And that’s true, but I think we would have had anywhere from 10 to 20 or 25 times the number of deaths if we didn’t act the way we did and also if we didn’t act swiftly.  So we’re very proud of our team and our task force and Mike.  Great job."</t>
  </si>
  <si>
    <t>Trump tweets "For all of the political hacks out there, if I hadn’t done my job well, &amp; early, we would have lost 1 1/2 to 2 Million People, as opposed to the 100,000 plus that looks like will be the number. That’s 15 to 20 times more than we will lose. I shut down entry from China very early!"</t>
  </si>
  <si>
    <t>Columbia Uni state, based on their modelling, that 35,000 lives would have been saved in the US if social distancing measures had begun just a week earlier than they actually did in Mid-March, warning of the risk of reopening too early, and 84% of lives could have been saved if social distancing measures had started two weeks earlier.  Trump has stated that if a second wave of the coronavirus was to hit the nation, he would not attempt to shut it down again.  In response to Columbia University's analysis, Trump attacked the Ivy League school as a "liberal, disgraceful institution."</t>
  </si>
  <si>
    <t>Imperial College release a report on the expected impact to lives of COVID-19 if no mitigation measures are taken.  It serves as an important catalyst to galvanise many governments around the world to begin taking the pandemic seriously.</t>
  </si>
  <si>
    <t>Road Fatalities</t>
  </si>
  <si>
    <t>Trump tweets "The W.H.O. really blew it. For some reason, funded largely by the United States, yet very China centric. We will be giving that a good look. Fortunately I rejected their advice on keeping our borders open to China early on. Why did they give us such a faulty recommendation?"</t>
  </si>
  <si>
    <t>Chinese authorities begin noticing cases of a mysterious disease</t>
  </si>
  <si>
    <t>CDC states that delays in rollout of coronavirus testing did not hinder the nation's response to the pandemic.  According to their analysis, coronavirus didn't begin circulating in the US until late Jan/early Feb.  According to the CDC, earlier testing would not have helped identify its spread.  The findings from the CDC that delayed testing did not have a negative impact on the US response was immediately recieved with skepticism and some criticism.  Howver, the analysis does undermine the narrative that some people in the US were infected in Dec/early Jan and note that travel restrictions such as from China and Europe did little to prevent the spread because community transmisssion was already occuring, undermining Trumps frequent references to saving millions of lives from the travel bans, particularly from China</t>
  </si>
  <si>
    <t>Trump "I really think the public has been incredible with what they — that’s one of the reasons we’re successful.  That’s one of the — if you call losing 80 or 90 thousand people "successful."  But it’s one of the reasons that we’re not at that high end of the plane as opposed to the low end of the plane. ...I used to say 65,000 —</t>
  </si>
  <si>
    <t>Trump "Not long ago, models predicted that between 1.5 million and 2.2 million people would have died in the United States without the mitigation.  Through our aggressive response and the remarkable commitment and bravery of American people, we have saved thousands and thousands of lives.  I can even make that, if you want, hundreds of thousands of lives.  People were thinking in terms of 1.5 million lives lost to 2.2 without the mitigation.  And hopefully, we’re going to come in below that 100,000 lives lost, which is a horrible number nevertheless.  It’s a horrible thing.  It could’ve been stopped.  It should’ve been stopped at source, but it wasn’t."</t>
  </si>
  <si>
    <t>US Secretary of State Mike Pompeo "There is a significant amount of evidence that this came from that laboratory in Wuhan. Instead, China behaved like authoritarian regimes do, attempted to conceal and hide and confuse. The best experts so far seem to think it was man-made. I have no reason to disbelieve that at this point." When pointed out that this was not the conclusion of the US intelligence agencies, Pompeo backtracked "That’s right. I agree with that. I've seen what the intelligence community has said.  I have no reason to believe that they've got it wrong. ... It should be something — you know, think of it: We could save anywhere from a million to even a million-five.  And, I guess, if you think about it, we could save 2.1, 2.5 million lives, depending on what happens.  And with this invisible enemy, as we said, nobody knows what really happens, but we’ve learned a lot in the last two months."</t>
  </si>
  <si>
    <t>Trump "This plague should never have happened.  It could have been stopped, but people chose not to stop it. … And some of the facts are coming out, and we did all the right moves.  I’ll tell you, we did — we wouldn’t do — we were talking to Mike before.  If we didn’t do what we did, you would’ve had a million people die, maybe more.  Maybe 2 million people die.  And if you think that we’d be at 65 or 70 or 60 or whatever the final number will be — one is too many.  I always say it: One is far too many.  This should’ve never been allowed to happen.  It should’ve been stopped a long time ago, before it ever got here or to other countries."</t>
  </si>
  <si>
    <t>Trump "We are in a war.  This is a World War Two, this is a World War One — where, by the way, the war essentially ended because of a plague.  That was one of the worst ever.  They lost almost 100 million people.  But we’re in a big war. … I did it early, but I was the last person that wanted to close down one of the great economic — you can’t call it an experiment, but everything, I guess, in life is an experiment.  So I say experiments.  But one of the great economic stories in history.  I’m the last person who wanted to do it. But we did the right thing, because if we didn’t do it, you would have had a million people, a million and a half people, maybe 2 million people dead.  Now, we’re going toward 50, I’m hearing, or 60,000 people.  One is too many.  I always say it: One is too many.  But we’re going toward 50- or 60,000 people.  That’s at the lower — as you know, the low number was supposed to be 100,000 people.  We — we could end up at 50 to 60.  Okay?  It’s horrible.  If we didn’t do what we did, we would have had, I think, a million people, maybe 2 million people, maybe more than that. ... And many of the people that have this theory, “Oh, let’s — you know, maybe we could have just gone right through it,” I was — I was somebody that would have loved to have done that, but it wouldn’t have been sustainable.  You can’t lose a million people.  That’s more than — that’s almost double what we lost in the Civil War.  I use that as a guide.  Civil War: 600,000 people died.  So it’s not sustainable.  But it could have been much more than a million people. I mean, if you took a number and cut it half, and half, and in half again, you’d end up at 500,000 people — okay? — if you want to make a very conservative guesstimate.  Five hundred thousand people is not acceptable.  Is that a correct sort of an analogy? ... When we say 50 and they compare 50 to the 35 of the flu — because it averaged 35, 36,000 over a 10-year period.  It’s a lot.  Who would think that?  But we’re not talking about with the flu. ... And we’re still going to lose between 50 and 60. ... But, in this case, if we didn’t do anything, the number wouldn’t be 50 to 60,000.  The number would be a million people dead.  It would be a million-five, a million-two.  Maybe 700,000.  It would have been a number in — like that. ... But I just say this: If we would have done that, we would have lost anywhere from a million to more than 2 million people.  Now, with all of the death that we’ve seen — and 50- or 60,000 people, heading toward — right now it’s at 40.  But 50- or 60,000 people; probably over 50, from what I see.  But that’s with our guard up.  If we took our guard down and just said, “Okay, we’re just going to keep this open,” we would have lost millions of people.  Can you imagine? ... But if we didn’t do the moves that we made, you would have had a million, a million and a half, 2 million people dead.  So multiply that times 50; you’re talking about — you would have had 10 to 20 to 25 times more people dead than all of the people that we’ve been watching.  That’s not acceptable.  The 50,000 is not acceptable.  It’s so horrible.  But can you imagine multiplying that out by 20 or more?  It’s not acceptable."</t>
  </si>
  <si>
    <t>Trump "We’re talking about death.  We’re talking about the greatest economy in the world.  One day I have to close it off.  And we did the right thing, because maybe it would have been 2 million people died instead of whatever that final number will be, which could be 60, could be 70, could be 75, could be 55.  Thousands of people have died. ... One of the reasons we’re so far below that number is because nobody thought the American people could be so disciplined.  Nobody thought it was possible.  And, I guess, when they watched us up here every day, and they watched other people, and they listened to their representatives and governors — nobody thought that the American people could be so disciplined.  They’ve been unbelievable. And because of that — so you have a minimum number of 100,000, and then you had the 2.2 number that, if we did nothing — if we did — just kept working, everybody go to work — people would be dropping dead on the subways.  No. If we would have lost a million people — take the 2.2 million and cut it in half.  Make it — cut it in more than half.  Make it a million people, okay?  Now take that number and cut it in half.  Make it 500,000 people.  That’s if we did nothing, right?  It’s unacceptable.  It’s too many people. So we have — we’ve spent more money on stimulus.  Who cares by comparison?  You take 2.2, you cut it in half, you cut it in half, you cut it in half — you keep cutting it in half.  I don’t care what number you choose — 500,000, 400,000.  Well, we’re going to have — we’re talking 50, 60, 65 [thousand].  Maybe.  Maybe.  But if we would have done what one country tried — and it has been very tough for them.  You know that.  Very, very nasty.  Very tough.  But if we would have done that here — And again, you got to remember: UK tried it.  And I was a little surprised.  And I watched it.  They were going about — what, two weeks?  And they said, “We got to stop.”  Because it was — they were going to have a whole country infected. So, with all of that being said, we got to get back to work.  We got to get — we got to get our country open.  But we could have lost 2 million people.  We could have lost 1 million people.  We could have lost a half a million people. If we would’ve lost 500,000 people — and I’ll say this also: From the standpoint of being President and Vice President, and we’re up there and we’re doing that herd, and we’re going to bullet through — do you honestly think people like Jim and yourself and other people would’ve — Jeff — would have put up with it, as people are dying all over?  They would have said, “This man is crazy.”  Because the numbers, Tony, at a minimum, would have been many, many times greater than the numbers we’re talking about."</t>
  </si>
  <si>
    <t>Dr Birx "I think you know from that large blue mountain that you can see behind me — and I just want to thank the five or six international and domestic modelers from Harvard, from Columbia, from Northeastern, from Imperial who helped us tremendously.  It was their models that created the ability to see what these mitigations could do, how steeply they could depress the curve from that giant blue mountain down to that more stippled area. In their estimates, they had between 1.5 million and 2.2 million people in the United States succumbing to this virus without mitigation.  Yet, through their detailed studies and showing us what social distancing would do, what people — what would happen if people stayed home, what would happen if people were careful every day to wash their hands and worry about touching their faces, that what an extraordinary thing this could be if every American followed these.  And it takes us to that stippled mountain that’s much lower — a hill, actually — down to 100,000 to 200,000 deaths, which is still way too much." Dr Fauci "The modeling that Dr. Birx showed predicts that number that you saw.  We don’t accept that number that that’s what’s going to be.  We’re going to be doing everything we can to get it even significantly below that. So, you know, I don’t want it to be a mixed message.  This is the thing that we need to anticipate, but that doesn’t mean that that’s what we’re going to accept.  We want to do much, much better than that. ... as sobering a number as that is, we should be prepared for it.  Is it going to be that much?  I hope not.  And I think the more we push on the mitigation, the less likelihood it would be that number.  But as being realistic, we need to prepare ourselves that that is a possibility, that that’s what we will see."</t>
  </si>
  <si>
    <t>Trump on the projections "They’re very sobering, yeah.  When you see 100,000 people, that’s a — and that’s at a minimum number. Now, what we’re looking at — and as many people as we’re talking about — whatever we can do under that number and substantially under that number, we’ve done that through really great mitigation.  We’ve done that through a lot of very dedicated American people that, you know, 100,000 is — is, according to modeling, a very low number. In fact, when I first saw the number — and I asked this a while ago — they said it’s unlikely you’ll be able to attain that.  I think we’re doing better than that.  Now, I think.  We have to see.  But I think we’re doing better than that.  Because, as John said, that would be, you know, a lot of lives taking place over a relatively short period of time. But think of what would have happened if we didn’t do anything.  I mean, I’ve had many friends, business people, people with great, actually, common sense — they said, “Why don’t we ride it out?”  A lot of people have said.  A lot of people have thought about it.  “Ride it out.  Don’t do anything, just ride it out and think of it as the flu.”  But it’s not the flu.  It’s vicious. ... So we would have seen things had we done nothing.  But for a long while, a lot of people were asking that question, I think, right?  I was asking it also.  I mean, a lot of people were saying, “Well, let’s just ride it out.”  This is not to be ridden out because then you would have been looking at potentially 2.2 million people or more.  2.2 million people in a relatively short period of time. If you remember, they were looking at that concept.  It’s a a concept, I guess.  You know, it’s concept if you — if you don’t mind death.  A lot of death.  But they were looking at that in the UK.  Remember?  They were very much looking at it.  And all of a sudden, they went hard the other way because they started seeing things that weren’t good.  So they were — you know, they put themselves in a little bit of a problem. ... But that was something that everybody was talking about, Steve, like, “just don’t do anything.”  “Don’t do anything.  Forget about everything.  Just ride it out.”  They used the expression, “Ride it out.”  We would have had, at a minimum, 1.5, 1.6, but you would have had perhaps more than 2.2 million people dying in a very short period of time.  And that would have been a number that — the likes of which we’ve never seen."</t>
  </si>
  <si>
    <t>The number of US deaths from COVID-19 surpass the 3,300 Chinese deaths from COVID-19</t>
  </si>
  <si>
    <t>The number of US deaths from COVID-19 surpass the 2,977 victims and 19 hijackers of the 9/11 attacks of 2001</t>
  </si>
  <si>
    <t>The number of US deaths from COVID-19 surpass the 2,216 US deaths of the War in Afghanistan, to-date</t>
  </si>
  <si>
    <t>The number of US deaths from COVID-19 surpass the 4,497 US deaths of the Iraq War</t>
  </si>
  <si>
    <t>The number of US deaths from COVID-19 surpass the 10,771 deaths in the US from typhoid fever in 1906-1907</t>
  </si>
  <si>
    <t>The number of US deaths from COVID-19 surpass the 12,469 deaths in the US from the H1N1 "Swine flu" of 2009-2010. Some estimates put the real death toll at 18,000.</t>
  </si>
  <si>
    <t>The number of US deaths from COVID-19 surpass the 25,000 deaths of the American Revolutionary War</t>
  </si>
  <si>
    <t>The number of US deaths from COVID-19 surpass the 36,516 US deaths of the Korean war</t>
  </si>
  <si>
    <t>The number of US deaths from COVID-19 surpass the annual US road fatalities of 37,000 - 38,000 per year</t>
  </si>
  <si>
    <t>The number of US deaths from COVID-19 surpass the 58,220 US deaths of the Vietnam war</t>
  </si>
  <si>
    <t>The number of US deaths from COVID-19 surpass the 61,000 US deaths from the seasonal flu in 2017-2018, normally the number of deaths from the seasonal flu in the US is between 10,000 to 50,000 per season.</t>
  </si>
  <si>
    <t>Trump announces that the US is terminating its relationship with the WHO three weeks ahead of a deadline he set earlier this month on 19/5. "Chinese officials ignored their reporting obligations to the World Health Organization and pressured the World Health Organization to mislead the world when the virus was first discovered by Chinese authorities. Countless lives have been taken and profound economic hardship has been inflicted all around the globe. ... China has total control over the World Health Organization ... Because they have failed to make the requested and greatly needed reforms, we will be today terminating our relationship with the World Health Organization and redirecting those funds to other worldwide and deserving, urgent global public health needs ... world needs answers from China on the virus. We must have transparency."</t>
  </si>
  <si>
    <t>Following the death of George Floyd at the hands of police 25/5, there have been ongoing protests and riots around the country, but focus in Minneapolis. Trump tweets "....These THUGS are dishonoring the memory of George Floyd, and I won’t let that happen. Just spoke to Governor Tim Walz and told him that the Military is with him all the way. Any difficulty and we will assume control but, when the looting starts, the shooting starts. Thank you!", echoing a 1960's phrase used by Miami Police Chief Walter Headley.  Twitter hides the tweet behind a flag saying that it "glorifies violence", ratcheting up the war between Trump, conservatives, and Twitter and social platforms in general.  Trump tweets in response "Twitter is doing nothing about all of the lies &amp; propaganda being put out by China or the Radical Left Democrat Party. They have targeted Republicans, Conservatives &amp; the President of the United States."</t>
  </si>
  <si>
    <t>of population</t>
  </si>
  <si>
    <t>Course grained projections based on broader rates of infection and recovery which may not be as applicable in the US context</t>
  </si>
  <si>
    <t>Fauci states that he has not spoken to Trump in over 2 weeks, raising fears that he has been frozen out of the WH response to coronavirus</t>
  </si>
  <si>
    <t>Trump announces that he is delaying the G7 until September and wants additional countries to attend - Russia, South Korea, Australia, and India as potential invitees.  Canada's PM, Justin Trudeau has pushed back on an invite being extended to Russia.</t>
  </si>
  <si>
    <t>2019 figures from the Gun Violence Archive</t>
  </si>
  <si>
    <t>Trump keeps escalating tensions following the death of George Floyd in lead up to elections and to deflect from the coronavirus response to date.  Widespread protests continue to grow and engulf US cities</t>
  </si>
  <si>
    <t>Recordings of WHO officials complaining in meetings during the week of 6/1 that Beijing was not sharing the data needed to evaluate the risk of the virus are leaked.  It was not until 20/1 that China confirmed that coronavirus was contagious.</t>
  </si>
  <si>
    <t>Origin unknown, first detected in Hong Kong</t>
  </si>
  <si>
    <t>Chinese state media announced the illness was the result of a new coronavirus but said it was not contagious</t>
  </si>
  <si>
    <t>WHO report preliminary Chinese studies suggest no clear evidence of human to human transmission, but stated that it was still an strong possibility</t>
  </si>
  <si>
    <t>Chines authorities lock down Wuhan, by which time at least 5 million residents had left before the lunar new year holiday and the city's hospitals were by this tme flooded with patients, and cases appearing across the region.</t>
  </si>
  <si>
    <t>China confirms that coronavirus was contagious.</t>
  </si>
  <si>
    <t>Chinese authorities install temperature checkpoints at the airport, train stations, and bus terminals in Wuhan.</t>
  </si>
  <si>
    <t>Trump "Germany and the United States are the two best in deaths per 100,000 people, which, frankly, to me, that’s perhaps the most important number there is.".  While not the worst, at this moment, the US has a worse death rate per 100,000 than the world average and it is by no means close to being among the two best .</t>
  </si>
  <si>
    <t>Gun Violence Deaths in US (2019)</t>
  </si>
  <si>
    <t>Death from mass shootings (2019)</t>
  </si>
  <si>
    <t>Death by US law enforcement (2015)</t>
  </si>
  <si>
    <t>Trump tweets "Why didn’t the I.G., who spent 8 years with the Obama Administration (Did she Report on the failed H1N1 Swine Flu debacle where 17,000 people died?), want to talk to the Admirals, Generals, V.P. &amp; others in charge, before doing her report. Another Fake Dossier!" Christi Grimm, the IG for the Department of Health and Human Services had published a survey of US hospital's preparedness for the pandemic and found many would struggle to treat the expected number of cases due to shortages in PPE and poor testing capacity.  The WH removes her, announcing that she was being replaced by Jason Weida.  Rep Jim Jordon (R-OH) claims that any allegation that Grimm was removed "for issuing a report is simply incorrect."  In total, 5 IGs have been removed by Trump as at the end of May.</t>
  </si>
  <si>
    <t>Initial pop est from 2.1M to 18M with over 90% killed from colonisation</t>
  </si>
  <si>
    <t>Native North American Genocide</t>
  </si>
  <si>
    <t>Dr Brenda Fitzgerald resigns from the CDC after it was revealed that she held shares in tobacco companies.</t>
  </si>
  <si>
    <t>Dr Robert Redfield appointed CDC director by WH despite concerns over his conservative religious views related to AIDs policies, a history of research misconduct including when employed by the US Army and researching an AIDS/HIV vaccine, and his lack of experience in leading a public health agency</t>
  </si>
  <si>
    <t>Dr Brenda Fitzgerald appointed head of CDC by WH despite concerns expressed of her conflicts of interest with her stock portfolio and need to recuse herself on most matters of importance related to her office.</t>
  </si>
  <si>
    <t>Annual Deaths in Custody (estimate)</t>
  </si>
  <si>
    <t>From Guardian report into death by law enforcement 2015, also see https://mappingpoliceviolence.org/nationaltrends</t>
  </si>
  <si>
    <t>Congressional hearing grills the head of the CDC, Dr Robert Redfield, where he claims "There was never a moment in this nation when any health department couldn't get the test."  This was refuted by Jaime Herrera Beutler, a Republican congresswoman from Washington.  Leaks from the CDC paint a picture of the organisation obsessed with controlling the messaging and whitewashing what goes out to the public to support the Trump agenda rather than providing an honest picture of what is actually happening.</t>
  </si>
  <si>
    <t>A number of ex-military commanders and prominent republicans including Colin Powell and Senator Lisa Murkowski, George Bush and his brother Jeb, and Cindy McCain, widow of Senator John McCain all have come out to say they will not vote for Trump and some endorsing Biden.</t>
  </si>
  <si>
    <t>Dr Kerkhove attempts to explain her comments after a huge wave of pushback from around the world, so clarified that studies show ~16% of the population may be asymptomatic, but some models suggest as much as 40% of global transmission may be due to asymptomatic individuals, but there was still much unknown and much to be answered.</t>
  </si>
  <si>
    <t>Dr Maria Van Kerkhove, a WHO scientist in an interview draws a distinction between asymptomatic and presymptomatic infections and states "From the data we have, it still seems to be rare that an asymptomatic person actually transmits onward to a secondary individual, it's very rare."</t>
  </si>
  <si>
    <t>A CDC survey conducted in May of 502 adults found 39% had misused cleaning products such as bleach and disenfectants, and 25% had reported an adverse health effect that they believed was a result of the product. 19% had used bleach on food, 18% had applied household cleaners on skin, 10% had misted themselves with disinfectant sprays, 6% had inhaled vapors from the cleaners, and 4% had drunk or gargled diluted bleach solutions, soapy water, or other disinfectants.</t>
  </si>
  <si>
    <t>The number of US deaths from COVID-19 surpass the 100,000 deaths in the US from the H3N2 flu pandemic of 1968.  Trump reluctant to honour the passing of this number of people.</t>
  </si>
  <si>
    <t>Trump "We want the continued blanket lockdown to end for the states. We may have some embers or some ashes, or we may have some flames coming, but we'll put them out. We'll stomp them out.".</t>
  </si>
  <si>
    <t>University of Washington forecast a massive spike in deaths starting in the third week of August, after declining from April until then, with estimates of the number of deaths by October falling somewhere between 130,000 - 290,000. The CDC, based on averaging of 17 individual national forecasts, indicates that 124,000 - 140,000 deaths by July 4th.</t>
  </si>
  <si>
    <t>Trump flags that he will begin staging campaign rallies again, as early as 19/6 ("Juneteenth", a date that commemorates the emancipation of the last slaves at the end of the American Civil War in 1865), in Tulsa, Oklahoma (the black residents and businesses of Tulsa were attacked by whites in 1921 in what is known as the Tulsa Race Massacre with as many as 300 African Americans left dead), as well as scheduling a speech accepting the Republican nomination for the second term as President in Jacksonville, Florida on 27/8 (on the 60th anniversary 27/8, 1960 of "Ax Handle Saturday" when a group of 200 white men, some members of the KKK, attacked protesters conducting a sit-in with baseball bats and axe handles, after which the violence spread with mobs of white men attacking black Americans indiscriminately), generating criticism with respect to the current Black Lives Matter demonstrations, and requiring people attending the rallies to sign a disclaimer to not hold Trump or rally organisers liable if they contract coronavirus from attending.  Dr Fauci has warned in response that such gatherings are "a danger" and "risky". This as infection rates are rising in 18 states, with 12 experiencing spikes in hospitalizations following Memorial w/e, infection rates hold steady in 9 states, and trending down in 21.  Already, members of the National Guard who were called out in relation to the BLM marches and protests have tested positive to COVID-19, showing the risk of large gatherings.</t>
  </si>
  <si>
    <t>Trump reschedules his first "post-coronavirus" re-election rally in Tulsa to 20/6, Trump tweets "We had previously scheduled our #MAGA Rally in Tulsa, Oklahoma, for June 19th -- a big deal. Unfortunately, however, this would fall on the Juneteenth Holiday. Many of my African American friends and supporters have reached out to suggest that we consider changing the date out of respect for this Holiday, and in observance of this important occasion and all that it represents. I have therefore decided to move our rally to Saturday, June 20th, in order to honor their requests."</t>
  </si>
  <si>
    <t>A fall in unemployment for white and Hispanic people, a rise in unemployment for African-American and Asian people has Trump declaring "victory" with the economy a "rocketship" and "an affirmation of all the work we've been doing" and taking credit for the jobs.  During the same speech, Trump makes reference to need for law enforcement fairness/reform invoking George Floyd "a great day for him, it’s a great day for everybody," which gets construed as using George Floyd as blessing the good economic news, as protests head into their second weekend.  Trump tweets "Really Big Jobs Report. Great going President Trump (kidding but true)!" April had seen the worst jobless rate since monthly record keeping began in 1948.  The US economy added 2.5M jobs in May as states began to ease lockdown restrictions, after 1.4M jobs lost in March and 20.7M positions vanished in April.</t>
  </si>
  <si>
    <t>After a UK led trial showing that the generic steroid dexamethasone can reduce death rates by ~1/3 among those with the most severe cases of infection of COVID-19, the WHO has announced plans that it would update its guidance on the use of the steroid, althouth the results are still preliminary</t>
  </si>
  <si>
    <t>The number of US deaths from COVID-19 surpass the 116,000 deaths from the 1957-1958 H2N2 Flu Pandemic ("Asian Flu")</t>
  </si>
  <si>
    <t>The number of US deaths from COVID-19 surpass the 116,516 US casualties from WWI</t>
  </si>
  <si>
    <t>A judge denied an emergency motion to stop the Tulsa rally as Oklahoma records its highest new coronavirus case count to date on Monday, and will now head to the Supreme Court.  While Pence said Monday Oklahoma had "flattened the curve" and that "the number of cases in Oklahoma" had "declined precipitously," the daily number of coronavirus cases statewide have actually increased over the last week -- even as the number of tests conducted each day has declined slightly</t>
  </si>
  <si>
    <t>The FDA has revoked its emergency use authorization for the drugs hydroxychloroquine and chloroquine for the treatment of Covid-19.  "It is no longer reasonable to believe that oral formulations of HCQ and CQ may be effective in treating COVID-19, nor is it reasonable to believe that the known and potential benefits of these products outweigh their known and potential risks. Accordingly, FDA revokes the EUA for emergency use of HCQ and CQ to treat COVID-19. As of the date of this letter, the oral formulations of HCQ and CQ are no longer authorized by FDA to treat COVID-19," FDA chief scientist Denise Hinton wrote in a letter to Gary Disbrow of the Biomedical Advanced Research and Development Authority (BARDA) on Monday.  The WHO is still reviewing is use of hydroxychloroquine in its multi-country clinical study of several potential COVID-19 treatment options.</t>
  </si>
  <si>
    <t>Trump tweets "We have just reached a very sad milestone with the coronavirus pandemic deaths reaching 100,000. To all of the families &amp; friends of those who have passed, I want to extend my heartfelt sympathy &amp; love for everything that these great people stood for &amp; represent. God be with you!"</t>
  </si>
  <si>
    <t>Trump states "If we stop testing right now, we’d have very few cases, if any."</t>
  </si>
  <si>
    <t>Trump tweets "The Far Left Fake News Media, which had no Covid problem with the Rioters &amp; Looters destroying Democrat run cities, is trying to Covid Shame us on our big Rallies. Won’t work!" in relation to criticism of the forthcoming rally in Tulsa</t>
  </si>
  <si>
    <t>Trump "We’re very close to a vaccine and we’re very close to therapeutics, really good therapeutics. But even without that, I don’t even like to talk about that, because it’s fading away, it’s going to fade away, but having a vaccine would be really nice and that’s going to happen."</t>
  </si>
  <si>
    <t>Fauci warned that the infection would not "burn itself out with mere public health measures. We're going to need a vaccine for the entire world, billions and billions of doses", referring to the coronavirus pandemic as his "worst nightmare".</t>
  </si>
  <si>
    <t>Trump's reboot in Tulsa of his rallys saw 6 of his staff test positive to coronavirus and 6,200 people attend after boasting of a million people registering and expecting over 100,000, with K-pop and TikTok users claiming responsibility for registering in mass with no intention of attending.  Trump blames BLM protesters who were small in number and not disruptive.  In his speach he stated "You know testing is a double-edged sword. Here's the bad part ... when you do testing to that extent, you're going to find more people; you're going to find more cases. So I said to my people, slow the testing down please."  Afterwards his administration said he was "obviously kidding". Trump also referred to COVID-19 as "kung flu", but no mention from Trump of George Floyd or the 122,000 deaths that have occurred so far.</t>
  </si>
  <si>
    <t>New cases exceed previous peak 25/6</t>
  </si>
  <si>
    <t>New cases begin rising again</t>
  </si>
  <si>
    <t>https://www.cdc.gov/coronavirus/2019-ncov/need-extra-precautions/older-adults.html</t>
  </si>
  <si>
    <t>0-4</t>
  </si>
  <si>
    <t>5-17</t>
  </si>
  <si>
    <t>18-29</t>
  </si>
  <si>
    <t>50-64</t>
  </si>
  <si>
    <t>65-74</t>
  </si>
  <si>
    <t>75-84</t>
  </si>
  <si>
    <t>per 100,000</t>
  </si>
  <si>
    <t>%</t>
  </si>
  <si>
    <t>Identified comorbidities</t>
  </si>
  <si>
    <t>Chronic Kidney Disease</t>
  </si>
  <si>
    <t>COPD</t>
  </si>
  <si>
    <t>Immunocompromised state from organ transplant</t>
  </si>
  <si>
    <t>Obesity (BMI &gt; 30)</t>
  </si>
  <si>
    <t>Heart conditions such as heart failure, coronary artery disease, or cardimyopathies</t>
  </si>
  <si>
    <t>Sickle cell disease</t>
  </si>
  <si>
    <t>Type 2 diabetes mellitus</t>
  </si>
  <si>
    <t>Potential comorbitity risks</t>
  </si>
  <si>
    <t>Asthma (moderate to severe)</t>
  </si>
  <si>
    <t>Cerebrovascular disease</t>
  </si>
  <si>
    <t>Cystic fibrosis</t>
  </si>
  <si>
    <t>Immunocompromised state from blood or bone marrow transplant, immune deficiencies, HIV, corticosterioids use, or other immune weakening medicines</t>
  </si>
  <si>
    <t>Neurologic conditions such as dementia</t>
  </si>
  <si>
    <t>Liver Disease</t>
  </si>
  <si>
    <t>Pregnancy</t>
  </si>
  <si>
    <t>Pulmonary Fibrosis</t>
  </si>
  <si>
    <t>Thalassemia</t>
  </si>
  <si>
    <t>Type 1 diabetes mellitus</t>
  </si>
  <si>
    <t>https://www.cdc.gov/coronavirus/2019-ncov/need-extra-precautions/evidence-table.html</t>
  </si>
  <si>
    <t>As of June 25, 2020, no percentage outcome on commorbidities provided</t>
  </si>
  <si>
    <t>Hospitalisation per 100,000 population, unclear if this is 100,000 of infected population or total population.</t>
  </si>
  <si>
    <t>https://www.cdc.gov/coronavirus/2019-ncov/need-extra-precautions/racial-ethnic-minorities.html</t>
  </si>
  <si>
    <t>Non-Hispanic American Indian or Alaska Native</t>
  </si>
  <si>
    <t>Age adjusted Hospitalisation by race and ethnicity</t>
  </si>
  <si>
    <t>Non-Hispanic Black</t>
  </si>
  <si>
    <t>Hispanic or Latino</t>
  </si>
  <si>
    <t>Non-Hispanic Asian or Pacific Islander</t>
  </si>
  <si>
    <t>Non-Hispanic White</t>
  </si>
  <si>
    <t>Relative Risk Factor</t>
  </si>
  <si>
    <t>Other at risk groups</t>
  </si>
  <si>
    <t>People with disabilities</t>
  </si>
  <si>
    <t>People with developmental and behavioural issues</t>
  </si>
  <si>
    <t>People experiencing homelessness</t>
  </si>
  <si>
    <t>Pregnant people and breastfeeding</t>
  </si>
  <si>
    <t>People in nursing homes or long term care facilities</t>
  </si>
  <si>
    <t>Newly resettled refugee populations</t>
  </si>
  <si>
    <t>N.B. CDC does not list imprisoned people as at risk!</t>
  </si>
  <si>
    <t>The Trump campaign has postponed Mike Pence's campaign events in Florida and Arizona next week citing "out of an abundance of caution"</t>
  </si>
  <si>
    <t>Pence claims in the first coronavirus taskforce briefing since April remarkable progress against COVID-19. "With intervention and mitigation and calling on the American people to embrace mitigation efforts we [aimed to] slow the spread … and we said we believed we could reduce fatalities to 150,000 to 200,000. Where we are today as a nation … we have done just that, we slowed the spread, we flattened the curve and we saved lives." As 29 states see rising numbers and some states re-introducing restrictions, and 40,000 new infections on Friday, Pence said the US was reopening "safely and responsibly," blaming the increased numbers on increased testing and saying because half of new cases were under 35 it was "very encouraging news."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</si>
</sst>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13"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rgb="FFFF0000"/>
      <name val="Calibri"/>
      <family val="2"/>
      <scheme val="minor"/>
    </font>
    <font>
      <sz val="11"/>
      <name val="Calibri"/>
      <family val="2"/>
      <scheme val="minor"/>
    </font>
  </fonts>
  <fills count="2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CFF"/>
        <bgColor indexed="64"/>
      </patternFill>
    </fill>
    <fill>
      <patternFill patternType="solid">
        <fgColor rgb="FFFFE7FF"/>
        <bgColor indexed="64"/>
      </patternFill>
    </fill>
    <fill>
      <patternFill patternType="solid">
        <fgColor rgb="FFD5B9FF"/>
        <bgColor indexed="64"/>
      </patternFill>
    </fill>
    <fill>
      <patternFill patternType="solid">
        <fgColor rgb="FFE8D9FF"/>
        <bgColor indexed="64"/>
      </patternFill>
    </fill>
  </fills>
  <borders count="2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right style="dotted">
        <color indexed="64"/>
      </right>
      <top/>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65">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9" fillId="4" borderId="0" xfId="0" applyNumberFormat="1" applyFont="1" applyFill="1" applyBorder="1"/>
    <xf numFmtId="171" fontId="9"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9" fillId="4" borderId="8" xfId="0" applyNumberFormat="1" applyFont="1" applyFill="1" applyBorder="1"/>
    <xf numFmtId="171" fontId="9"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9" fillId="4" borderId="2" xfId="0" applyNumberFormat="1" applyFont="1" applyFill="1" applyBorder="1"/>
    <xf numFmtId="171" fontId="0" fillId="2" borderId="8" xfId="0" applyNumberFormat="1" applyFill="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3" fontId="0" fillId="9" borderId="12" xfId="0" applyNumberFormat="1" applyFill="1" applyBorder="1"/>
    <xf numFmtId="171" fontId="0" fillId="4" borderId="7" xfId="0" applyNumberFormat="1" applyFill="1" applyBorder="1"/>
    <xf numFmtId="164" fontId="9" fillId="4" borderId="0" xfId="0" applyNumberFormat="1" applyFont="1" applyFill="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0" fontId="4" fillId="0" borderId="0" xfId="0" applyFont="1" applyAlignment="1">
      <alignment horizontal="center" vertical="center" wrapText="1"/>
    </xf>
    <xf numFmtId="9" fontId="0" fillId="0" borderId="0" xfId="0" applyNumberFormat="1" applyAlignment="1">
      <alignment vertical="center" wrapText="1"/>
    </xf>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9" fillId="4" borderId="1" xfId="0" applyNumberFormat="1" applyFont="1" applyFill="1" applyBorder="1"/>
    <xf numFmtId="9" fontId="9" fillId="4" borderId="3" xfId="0" applyNumberFormat="1" applyFont="1" applyFill="1" applyBorder="1"/>
    <xf numFmtId="171" fontId="9" fillId="4" borderId="3" xfId="0" applyNumberFormat="1" applyFont="1" applyFill="1" applyBorder="1"/>
    <xf numFmtId="171" fontId="9" fillId="4" borderId="5" xfId="0" applyNumberFormat="1" applyFont="1" applyFill="1" applyBorder="1"/>
    <xf numFmtId="9" fontId="9" fillId="0" borderId="16" xfId="0" applyNumberFormat="1" applyFont="1" applyFill="1" applyBorder="1"/>
    <xf numFmtId="171" fontId="9" fillId="0" borderId="16" xfId="0" applyNumberFormat="1" applyFont="1" applyFill="1" applyBorder="1"/>
    <xf numFmtId="171" fontId="9" fillId="0" borderId="16" xfId="0" applyNumberFormat="1" applyFont="1" applyBorder="1"/>
    <xf numFmtId="171" fontId="9" fillId="0" borderId="17" xfId="0" applyNumberFormat="1" applyFont="1" applyFill="1" applyBorder="1"/>
    <xf numFmtId="9" fontId="5" fillId="0" borderId="0" xfId="1" applyNumberFormat="1" applyFill="1" applyBorder="1"/>
    <xf numFmtId="166" fontId="0" fillId="9" borderId="7" xfId="0" applyNumberFormat="1" applyFill="1" applyBorder="1"/>
    <xf numFmtId="166" fontId="0" fillId="9" borderId="8" xfId="0" applyNumberFormat="1" applyFill="1" applyBorder="1"/>
    <xf numFmtId="14" fontId="9" fillId="0" borderId="18" xfId="0" applyNumberFormat="1" applyFont="1" applyFill="1" applyBorder="1"/>
    <xf numFmtId="0" fontId="9" fillId="0" borderId="0" xfId="0" applyFont="1" applyFill="1"/>
    <xf numFmtId="171" fontId="0" fillId="0" borderId="0" xfId="0" applyNumberFormat="1"/>
    <xf numFmtId="170" fontId="0" fillId="0" borderId="11" xfId="0" applyNumberFormat="1" applyBorder="1"/>
    <xf numFmtId="0" fontId="0" fillId="4" borderId="0" xfId="0" applyFill="1"/>
    <xf numFmtId="0" fontId="0" fillId="16" borderId="7" xfId="0" applyFill="1" applyBorder="1"/>
    <xf numFmtId="14" fontId="0" fillId="0" borderId="0" xfId="0" applyNumberFormat="1" applyBorder="1"/>
    <xf numFmtId="164" fontId="9" fillId="4" borderId="3" xfId="0" applyNumberFormat="1" applyFont="1" applyFill="1" applyBorder="1"/>
    <xf numFmtId="3" fontId="9" fillId="4" borderId="5" xfId="0" applyNumberFormat="1" applyFont="1" applyFill="1" applyBorder="1"/>
    <xf numFmtId="3" fontId="0" fillId="17" borderId="14" xfId="0" applyNumberFormat="1" applyFill="1" applyBorder="1"/>
    <xf numFmtId="171" fontId="0" fillId="18" borderId="3" xfId="0" applyNumberFormat="1" applyFill="1" applyBorder="1"/>
    <xf numFmtId="171" fontId="0" fillId="18" borderId="0" xfId="0" applyNumberFormat="1" applyFill="1" applyBorder="1"/>
    <xf numFmtId="3" fontId="0" fillId="17" borderId="13" xfId="0" applyNumberFormat="1" applyFill="1" applyBorder="1"/>
    <xf numFmtId="3" fontId="0" fillId="0" borderId="13" xfId="0" applyNumberFormat="1" applyFill="1" applyBorder="1" applyAlignment="1">
      <alignment horizontal="center"/>
    </xf>
    <xf numFmtId="14" fontId="0" fillId="2" borderId="0" xfId="0" applyNumberFormat="1" applyFill="1"/>
    <xf numFmtId="14" fontId="0" fillId="13" borderId="0" xfId="0" applyNumberFormat="1" applyFill="1"/>
    <xf numFmtId="0" fontId="0" fillId="13" borderId="0" xfId="0" applyFill="1"/>
    <xf numFmtId="171" fontId="0" fillId="9" borderId="3" xfId="0" applyNumberFormat="1" applyFill="1" applyBorder="1"/>
    <xf numFmtId="171" fontId="0" fillId="3" borderId="0" xfId="0" applyNumberFormat="1" applyFill="1" applyBorder="1"/>
    <xf numFmtId="0" fontId="0" fillId="2" borderId="0" xfId="0" applyFill="1"/>
    <xf numFmtId="14" fontId="0" fillId="4" borderId="19" xfId="0" applyNumberFormat="1" applyFill="1" applyBorder="1"/>
    <xf numFmtId="14" fontId="0" fillId="15" borderId="20" xfId="0" applyNumberFormat="1" applyFill="1" applyBorder="1"/>
    <xf numFmtId="14" fontId="0" fillId="16" borderId="20" xfId="0" applyNumberFormat="1" applyFill="1" applyBorder="1"/>
    <xf numFmtId="14" fontId="0" fillId="10" borderId="20" xfId="0" applyNumberFormat="1" applyFill="1" applyBorder="1"/>
    <xf numFmtId="14" fontId="0" fillId="4" borderId="20" xfId="0" applyNumberFormat="1" applyFill="1" applyBorder="1"/>
    <xf numFmtId="14" fontId="0" fillId="0" borderId="20" xfId="0" applyNumberFormat="1" applyFill="1" applyBorder="1"/>
    <xf numFmtId="14" fontId="0" fillId="8" borderId="20" xfId="0" applyNumberFormat="1" applyFill="1" applyBorder="1"/>
    <xf numFmtId="171" fontId="11" fillId="0" borderId="7" xfId="0" applyNumberFormat="1" applyFont="1" applyBorder="1"/>
    <xf numFmtId="14" fontId="0" fillId="8" borderId="14" xfId="0" applyNumberFormat="1" applyFill="1" applyBorder="1"/>
    <xf numFmtId="171" fontId="12" fillId="0" borderId="7" xfId="0" applyNumberFormat="1" applyFont="1" applyBorder="1"/>
    <xf numFmtId="166" fontId="0" fillId="9" borderId="0" xfId="0" applyNumberFormat="1" applyFill="1" applyBorder="1"/>
    <xf numFmtId="0" fontId="0" fillId="19" borderId="22" xfId="0" applyFill="1" applyBorder="1"/>
    <xf numFmtId="3" fontId="0" fillId="19" borderId="22" xfId="0" applyNumberFormat="1" applyFill="1" applyBorder="1"/>
    <xf numFmtId="3" fontId="0" fillId="20" borderId="0" xfId="0" applyNumberFormat="1" applyFill="1"/>
    <xf numFmtId="3" fontId="0" fillId="21" borderId="22" xfId="0" applyNumberFormat="1" applyFill="1" applyBorder="1"/>
    <xf numFmtId="3" fontId="0" fillId="22" borderId="0" xfId="0" applyNumberFormat="1" applyFill="1"/>
    <xf numFmtId="164" fontId="0" fillId="9" borderId="2" xfId="0" applyNumberFormat="1" applyFill="1" applyBorder="1"/>
    <xf numFmtId="17" fontId="0" fillId="0" borderId="0" xfId="0" applyNumberFormat="1" applyFill="1"/>
    <xf numFmtId="14" fontId="0" fillId="0" borderId="12" xfId="0" applyNumberFormat="1" applyFill="1" applyBorder="1"/>
    <xf numFmtId="3" fontId="0" fillId="21" borderId="19" xfId="0" applyNumberFormat="1" applyFill="1" applyBorder="1"/>
    <xf numFmtId="0" fontId="0" fillId="19" borderId="0" xfId="0" applyFill="1" applyBorder="1"/>
    <xf numFmtId="3" fontId="0" fillId="9" borderId="2" xfId="0" applyNumberFormat="1" applyFill="1" applyBorder="1"/>
    <xf numFmtId="3" fontId="0" fillId="22" borderId="0" xfId="0" applyNumberFormat="1" applyFill="1" applyBorder="1"/>
    <xf numFmtId="3" fontId="0" fillId="20" borderId="0" xfId="0" applyNumberFormat="1" applyFill="1" applyBorder="1"/>
    <xf numFmtId="0" fontId="5" fillId="0" borderId="0" xfId="1"/>
    <xf numFmtId="0" fontId="4" fillId="0" borderId="0" xfId="0" applyFont="1"/>
    <xf numFmtId="3" fontId="0" fillId="2" borderId="0" xfId="0" applyNumberFormat="1" applyFill="1"/>
    <xf numFmtId="0" fontId="0" fillId="2" borderId="8" xfId="0" applyFill="1" applyBorder="1"/>
    <xf numFmtId="14" fontId="0" fillId="2" borderId="8" xfId="0" applyNumberFormat="1" applyFill="1" applyBorder="1"/>
    <xf numFmtId="3" fontId="0" fillId="6" borderId="0" xfId="0" applyNumberFormat="1" applyFill="1"/>
    <xf numFmtId="14" fontId="0" fillId="6" borderId="0" xfId="0" applyNumberFormat="1" applyFill="1"/>
    <xf numFmtId="3" fontId="0" fillId="6" borderId="0" xfId="0" applyNumberFormat="1" applyFill="1" applyBorder="1"/>
    <xf numFmtId="10" fontId="0" fillId="6" borderId="0" xfId="0" applyNumberFormat="1" applyFill="1"/>
    <xf numFmtId="14" fontId="0" fillId="6" borderId="8" xfId="0" applyNumberFormat="1" applyFill="1" applyBorder="1"/>
    <xf numFmtId="0" fontId="0" fillId="6" borderId="8" xfId="0" applyFill="1" applyBorder="1"/>
    <xf numFmtId="0" fontId="0" fillId="0" borderId="0" xfId="0" applyFont="1"/>
    <xf numFmtId="3" fontId="0" fillId="0" borderId="8" xfId="0" applyNumberFormat="1" applyFill="1" applyBorder="1"/>
    <xf numFmtId="0" fontId="0" fillId="0" borderId="8" xfId="0" applyFill="1" applyBorder="1"/>
    <xf numFmtId="3" fontId="0" fillId="6" borderId="8" xfId="0" applyNumberFormat="1" applyFill="1" applyBorder="1"/>
    <xf numFmtId="3" fontId="0" fillId="6" borderId="0" xfId="0" applyNumberFormat="1" applyFill="1" applyAlignment="1">
      <alignment horizontal="right"/>
    </xf>
    <xf numFmtId="3" fontId="0" fillId="6" borderId="8" xfId="0" applyNumberFormat="1" applyFill="1" applyBorder="1" applyAlignment="1">
      <alignment horizontal="right"/>
    </xf>
    <xf numFmtId="3" fontId="0" fillId="0" borderId="0" xfId="0" applyNumberFormat="1" applyAlignment="1">
      <alignment horizontal="right"/>
    </xf>
    <xf numFmtId="3" fontId="0" fillId="0" borderId="8" xfId="0" applyNumberFormat="1" applyBorder="1" applyAlignment="1">
      <alignment horizontal="right"/>
    </xf>
    <xf numFmtId="0" fontId="0" fillId="6" borderId="0" xfId="0" applyFont="1" applyFill="1"/>
    <xf numFmtId="3" fontId="0" fillId="6" borderId="0" xfId="0" applyNumberFormat="1" applyFont="1" applyFill="1" applyAlignment="1">
      <alignment horizontal="right"/>
    </xf>
    <xf numFmtId="3" fontId="0" fillId="0" borderId="12" xfId="0" applyNumberFormat="1" applyBorder="1"/>
    <xf numFmtId="14" fontId="0" fillId="2" borderId="0" xfId="0" applyNumberFormat="1" applyFill="1" applyBorder="1"/>
    <xf numFmtId="0" fontId="4" fillId="0" borderId="8" xfId="0" applyFont="1" applyBorder="1" applyAlignment="1">
      <alignment wrapText="1"/>
    </xf>
    <xf numFmtId="0" fontId="0" fillId="0" borderId="0" xfId="0" applyAlignment="1">
      <alignment wrapText="1"/>
    </xf>
    <xf numFmtId="0" fontId="0" fillId="0" borderId="8" xfId="0" applyBorder="1" applyAlignment="1">
      <alignment wrapText="1"/>
    </xf>
    <xf numFmtId="0" fontId="4" fillId="0" borderId="1" xfId="0" applyFont="1" applyBorder="1" applyAlignment="1">
      <alignment wrapText="1"/>
    </xf>
    <xf numFmtId="0" fontId="4" fillId="0" borderId="7" xfId="0" applyFont="1" applyBorder="1" applyAlignment="1">
      <alignment wrapText="1"/>
    </xf>
    <xf numFmtId="0" fontId="4" fillId="0" borderId="2" xfId="0" applyFont="1" applyBorder="1" applyAlignment="1">
      <alignment wrapText="1"/>
    </xf>
    <xf numFmtId="14" fontId="0" fillId="0" borderId="3" xfId="0" applyNumberFormat="1" applyBorder="1"/>
    <xf numFmtId="0" fontId="4" fillId="0" borderId="0" xfId="0" applyFont="1" applyBorder="1"/>
    <xf numFmtId="0" fontId="4" fillId="0" borderId="3" xfId="0" applyFont="1" applyBorder="1"/>
    <xf numFmtId="165" fontId="0" fillId="6" borderId="0" xfId="0" applyNumberFormat="1" applyFill="1"/>
    <xf numFmtId="170" fontId="0" fillId="2" borderId="0" xfId="0" applyNumberFormat="1" applyFill="1"/>
    <xf numFmtId="169" fontId="0" fillId="6" borderId="0" xfId="0" applyNumberFormat="1" applyFill="1"/>
    <xf numFmtId="1" fontId="0" fillId="2" borderId="0" xfId="0" applyNumberFormat="1" applyFill="1"/>
    <xf numFmtId="0" fontId="0" fillId="6" borderId="0" xfId="0" applyFill="1" applyAlignment="1">
      <alignment horizontal="left" indent="1"/>
    </xf>
    <xf numFmtId="0" fontId="4" fillId="0" borderId="0"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0" fillId="0" borderId="0" xfId="0" applyFont="1" applyBorder="1" applyAlignment="1">
      <alignment wrapText="1"/>
    </xf>
    <xf numFmtId="0" fontId="0" fillId="0" borderId="0" xfId="0" applyAlignment="1"/>
    <xf numFmtId="17" fontId="0" fillId="2" borderId="0" xfId="0" applyNumberFormat="1" applyFill="1"/>
    <xf numFmtId="3" fontId="0" fillId="0" borderId="14" xfId="0" applyNumberFormat="1" applyBorder="1" applyAlignment="1">
      <alignment horizontal="right"/>
    </xf>
    <xf numFmtId="14" fontId="0" fillId="2" borderId="14" xfId="0" applyNumberFormat="1" applyFill="1" applyBorder="1"/>
    <xf numFmtId="10" fontId="0" fillId="0" borderId="14" xfId="0" applyNumberFormat="1" applyBorder="1"/>
    <xf numFmtId="10" fontId="0" fillId="0" borderId="0" xfId="0" applyNumberFormat="1" applyFill="1"/>
    <xf numFmtId="165" fontId="0" fillId="0" borderId="0" xfId="0" applyNumberFormat="1" applyFill="1"/>
    <xf numFmtId="167" fontId="0" fillId="6" borderId="0" xfId="0" applyNumberFormat="1" applyFill="1"/>
    <xf numFmtId="9" fontId="0" fillId="0" borderId="0" xfId="0" applyNumberFormat="1" applyFill="1"/>
    <xf numFmtId="9" fontId="0" fillId="0" borderId="0" xfId="0" applyNumberFormat="1" applyFont="1" applyBorder="1" applyAlignment="1">
      <alignment wrapText="1"/>
    </xf>
    <xf numFmtId="167" fontId="0" fillId="0" borderId="14" xfId="0" applyNumberFormat="1" applyBorder="1"/>
    <xf numFmtId="167" fontId="0" fillId="0" borderId="0" xfId="0" applyNumberFormat="1" applyFill="1"/>
    <xf numFmtId="167" fontId="0" fillId="0" borderId="8" xfId="0" applyNumberFormat="1" applyFill="1" applyBorder="1"/>
    <xf numFmtId="14" fontId="0" fillId="8" borderId="21"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0" xfId="0" applyAlignment="1">
      <alignment vertical="center" wrapText="1"/>
    </xf>
    <xf numFmtId="0" fontId="5" fillId="0" borderId="0" xfId="1" applyFill="1"/>
    <xf numFmtId="3" fontId="9" fillId="3" borderId="14" xfId="0" applyNumberFormat="1" applyFont="1" applyFill="1" applyBorder="1"/>
    <xf numFmtId="170" fontId="9" fillId="3" borderId="14" xfId="0" applyNumberFormat="1" applyFont="1" applyFill="1" applyBorder="1"/>
    <xf numFmtId="170" fontId="9" fillId="18" borderId="14" xfId="0" applyNumberFormat="1" applyFont="1" applyFill="1" applyBorder="1"/>
    <xf numFmtId="3" fontId="9" fillId="8" borderId="14" xfId="0" applyNumberFormat="1" applyFont="1" applyFill="1" applyBorder="1"/>
    <xf numFmtId="3" fontId="9" fillId="2" borderId="14" xfId="0" applyNumberFormat="1" applyFont="1" applyFill="1" applyBorder="1"/>
    <xf numFmtId="0" fontId="0" fillId="0" borderId="0" xfId="0" quotePrefix="1"/>
    <xf numFmtId="171" fontId="9" fillId="0" borderId="18" xfId="0" applyNumberFormat="1" applyFont="1" applyFill="1" applyBorder="1"/>
    <xf numFmtId="9" fontId="9" fillId="0" borderId="23" xfId="0" applyNumberFormat="1" applyFont="1" applyFill="1" applyBorder="1"/>
    <xf numFmtId="171" fontId="9" fillId="0" borderId="23" xfId="0" applyNumberFormat="1" applyFont="1" applyFill="1" applyBorder="1"/>
    <xf numFmtId="3" fontId="9" fillId="0" borderId="23" xfId="0" applyNumberFormat="1" applyFont="1" applyFill="1" applyBorder="1"/>
    <xf numFmtId="14" fontId="0" fillId="0" borderId="13" xfId="0" applyNumberFormat="1" applyFill="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30">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E8D9FF"/>
      <color rgb="FFD5B9FF"/>
      <color rgb="FFC39BFF"/>
      <color rgb="FFFFE7FF"/>
      <color rgb="FFFFCCFF"/>
      <color rgb="FFC39BE1"/>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43970.595070370371</c:v>
                </c:pt>
                <c:pt idx="1">
                  <c:v>43973.595070370371</c:v>
                </c:pt>
                <c:pt idx="2">
                  <c:v>43976.595070370371</c:v>
                </c:pt>
                <c:pt idx="3">
                  <c:v>43979.595070370371</c:v>
                </c:pt>
                <c:pt idx="4">
                  <c:v>43982.595070370371</c:v>
                </c:pt>
                <c:pt idx="5">
                  <c:v>43985.595070370371</c:v>
                </c:pt>
                <c:pt idx="6">
                  <c:v>43988.595070370371</c:v>
                </c:pt>
                <c:pt idx="7">
                  <c:v>43991.595070370371</c:v>
                </c:pt>
                <c:pt idx="8">
                  <c:v>43994.595070370371</c:v>
                </c:pt>
                <c:pt idx="9">
                  <c:v>43997.595070370371</c:v>
                </c:pt>
                <c:pt idx="10">
                  <c:v>44000.595070370371</c:v>
                </c:pt>
                <c:pt idx="11">
                  <c:v>44003.595070370371</c:v>
                </c:pt>
                <c:pt idx="12">
                  <c:v>44006.595070370371</c:v>
                </c:pt>
                <c:pt idx="13">
                  <c:v>44009.595070370371</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43970.595070370371</c:v>
                </c:pt>
                <c:pt idx="1">
                  <c:v>43973.595070370371</c:v>
                </c:pt>
                <c:pt idx="2">
                  <c:v>43976.595070370371</c:v>
                </c:pt>
                <c:pt idx="3">
                  <c:v>43979.595070370371</c:v>
                </c:pt>
                <c:pt idx="4">
                  <c:v>43982.595070370371</c:v>
                </c:pt>
                <c:pt idx="5">
                  <c:v>43985.595070370371</c:v>
                </c:pt>
                <c:pt idx="6">
                  <c:v>43988.595070370371</c:v>
                </c:pt>
                <c:pt idx="7">
                  <c:v>43991.595070370371</c:v>
                </c:pt>
                <c:pt idx="8">
                  <c:v>43994.595070370371</c:v>
                </c:pt>
                <c:pt idx="9">
                  <c:v>43997.595070370371</c:v>
                </c:pt>
                <c:pt idx="10">
                  <c:v>44000.595070370371</c:v>
                </c:pt>
                <c:pt idx="11">
                  <c:v>44003.595070370371</c:v>
                </c:pt>
                <c:pt idx="12">
                  <c:v>44006.595070370371</c:v>
                </c:pt>
                <c:pt idx="13">
                  <c:v>44009.595070370371</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51.626591230551625</c:v>
                </c:pt>
                <c:pt idx="1">
                  <c:v>103.25318246110325</c:v>
                </c:pt>
                <c:pt idx="2">
                  <c:v>206.5063649222065</c:v>
                </c:pt>
                <c:pt idx="3">
                  <c:v>413.012729844413</c:v>
                </c:pt>
                <c:pt idx="4">
                  <c:v>826.025459688826</c:v>
                </c:pt>
                <c:pt idx="5">
                  <c:v>1652.050919377652</c:v>
                </c:pt>
                <c:pt idx="6">
                  <c:v>3304.101838755304</c:v>
                </c:pt>
                <c:pt idx="7">
                  <c:v>6608.203677510608</c:v>
                </c:pt>
                <c:pt idx="8">
                  <c:v>13216.407355021216</c:v>
                </c:pt>
                <c:pt idx="9">
                  <c:v>26432.814710042432</c:v>
                </c:pt>
                <c:pt idx="10">
                  <c:v>52865.629420084864</c:v>
                </c:pt>
                <c:pt idx="11">
                  <c:v>105731.25884016973</c:v>
                </c:pt>
                <c:pt idx="12">
                  <c:v>211462.51768033946</c:v>
                </c:pt>
                <c:pt idx="13">
                  <c:v>422925.03536067891</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43970.595070370371</c:v>
                </c:pt>
                <c:pt idx="1">
                  <c:v>43973.595070370371</c:v>
                </c:pt>
                <c:pt idx="2">
                  <c:v>43976.595070370371</c:v>
                </c:pt>
                <c:pt idx="3">
                  <c:v>43979.595070370371</c:v>
                </c:pt>
                <c:pt idx="4">
                  <c:v>43982.595070370371</c:v>
                </c:pt>
                <c:pt idx="5">
                  <c:v>43985.595070370371</c:v>
                </c:pt>
                <c:pt idx="6">
                  <c:v>43988.595070370371</c:v>
                </c:pt>
                <c:pt idx="7">
                  <c:v>43991.595070370371</c:v>
                </c:pt>
                <c:pt idx="8">
                  <c:v>43994.595070370371</c:v>
                </c:pt>
                <c:pt idx="9">
                  <c:v>43997.595070370371</c:v>
                </c:pt>
                <c:pt idx="10">
                  <c:v>44000.595070370371</c:v>
                </c:pt>
                <c:pt idx="11">
                  <c:v>44003.595070370371</c:v>
                </c:pt>
                <c:pt idx="12">
                  <c:v>44006.595070370371</c:v>
                </c:pt>
                <c:pt idx="13">
                  <c:v>44009.595070370371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19.801980198019805</c:v>
                </c:pt>
                <c:pt idx="4">
                  <c:v>39.603960396039611</c:v>
                </c:pt>
                <c:pt idx="5">
                  <c:v>79.207920792079221</c:v>
                </c:pt>
                <c:pt idx="6">
                  <c:v>158.41584158415844</c:v>
                </c:pt>
                <c:pt idx="7">
                  <c:v>316.83168316831689</c:v>
                </c:pt>
                <c:pt idx="8">
                  <c:v>633.66336633663377</c:v>
                </c:pt>
                <c:pt idx="9">
                  <c:v>1267.3267326732675</c:v>
                </c:pt>
                <c:pt idx="10">
                  <c:v>2534.6534653465351</c:v>
                </c:pt>
                <c:pt idx="11">
                  <c:v>5069.3069306930702</c:v>
                </c:pt>
                <c:pt idx="12">
                  <c:v>10138.61386138614</c:v>
                </c:pt>
                <c:pt idx="13">
                  <c:v>20277.227722772281</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Projections!$P$317:$BK$317</c15:sqref>
                  </c15:fullRef>
                </c:ext>
              </c:extLst>
              <c:f>Projections!$P$317:$AN$317</c:f>
              <c:numCache>
                <c:formatCode>m/d/yyyy</c:formatCode>
                <c:ptCount val="25"/>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numCache>
            </c:numRef>
          </c:cat>
          <c:val>
            <c:numRef>
              <c:extLst>
                <c:ext xmlns:c15="http://schemas.microsoft.com/office/drawing/2012/chart" uri="{02D57815-91ED-43cb-92C2-25804820EDAC}">
                  <c15:fullRef>
                    <c15:sqref>Projections!$P$318:$BK$318</c15:sqref>
                  </c15:fullRef>
                </c:ext>
              </c:extLst>
              <c:f>Projections!$P$318:$AN$318</c:f>
              <c:numCache>
                <c:formatCode>#,##0_ ;[Red]\-#,##0\ </c:formatCode>
                <c:ptCount val="25"/>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pt idx="23">
                  <c:v>2457600</c:v>
                </c:pt>
                <c:pt idx="24">
                  <c:v>2867200</c:v>
                </c:pt>
              </c:numCache>
            </c:numRef>
          </c:val>
          <c:smooth val="0"/>
          <c:extLst>
            <c:ext xmlns:c16="http://schemas.microsoft.com/office/drawing/2014/chart" uri="{C3380CC4-5D6E-409C-BE32-E72D297353CC}">
              <c16:uniqueId val="{00000004-8BCC-427B-903C-670C749E04E9}"/>
            </c:ext>
          </c:extLst>
        </c:ser>
        <c:ser>
          <c:idx val="1"/>
          <c:order val="1"/>
          <c:tx>
            <c:strRef>
              <c:f>Projections!$A$342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Projections!$P$317:$BK$317</c15:sqref>
                  </c15:fullRef>
                </c:ext>
              </c:extLst>
              <c:f>Projections!$P$317:$AN$317</c:f>
              <c:numCache>
                <c:formatCode>m/d/yyyy</c:formatCode>
                <c:ptCount val="25"/>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numCache>
            </c:numRef>
          </c:cat>
          <c:val>
            <c:numRef>
              <c:extLst>
                <c:ext xmlns:c15="http://schemas.microsoft.com/office/drawing/2012/chart" uri="{02D57815-91ED-43cb-92C2-25804820EDAC}">
                  <c15:fullRef>
                    <c15:sqref>Projections!$P$342:$BK$342</c15:sqref>
                  </c15:fullRef>
                </c:ext>
              </c:extLst>
              <c:f>Projections!$P$342:$AN$342</c:f>
              <c:numCache>
                <c:formatCode>General</c:formatCode>
                <c:ptCount val="25"/>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2045549</c:v>
                </c:pt>
                <c:pt idx="23" formatCode="#,##0">
                  <c:v>2462554</c:v>
                </c:pt>
                <c:pt idx="24" formatCode="#,##0">
                  <c:v>2867200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Projections!$P$317:$BK$317</c15:sqref>
                  </c15:fullRef>
                </c:ext>
              </c:extLst>
              <c:f>Projections!$P$317:$AN$317</c:f>
              <c:numCache>
                <c:formatCode>m/d/yyyy</c:formatCode>
                <c:ptCount val="25"/>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numCache>
            </c:numRef>
          </c:cat>
          <c:val>
            <c:numRef>
              <c:extLst>
                <c:ext xmlns:c15="http://schemas.microsoft.com/office/drawing/2012/chart" uri="{02D57815-91ED-43cb-92C2-25804820EDAC}">
                  <c15:fullRef>
                    <c15:sqref>Projections!$P$332:$BK$332</c15:sqref>
                  </c15:fullRef>
                </c:ext>
              </c:extLst>
              <c:f>Projections!$P$332:$AN$332</c:f>
              <c:numCache>
                <c:formatCode>#,##0_ ;[Red]\-#,##0\ </c:formatCode>
                <c:ptCount val="25"/>
                <c:pt idx="0">
                  <c:v>1.578125</c:v>
                </c:pt>
                <c:pt idx="1">
                  <c:v>3.15625</c:v>
                </c:pt>
                <c:pt idx="2">
                  <c:v>6.3125</c:v>
                </c:pt>
                <c:pt idx="3">
                  <c:v>12.625</c:v>
                </c:pt>
                <c:pt idx="4">
                  <c:v>25.25</c:v>
                </c:pt>
                <c:pt idx="5">
                  <c:v>50.5</c:v>
                </c:pt>
                <c:pt idx="6">
                  <c:v>101</c:v>
                </c:pt>
                <c:pt idx="7">
                  <c:v>202</c:v>
                </c:pt>
                <c:pt idx="8">
                  <c:v>404</c:v>
                </c:pt>
                <c:pt idx="9">
                  <c:v>808</c:v>
                </c:pt>
                <c:pt idx="10">
                  <c:v>1616</c:v>
                </c:pt>
                <c:pt idx="11">
                  <c:v>3232</c:v>
                </c:pt>
                <c:pt idx="12">
                  <c:v>6464</c:v>
                </c:pt>
                <c:pt idx="13">
                  <c:v>12928</c:v>
                </c:pt>
                <c:pt idx="14">
                  <c:v>25856</c:v>
                </c:pt>
                <c:pt idx="15">
                  <c:v>32320.000000000004</c:v>
                </c:pt>
                <c:pt idx="16">
                  <c:v>38784</c:v>
                </c:pt>
                <c:pt idx="17">
                  <c:v>45248</c:v>
                </c:pt>
                <c:pt idx="18">
                  <c:v>51712</c:v>
                </c:pt>
                <c:pt idx="19">
                  <c:v>66191.360000000001</c:v>
                </c:pt>
                <c:pt idx="20">
                  <c:v>77568</c:v>
                </c:pt>
                <c:pt idx="21">
                  <c:v>90496</c:v>
                </c:pt>
                <c:pt idx="22">
                  <c:v>103424</c:v>
                </c:pt>
                <c:pt idx="23">
                  <c:v>124108.8</c:v>
                </c:pt>
                <c:pt idx="24">
                  <c:v>144793.60000000001</c:v>
                </c:pt>
              </c:numCache>
            </c:numRef>
          </c:val>
          <c:smooth val="0"/>
          <c:extLst>
            <c:ext xmlns:c16="http://schemas.microsoft.com/office/drawing/2014/chart" uri="{C3380CC4-5D6E-409C-BE32-E72D297353CC}">
              <c16:uniqueId val="{00000000-50BE-40C1-B679-81AF0BCE3FCD}"/>
            </c:ext>
          </c:extLst>
        </c:ser>
        <c:ser>
          <c:idx val="1"/>
          <c:order val="1"/>
          <c:tx>
            <c:strRef>
              <c:f>Projections!$A$346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Projections!$P$317:$BK$317</c15:sqref>
                  </c15:fullRef>
                </c:ext>
              </c:extLst>
              <c:f>Projections!$P$317:$AN$317</c:f>
              <c:numCache>
                <c:formatCode>m/d/yyyy</c:formatCode>
                <c:ptCount val="25"/>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numCache>
            </c:numRef>
          </c:cat>
          <c:val>
            <c:numRef>
              <c:extLst>
                <c:ext xmlns:c15="http://schemas.microsoft.com/office/drawing/2012/chart" uri="{02D57815-91ED-43cb-92C2-25804820EDAC}">
                  <c15:fullRef>
                    <c15:sqref>Projections!$P$346:$BK$346</c15:sqref>
                  </c15:fullRef>
                </c:ext>
              </c:extLst>
              <c:f>Projections!$P$346:$AN$346</c:f>
              <c:numCache>
                <c:formatCode>General</c:formatCode>
                <c:ptCount val="25"/>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pt idx="22" formatCode="#,##0">
                  <c:v>114148</c:v>
                </c:pt>
                <c:pt idx="23" formatCode="#,##0">
                  <c:v>124281</c:v>
                </c:pt>
                <c:pt idx="24" formatCode="#,##0">
                  <c:v>128152</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Projections!$P$328:$BK$328</c15:sqref>
                  </c15:fullRef>
                </c:ext>
              </c:extLst>
              <c:f>Projections!$P$328:$AV$328</c:f>
              <c:numCache>
                <c:formatCode>#,##0_ ;[Red]\-#,##0\ </c:formatCode>
                <c:ptCount val="33"/>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65577.889617991445</c:v>
                </c:pt>
                <c:pt idx="15">
                  <c:v>155906.69596672634</c:v>
                </c:pt>
                <c:pt idx="16">
                  <c:v>111083.1714562041</c:v>
                </c:pt>
                <c:pt idx="17">
                  <c:v>132795.09456567839</c:v>
                </c:pt>
                <c:pt idx="18">
                  <c:v>155204.27961369391</c:v>
                </c:pt>
                <c:pt idx="19">
                  <c:v>307214.83534303075</c:v>
                </c:pt>
                <c:pt idx="20">
                  <c:v>366581.47241659305</c:v>
                </c:pt>
                <c:pt idx="21">
                  <c:v>462110.35835268447</c:v>
                </c:pt>
                <c:pt idx="22">
                  <c:v>417421.75695197133</c:v>
                </c:pt>
                <c:pt idx="23">
                  <c:v>776601.23678178014</c:v>
                </c:pt>
                <c:pt idx="24">
                  <c:v>858324.51411687606</c:v>
                </c:pt>
                <c:pt idx="25">
                  <c:v>932778.65398819756</c:v>
                </c:pt>
                <c:pt idx="26">
                  <c:v>1007486.2274340492</c:v>
                </c:pt>
                <c:pt idx="27">
                  <c:v>1081162.9236269523</c:v>
                </c:pt>
                <c:pt idx="28">
                  <c:v>2988353.8042221214</c:v>
                </c:pt>
                <c:pt idx="29">
                  <c:v>2980642.3503831089</c:v>
                </c:pt>
                <c:pt idx="30">
                  <c:v>3016801.6222042437</c:v>
                </c:pt>
                <c:pt idx="31">
                  <c:v>3080280.2359318747</c:v>
                </c:pt>
                <c:pt idx="32">
                  <c:v>3161824.1117100432</c:v>
                </c:pt>
              </c:numCache>
            </c:numRef>
          </c:val>
          <c:smooth val="0"/>
          <c:extLst>
            <c:ext xmlns:c16="http://schemas.microsoft.com/office/drawing/2014/chart" uri="{C3380CC4-5D6E-409C-BE32-E72D297353CC}">
              <c16:uniqueId val="{00000000-A3C2-4B4C-996C-CDB1A252886F}"/>
            </c:ext>
          </c:extLst>
        </c:ser>
        <c:ser>
          <c:idx val="2"/>
          <c:order val="1"/>
          <c:tx>
            <c:strRef>
              <c:f>Projections!$A$329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Projections!$P$329:$BK$329</c15:sqref>
                  </c15:fullRef>
                </c:ext>
              </c:extLst>
              <c:f>Projections!$P$329:$AV$329</c:f>
              <c:numCache>
                <c:formatCode>#,##0_ ;[Red]\-#,##0\ </c:formatCode>
                <c:ptCount val="33"/>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60011.596753736201</c:v>
                </c:pt>
                <c:pt idx="15">
                  <c:v>142124.36171205499</c:v>
                </c:pt>
                <c:pt idx="16">
                  <c:v>89737.506502580392</c:v>
                </c:pt>
                <c:pt idx="17">
                  <c:v>82168.218806941761</c:v>
                </c:pt>
                <c:pt idx="18">
                  <c:v>121077.37661798642</c:v>
                </c:pt>
                <c:pt idx="19">
                  <c:v>262773.41927126469</c:v>
                </c:pt>
                <c:pt idx="20">
                  <c:v>177691.1939028544</c:v>
                </c:pt>
                <c:pt idx="21">
                  <c:v>192853.94336541693</c:v>
                </c:pt>
                <c:pt idx="22">
                  <c:v>253344.27000725653</c:v>
                </c:pt>
                <c:pt idx="23">
                  <c:v>426999.78428715601</c:v>
                </c:pt>
                <c:pt idx="24">
                  <c:v>239190.72749417357</c:v>
                </c:pt>
                <c:pt idx="25">
                  <c:v>586907.27146781888</c:v>
                </c:pt>
                <c:pt idx="26">
                  <c:v>604240.6700002721</c:v>
                </c:pt>
                <c:pt idx="27">
                  <c:v>623640.49564268894</c:v>
                </c:pt>
                <c:pt idx="28">
                  <c:v>2244323.9956615889</c:v>
                </c:pt>
                <c:pt idx="29">
                  <c:v>1377097.4482461184</c:v>
                </c:pt>
                <c:pt idx="30">
                  <c:v>1351793.9528094539</c:v>
                </c:pt>
                <c:pt idx="31">
                  <c:v>1342206.0075092206</c:v>
                </c:pt>
                <c:pt idx="32">
                  <c:v>1343158.8631907988</c:v>
                </c:pt>
              </c:numCache>
            </c:numRef>
          </c:val>
          <c:smooth val="0"/>
          <c:extLst>
            <c:ext xmlns:c16="http://schemas.microsoft.com/office/drawing/2014/chart" uri="{C3380CC4-5D6E-409C-BE32-E72D297353CC}">
              <c16:uniqueId val="{00000001-A3C2-4B4C-996C-CDB1A252886F}"/>
            </c:ext>
          </c:extLst>
        </c:ser>
        <c:ser>
          <c:idx val="0"/>
          <c:order val="2"/>
          <c:tx>
            <c:strRef>
              <c:f>Projections!$A$330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Projections!$P$330:$BK$330</c15:sqref>
                  </c15:fullRef>
                </c:ext>
              </c:extLst>
              <c:f>Projections!$P$330:$AV$330</c:f>
              <c:numCache>
                <c:formatCode>#,##0_ ;[Red]\-#,##0\ </c:formatCode>
                <c:ptCount val="33"/>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123.70535714285711</c:v>
                </c:pt>
                <c:pt idx="13">
                  <c:v>515.59097869702066</c:v>
                </c:pt>
                <c:pt idx="14">
                  <c:v>5570.8928571428578</c:v>
                </c:pt>
                <c:pt idx="15">
                  <c:v>13823.025678649645</c:v>
                </c:pt>
                <c:pt idx="16">
                  <c:v>21428.939201378067</c:v>
                </c:pt>
                <c:pt idx="17">
                  <c:v>50945.755168707459</c:v>
                </c:pt>
                <c:pt idx="18">
                  <c:v>35451.144071431758</c:v>
                </c:pt>
                <c:pt idx="19">
                  <c:v>44728.891495247604</c:v>
                </c:pt>
                <c:pt idx="20">
                  <c:v>144907.46798650004</c:v>
                </c:pt>
                <c:pt idx="21">
                  <c:v>181438.18611984747</c:v>
                </c:pt>
                <c:pt idx="22">
                  <c:v>173150.71064765757</c:v>
                </c:pt>
                <c:pt idx="23">
                  <c:v>100993.5051653088</c:v>
                </c:pt>
                <c:pt idx="24">
                  <c:v>120289.85912445208</c:v>
                </c:pt>
                <c:pt idx="25">
                  <c:v>138853.90524958592</c:v>
                </c:pt>
                <c:pt idx="26">
                  <c:v>157573.65804915063</c:v>
                </c:pt>
                <c:pt idx="27">
                  <c:v>176227.45834120753</c:v>
                </c:pt>
                <c:pt idx="28">
                  <c:v>504467.2356295627</c:v>
                </c:pt>
                <c:pt idx="29">
                  <c:v>532293.27737563313</c:v>
                </c:pt>
                <c:pt idx="30">
                  <c:v>562560.37901915691</c:v>
                </c:pt>
                <c:pt idx="31">
                  <c:v>594442.6733543023</c:v>
                </c:pt>
                <c:pt idx="32">
                  <c:v>627439.75900956581</c:v>
                </c:pt>
              </c:numCache>
            </c:numRef>
          </c:val>
          <c:smooth val="0"/>
          <c:extLst>
            <c:ext xmlns:c16="http://schemas.microsoft.com/office/drawing/2014/chart" uri="{C3380CC4-5D6E-409C-BE32-E72D297353CC}">
              <c16:uniqueId val="{00000002-A3C2-4B4C-996C-CDB1A252886F}"/>
            </c:ext>
          </c:extLst>
        </c:ser>
        <c:ser>
          <c:idx val="4"/>
          <c:order val="3"/>
          <c:tx>
            <c:strRef>
              <c:f>Projections!$A$331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Projections!$P$331:$BK$331</c15:sqref>
                  </c15:fullRef>
                </c:ext>
              </c:extLst>
              <c:f>Projections!$P$331:$AV$331</c:f>
              <c:numCache>
                <c:formatCode>#,##0_ ;[Red]\-#,##0\ </c:formatCode>
                <c:ptCount val="33"/>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121.95297559059789</c:v>
                </c:pt>
                <c:pt idx="13">
                  <c:v>512.48161226603429</c:v>
                </c:pt>
                <c:pt idx="14">
                  <c:v>5557.792864255247</c:v>
                </c:pt>
                <c:pt idx="15">
                  <c:v>13764.945321506788</c:v>
                </c:pt>
                <c:pt idx="16">
                  <c:v>21278.039953623709</c:v>
                </c:pt>
                <c:pt idx="17">
                  <c:v>50430.164190010437</c:v>
                </c:pt>
                <c:pt idx="18">
                  <c:v>33551.402995707496</c:v>
                </c:pt>
                <c:pt idx="19">
                  <c:v>31563.302331317282</c:v>
                </c:pt>
                <c:pt idx="20">
                  <c:v>105867.17701365154</c:v>
                </c:pt>
                <c:pt idx="21">
                  <c:v>125567.8816945006</c:v>
                </c:pt>
                <c:pt idx="22">
                  <c:v>16518.266314172652</c:v>
                </c:pt>
                <c:pt idx="23">
                  <c:v>17852.036103622348</c:v>
                </c:pt>
                <c:pt idx="24">
                  <c:v>0</c:v>
                </c:pt>
                <c:pt idx="25">
                  <c:v>0</c:v>
                </c:pt>
                <c:pt idx="26">
                  <c:v>0</c:v>
                </c:pt>
                <c:pt idx="27">
                  <c:v>0</c:v>
                </c:pt>
                <c:pt idx="28">
                  <c:v>178220.76324596221</c:v>
                </c:pt>
                <c:pt idx="29">
                  <c:v>0</c:v>
                </c:pt>
                <c:pt idx="30">
                  <c:v>0</c:v>
                </c:pt>
                <c:pt idx="31">
                  <c:v>0</c:v>
                </c:pt>
                <c:pt idx="32">
                  <c:v>0</c:v>
                </c:pt>
              </c:numCache>
            </c:numRef>
          </c:val>
          <c:smooth val="0"/>
          <c:extLst>
            <c:ext xmlns:c16="http://schemas.microsoft.com/office/drawing/2014/chart" uri="{C3380CC4-5D6E-409C-BE32-E72D297353CC}">
              <c16:uniqueId val="{00000003-A3C2-4B4C-996C-CDB1A252886F}"/>
            </c:ext>
          </c:extLst>
        </c:ser>
        <c:ser>
          <c:idx val="1"/>
          <c:order val="4"/>
          <c:tx>
            <c:strRef>
              <c:f>Projections!$A$332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Projections!$P$332:$BK$332</c15:sqref>
                  </c15:fullRef>
                </c:ext>
              </c:extLst>
              <c:f>Projections!$P$332:$AV$332</c:f>
              <c:numCache>
                <c:formatCode>#,##0_ ;[Red]\-#,##0\ </c:formatCode>
                <c:ptCount val="33"/>
                <c:pt idx="0">
                  <c:v>1.578125</c:v>
                </c:pt>
                <c:pt idx="1">
                  <c:v>3.15625</c:v>
                </c:pt>
                <c:pt idx="2">
                  <c:v>6.3125</c:v>
                </c:pt>
                <c:pt idx="3">
                  <c:v>12.625</c:v>
                </c:pt>
                <c:pt idx="4">
                  <c:v>25.25</c:v>
                </c:pt>
                <c:pt idx="5">
                  <c:v>50.5</c:v>
                </c:pt>
                <c:pt idx="6">
                  <c:v>101</c:v>
                </c:pt>
                <c:pt idx="7">
                  <c:v>202</c:v>
                </c:pt>
                <c:pt idx="8">
                  <c:v>404</c:v>
                </c:pt>
                <c:pt idx="9">
                  <c:v>808</c:v>
                </c:pt>
                <c:pt idx="10">
                  <c:v>1616</c:v>
                </c:pt>
                <c:pt idx="11">
                  <c:v>3232</c:v>
                </c:pt>
                <c:pt idx="12">
                  <c:v>6464</c:v>
                </c:pt>
                <c:pt idx="13">
                  <c:v>12928</c:v>
                </c:pt>
                <c:pt idx="14">
                  <c:v>25856</c:v>
                </c:pt>
                <c:pt idx="15">
                  <c:v>32320.000000000004</c:v>
                </c:pt>
                <c:pt idx="16">
                  <c:v>38784</c:v>
                </c:pt>
                <c:pt idx="17">
                  <c:v>45248</c:v>
                </c:pt>
                <c:pt idx="18">
                  <c:v>51712</c:v>
                </c:pt>
                <c:pt idx="19">
                  <c:v>66191.360000000001</c:v>
                </c:pt>
                <c:pt idx="20">
                  <c:v>77568</c:v>
                </c:pt>
                <c:pt idx="21">
                  <c:v>90496</c:v>
                </c:pt>
                <c:pt idx="22">
                  <c:v>103424</c:v>
                </c:pt>
                <c:pt idx="23">
                  <c:v>124108.8</c:v>
                </c:pt>
                <c:pt idx="24">
                  <c:v>144793.60000000001</c:v>
                </c:pt>
                <c:pt idx="25">
                  <c:v>165478.40000000002</c:v>
                </c:pt>
                <c:pt idx="26">
                  <c:v>186163.20000000001</c:v>
                </c:pt>
                <c:pt idx="27">
                  <c:v>206848</c:v>
                </c:pt>
                <c:pt idx="28">
                  <c:v>248217.60000000001</c:v>
                </c:pt>
                <c:pt idx="29">
                  <c:v>289587.20000000001</c:v>
                </c:pt>
                <c:pt idx="30">
                  <c:v>330956.80000000005</c:v>
                </c:pt>
                <c:pt idx="31">
                  <c:v>372326.40000000002</c:v>
                </c:pt>
                <c:pt idx="32">
                  <c:v>413696</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Projections!$A$350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Projections!$P$350:$BK$350</c15:sqref>
                  </c15:fullRef>
                </c:ext>
              </c:extLst>
              <c:f>Projections!$P$350:$AV$350</c:f>
              <c:numCache>
                <c:formatCode>#,##0</c:formatCode>
                <c:ptCount val="33"/>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numCache>
            </c:numRef>
          </c:val>
          <c:smooth val="0"/>
          <c:extLst>
            <c:ext xmlns:c16="http://schemas.microsoft.com/office/drawing/2014/chart" uri="{C3380CC4-5D6E-409C-BE32-E72D297353CC}">
              <c16:uniqueId val="{00000000-7972-43AB-83E8-C2C99B4277B0}"/>
            </c:ext>
          </c:extLst>
        </c:ser>
        <c:ser>
          <c:idx val="2"/>
          <c:order val="1"/>
          <c:tx>
            <c:strRef>
              <c:f>Projections!$A$352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Projections!$P$352:$BK$352</c15:sqref>
                  </c15:fullRef>
                </c:ext>
              </c:extLst>
              <c:f>Projections!$P$352:$AV$352</c:f>
              <c:numCache>
                <c:formatCode>#,##0</c:formatCode>
                <c:ptCount val="33"/>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pt idx="28">
                  <c:v>524017.91793585377</c:v>
                </c:pt>
                <c:pt idx="29">
                  <c:v>611354.23759182938</c:v>
                </c:pt>
                <c:pt idx="30">
                  <c:v>698690.55724780506</c:v>
                </c:pt>
                <c:pt idx="31">
                  <c:v>786026.87690378062</c:v>
                </c:pt>
                <c:pt idx="32">
                  <c:v>873363.1965597563</c:v>
                </c:pt>
              </c:numCache>
            </c:numRef>
          </c:val>
          <c:smooth val="0"/>
          <c:extLst>
            <c:ext xmlns:c16="http://schemas.microsoft.com/office/drawing/2014/chart" uri="{C3380CC4-5D6E-409C-BE32-E72D297353CC}">
              <c16:uniqueId val="{00000001-7972-43AB-83E8-C2C99B4277B0}"/>
            </c:ext>
          </c:extLst>
        </c:ser>
        <c:ser>
          <c:idx val="4"/>
          <c:order val="2"/>
          <c:tx>
            <c:strRef>
              <c:f>Projections!$A$354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Projections!$P$354:$BK$354</c15:sqref>
                  </c15:fullRef>
                </c:ext>
              </c:extLst>
              <c:f>Projections!$P$354:$AV$354</c:f>
              <c:numCache>
                <c:formatCode>#,##0</c:formatCode>
                <c:ptCount val="33"/>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pt idx="28">
                  <c:v>822576.02580182755</c:v>
                </c:pt>
                <c:pt idx="29">
                  <c:v>959672.03010213212</c:v>
                </c:pt>
                <c:pt idx="30">
                  <c:v>1096768.0344024368</c:v>
                </c:pt>
                <c:pt idx="31">
                  <c:v>1233864.0387027413</c:v>
                </c:pt>
                <c:pt idx="32">
                  <c:v>1370960.043003046</c:v>
                </c:pt>
              </c:numCache>
            </c:numRef>
          </c:val>
          <c:smooth val="0"/>
          <c:extLst>
            <c:ext xmlns:c16="http://schemas.microsoft.com/office/drawing/2014/chart" uri="{C3380CC4-5D6E-409C-BE32-E72D297353CC}">
              <c16:uniqueId val="{00000002-7972-43AB-83E8-C2C99B4277B0}"/>
            </c:ext>
          </c:extLst>
        </c:ser>
        <c:ser>
          <c:idx val="6"/>
          <c:order val="3"/>
          <c:tx>
            <c:strRef>
              <c:f>Projections!$A$356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Projections!$P$356:$BK$356</c15:sqref>
                  </c15:fullRef>
                </c:ext>
              </c:extLst>
              <c:f>Projections!$P$356:$AV$356</c:f>
              <c:numCache>
                <c:formatCode>#,##0</c:formatCode>
                <c:ptCount val="33"/>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pt idx="28">
                  <c:v>763568.96613510128</c:v>
                </c:pt>
                <c:pt idx="29">
                  <c:v>890830.46049095143</c:v>
                </c:pt>
                <c:pt idx="30">
                  <c:v>1018091.9548468017</c:v>
                </c:pt>
                <c:pt idx="31">
                  <c:v>1145353.4492026519</c:v>
                </c:pt>
                <c:pt idx="32">
                  <c:v>1272614.943558502</c:v>
                </c:pt>
              </c:numCache>
            </c:numRef>
          </c:val>
          <c:smooth val="0"/>
          <c:extLst>
            <c:ext xmlns:c16="http://schemas.microsoft.com/office/drawing/2014/chart" uri="{C3380CC4-5D6E-409C-BE32-E72D297353CC}">
              <c16:uniqueId val="{00000003-7972-43AB-83E8-C2C99B4277B0}"/>
            </c:ext>
          </c:extLst>
        </c:ser>
        <c:ser>
          <c:idx val="8"/>
          <c:order val="4"/>
          <c:tx>
            <c:strRef>
              <c:f>Projections!$A$358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Projections!$P$358:$BK$358</c15:sqref>
                  </c15:fullRef>
                </c:ext>
              </c:extLst>
              <c:f>Projections!$P$358:$AV$358</c:f>
              <c:numCache>
                <c:formatCode>#,##0</c:formatCode>
                <c:ptCount val="33"/>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pt idx="28">
                  <c:v>637628.5253538792</c:v>
                </c:pt>
                <c:pt idx="29">
                  <c:v>743899.94624619244</c:v>
                </c:pt>
                <c:pt idx="30">
                  <c:v>850171.36713850556</c:v>
                </c:pt>
                <c:pt idx="31">
                  <c:v>956442.7880308188</c:v>
                </c:pt>
                <c:pt idx="32">
                  <c:v>1062714.2089231319</c:v>
                </c:pt>
              </c:numCache>
            </c:numRef>
          </c:val>
          <c:smooth val="0"/>
          <c:extLst>
            <c:ext xmlns:c16="http://schemas.microsoft.com/office/drawing/2014/chart" uri="{C3380CC4-5D6E-409C-BE32-E72D297353CC}">
              <c16:uniqueId val="{00000004-7972-43AB-83E8-C2C99B4277B0}"/>
            </c:ext>
          </c:extLst>
        </c:ser>
        <c:ser>
          <c:idx val="10"/>
          <c:order val="5"/>
          <c:tx>
            <c:strRef>
              <c:f>Projections!$A$360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Projections!$P$360:$BK$360</c15:sqref>
                  </c15:fullRef>
                </c:ext>
              </c:extLst>
              <c:f>Projections!$P$360:$AV$360</c:f>
              <c:numCache>
                <c:formatCode>#,##0</c:formatCode>
                <c:ptCount val="33"/>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pt idx="28">
                  <c:v>773256.69234904135</c:v>
                </c:pt>
                <c:pt idx="29">
                  <c:v>902132.80774054828</c:v>
                </c:pt>
                <c:pt idx="30">
                  <c:v>1031008.9231320551</c:v>
                </c:pt>
                <c:pt idx="31">
                  <c:v>1159885.038523562</c:v>
                </c:pt>
                <c:pt idx="32">
                  <c:v>1288761.1539150688</c:v>
                </c:pt>
              </c:numCache>
            </c:numRef>
          </c:val>
          <c:smooth val="0"/>
          <c:extLst>
            <c:ext xmlns:c16="http://schemas.microsoft.com/office/drawing/2014/chart" uri="{C3380CC4-5D6E-409C-BE32-E72D297353CC}">
              <c16:uniqueId val="{00000005-7972-43AB-83E8-C2C99B4277B0}"/>
            </c:ext>
          </c:extLst>
        </c:ser>
        <c:ser>
          <c:idx val="12"/>
          <c:order val="6"/>
          <c:tx>
            <c:strRef>
              <c:f>Projections!$A$362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Projections!$P$362:$BK$362</c15:sqref>
                  </c15:fullRef>
                </c:ext>
              </c:extLst>
              <c:f>Projections!$P$362:$AV$362</c:f>
              <c:numCache>
                <c:formatCode>#,##0</c:formatCode>
                <c:ptCount val="33"/>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pt idx="28">
                  <c:v>1062127.074001075</c:v>
                </c:pt>
                <c:pt idx="29">
                  <c:v>1239148.2530012543</c:v>
                </c:pt>
                <c:pt idx="30">
                  <c:v>1416169.4320014333</c:v>
                </c:pt>
                <c:pt idx="31">
                  <c:v>1593190.6110016126</c:v>
                </c:pt>
                <c:pt idx="32">
                  <c:v>1770211.7900017917</c:v>
                </c:pt>
              </c:numCache>
            </c:numRef>
          </c:val>
          <c:smooth val="0"/>
          <c:extLst>
            <c:ext xmlns:c16="http://schemas.microsoft.com/office/drawing/2014/chart" uri="{C3380CC4-5D6E-409C-BE32-E72D297353CC}">
              <c16:uniqueId val="{00000006-7972-43AB-83E8-C2C99B4277B0}"/>
            </c:ext>
          </c:extLst>
        </c:ser>
        <c:ser>
          <c:idx val="14"/>
          <c:order val="7"/>
          <c:tx>
            <c:strRef>
              <c:f>Projections!$A$364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Projections!$P$364:$BK$364</c15:sqref>
                  </c15:fullRef>
                </c:ext>
              </c:extLst>
              <c:f>Projections!$P$364:$AV$364</c:f>
              <c:numCache>
                <c:formatCode>#,##0</c:formatCode>
                <c:ptCount val="33"/>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numCache>
            </c:numRef>
          </c:val>
          <c:smooth val="0"/>
          <c:extLst>
            <c:ext xmlns:c16="http://schemas.microsoft.com/office/drawing/2014/chart" uri="{C3380CC4-5D6E-409C-BE32-E72D297353CC}">
              <c16:uniqueId val="{00000007-7972-43AB-83E8-C2C99B4277B0}"/>
            </c:ext>
          </c:extLst>
        </c:ser>
        <c:ser>
          <c:idx val="16"/>
          <c:order val="8"/>
          <c:tx>
            <c:strRef>
              <c:f>Projections!$A$366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Projections!$P$366:$BK$366</c15:sqref>
                  </c15:fullRef>
                </c:ext>
              </c:extLst>
              <c:f>Projections!$P$366:$AV$366</c:f>
              <c:numCache>
                <c:formatCode>#,##0</c:formatCode>
                <c:ptCount val="33"/>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pt idx="28">
                  <c:v>48438.631069700765</c:v>
                </c:pt>
                <c:pt idx="29">
                  <c:v>56511.736247984227</c:v>
                </c:pt>
                <c:pt idx="30">
                  <c:v>64584.841426267689</c:v>
                </c:pt>
                <c:pt idx="31">
                  <c:v>72657.946604551151</c:v>
                </c:pt>
                <c:pt idx="32">
                  <c:v>80731.051782834606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Projections!$A$350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Projections!$P$351:$BK$351</c15:sqref>
                  </c15:fullRef>
                </c:ext>
              </c:extLst>
              <c:f>Projections!$P$351:$AV$351</c:f>
              <c:numCache>
                <c:formatCode>#,##0</c:formatCode>
                <c:ptCount val="33"/>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pt idx="28">
                  <c:v>20985.376384160543</c:v>
                </c:pt>
                <c:pt idx="29">
                  <c:v>24482.939114853965</c:v>
                </c:pt>
                <c:pt idx="30">
                  <c:v>27980.501845547391</c:v>
                </c:pt>
                <c:pt idx="31">
                  <c:v>31478.064576240813</c:v>
                </c:pt>
                <c:pt idx="32">
                  <c:v>34975.627306934235</c:v>
                </c:pt>
              </c:numCache>
            </c:numRef>
          </c:val>
          <c:smooth val="0"/>
          <c:extLst>
            <c:ext xmlns:c16="http://schemas.microsoft.com/office/drawing/2014/chart" uri="{C3380CC4-5D6E-409C-BE32-E72D297353CC}">
              <c16:uniqueId val="{00000000-FE50-482D-905D-7C3B099138E4}"/>
            </c:ext>
          </c:extLst>
        </c:ser>
        <c:ser>
          <c:idx val="3"/>
          <c:order val="1"/>
          <c:tx>
            <c:strRef>
              <c:f>Projections!$A$352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Projections!$P$353:$BK$353</c15:sqref>
                  </c15:fullRef>
                </c:ext>
              </c:extLst>
              <c:f>Projections!$P$353:$AV$353</c:f>
              <c:numCache>
                <c:formatCode>#,##0</c:formatCode>
                <c:ptCount val="33"/>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pt idx="28">
                  <c:v>41921.433434868304</c:v>
                </c:pt>
                <c:pt idx="29">
                  <c:v>48908.339007346352</c:v>
                </c:pt>
                <c:pt idx="30">
                  <c:v>55895.244579824408</c:v>
                </c:pt>
                <c:pt idx="31">
                  <c:v>62882.150152302449</c:v>
                </c:pt>
                <c:pt idx="32">
                  <c:v>69869.055724780512</c:v>
                </c:pt>
              </c:numCache>
            </c:numRef>
          </c:val>
          <c:smooth val="0"/>
          <c:extLst>
            <c:ext xmlns:c16="http://schemas.microsoft.com/office/drawing/2014/chart" uri="{C3380CC4-5D6E-409C-BE32-E72D297353CC}">
              <c16:uniqueId val="{00000001-FE50-482D-905D-7C3B099138E4}"/>
            </c:ext>
          </c:extLst>
        </c:ser>
        <c:ser>
          <c:idx val="5"/>
          <c:order val="2"/>
          <c:tx>
            <c:strRef>
              <c:f>Projections!$A$354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Projections!$P$355:$BK$355</c15:sqref>
                  </c15:fullRef>
                </c:ext>
              </c:extLst>
              <c:f>Projections!$P$355:$AV$355</c:f>
              <c:numCache>
                <c:formatCode>#,##0</c:formatCode>
                <c:ptCount val="33"/>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pt idx="28">
                  <c:v>29612.73692886579</c:v>
                </c:pt>
                <c:pt idx="29">
                  <c:v>34548.193083676757</c:v>
                </c:pt>
                <c:pt idx="30">
                  <c:v>39483.64923848772</c:v>
                </c:pt>
                <c:pt idx="31">
                  <c:v>44419.105393298683</c:v>
                </c:pt>
                <c:pt idx="32">
                  <c:v>49354.561548109654</c:v>
                </c:pt>
              </c:numCache>
            </c:numRef>
          </c:val>
          <c:smooth val="0"/>
          <c:extLst>
            <c:ext xmlns:c16="http://schemas.microsoft.com/office/drawing/2014/chart" uri="{C3380CC4-5D6E-409C-BE32-E72D297353CC}">
              <c16:uniqueId val="{00000002-FE50-482D-905D-7C3B099138E4}"/>
            </c:ext>
          </c:extLst>
        </c:ser>
        <c:ser>
          <c:idx val="7"/>
          <c:order val="3"/>
          <c:tx>
            <c:strRef>
              <c:f>Projections!$A$356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Projections!$P$357:$BK$357</c15:sqref>
                  </c15:fullRef>
                </c:ext>
              </c:extLst>
              <c:f>Projections!$P$357:$AV$357</c:f>
              <c:numCache>
                <c:formatCode>#,##0</c:formatCode>
                <c:ptCount val="33"/>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pt idx="28">
                  <c:v>9926.3965597563165</c:v>
                </c:pt>
                <c:pt idx="29">
                  <c:v>11580.795986382369</c:v>
                </c:pt>
                <c:pt idx="30">
                  <c:v>13235.195413008421</c:v>
                </c:pt>
                <c:pt idx="31">
                  <c:v>14889.594839634474</c:v>
                </c:pt>
                <c:pt idx="32">
                  <c:v>16543.994266260524</c:v>
                </c:pt>
              </c:numCache>
            </c:numRef>
          </c:val>
          <c:smooth val="0"/>
          <c:extLst>
            <c:ext xmlns:c16="http://schemas.microsoft.com/office/drawing/2014/chart" uri="{C3380CC4-5D6E-409C-BE32-E72D297353CC}">
              <c16:uniqueId val="{00000003-FE50-482D-905D-7C3B099138E4}"/>
            </c:ext>
          </c:extLst>
        </c:ser>
        <c:ser>
          <c:idx val="9"/>
          <c:order val="4"/>
          <c:tx>
            <c:strRef>
              <c:f>Projections!$A$358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Projections!$P$359:$BK$359</c15:sqref>
                  </c15:fullRef>
                </c:ext>
              </c:extLst>
              <c:f>Projections!$P$359:$AV$359</c:f>
              <c:numCache>
                <c:formatCode>#,##0</c:formatCode>
                <c:ptCount val="33"/>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pt idx="28">
                  <c:v>2550.514101415517</c:v>
                </c:pt>
                <c:pt idx="29">
                  <c:v>2975.5997849847699</c:v>
                </c:pt>
                <c:pt idx="30">
                  <c:v>3400.6854685540225</c:v>
                </c:pt>
                <c:pt idx="31">
                  <c:v>3825.7711521232754</c:v>
                </c:pt>
                <c:pt idx="32">
                  <c:v>4250.856835692528</c:v>
                </c:pt>
              </c:numCache>
            </c:numRef>
          </c:val>
          <c:smooth val="0"/>
          <c:extLst>
            <c:ext xmlns:c16="http://schemas.microsoft.com/office/drawing/2014/chart" uri="{C3380CC4-5D6E-409C-BE32-E72D297353CC}">
              <c16:uniqueId val="{00000004-FE50-482D-905D-7C3B099138E4}"/>
            </c:ext>
          </c:extLst>
        </c:ser>
        <c:ser>
          <c:idx val="11"/>
          <c:order val="5"/>
          <c:tx>
            <c:strRef>
              <c:f>Projections!$A$360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Projections!$P$361:$BK$361</c15:sqref>
                  </c15:fullRef>
                </c:ext>
              </c:extLst>
              <c:f>Projections!$P$361:$AV$361</c:f>
              <c:numCache>
                <c:formatCode>#,##0</c:formatCode>
                <c:ptCount val="33"/>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pt idx="28">
                  <c:v>1546.5133846980827</c:v>
                </c:pt>
                <c:pt idx="29">
                  <c:v>1804.2656154810966</c:v>
                </c:pt>
                <c:pt idx="30">
                  <c:v>2062.0178462641102</c:v>
                </c:pt>
                <c:pt idx="31">
                  <c:v>2319.7700770471242</c:v>
                </c:pt>
                <c:pt idx="32">
                  <c:v>2577.5223078301378</c:v>
                </c:pt>
              </c:numCache>
            </c:numRef>
          </c:val>
          <c:smooth val="0"/>
          <c:extLst>
            <c:ext xmlns:c16="http://schemas.microsoft.com/office/drawing/2014/chart" uri="{C3380CC4-5D6E-409C-BE32-E72D297353CC}">
              <c16:uniqueId val="{00000005-FE50-482D-905D-7C3B099138E4}"/>
            </c:ext>
          </c:extLst>
        </c:ser>
        <c:ser>
          <c:idx val="13"/>
          <c:order val="6"/>
          <c:tx>
            <c:strRef>
              <c:f>Projections!$A$362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Projections!$P$363:$BK$363</c15:sqref>
                  </c15:fullRef>
                </c:ext>
              </c:extLst>
              <c:f>Projections!$P$363:$AV$363</c:f>
              <c:numCache>
                <c:formatCode>#,##0</c:formatCode>
                <c:ptCount val="33"/>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pt idx="28">
                  <c:v>2124.25414800215</c:v>
                </c:pt>
                <c:pt idx="29">
                  <c:v>2478.2965060025085</c:v>
                </c:pt>
                <c:pt idx="30">
                  <c:v>2832.3388640028666</c:v>
                </c:pt>
                <c:pt idx="31">
                  <c:v>3186.3812220032255</c:v>
                </c:pt>
                <c:pt idx="32">
                  <c:v>3540.4235800035835</c:v>
                </c:pt>
              </c:numCache>
            </c:numRef>
          </c:val>
          <c:smooth val="0"/>
          <c:extLst>
            <c:ext xmlns:c16="http://schemas.microsoft.com/office/drawing/2014/chart" uri="{C3380CC4-5D6E-409C-BE32-E72D297353CC}">
              <c16:uniqueId val="{00000006-FE50-482D-905D-7C3B099138E4}"/>
            </c:ext>
          </c:extLst>
        </c:ser>
        <c:ser>
          <c:idx val="15"/>
          <c:order val="7"/>
          <c:tx>
            <c:strRef>
              <c:f>Projections!$A$364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Projections!$P$365:$BK$365</c15:sqref>
                  </c15:fullRef>
                </c:ext>
              </c:extLst>
              <c:f>Projections!$P$365:$AV$365</c:f>
              <c:numCache>
                <c:formatCode>#,##0</c:formatCode>
                <c:ptCount val="33"/>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pt idx="28">
                  <c:v>283.58616735352086</c:v>
                </c:pt>
                <c:pt idx="29">
                  <c:v>330.85052857910767</c:v>
                </c:pt>
                <c:pt idx="30">
                  <c:v>378.11488980469454</c:v>
                </c:pt>
                <c:pt idx="31">
                  <c:v>425.3792510302813</c:v>
                </c:pt>
                <c:pt idx="32">
                  <c:v>472.64361225586811</c:v>
                </c:pt>
              </c:numCache>
            </c:numRef>
          </c:val>
          <c:smooth val="0"/>
          <c:extLst>
            <c:ext xmlns:c16="http://schemas.microsoft.com/office/drawing/2014/chart" uri="{C3380CC4-5D6E-409C-BE32-E72D297353CC}">
              <c16:uniqueId val="{00000007-FE50-482D-905D-7C3B099138E4}"/>
            </c:ext>
          </c:extLst>
        </c:ser>
        <c:ser>
          <c:idx val="17"/>
          <c:order val="8"/>
          <c:tx>
            <c:strRef>
              <c:f>Projections!$A$366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Projections!$P$367:$BK$367</c15:sqref>
                  </c15:fullRef>
                </c:ext>
              </c:extLst>
              <c:f>Projections!$P$367:$AV$367</c:f>
              <c:numCache>
                <c:formatCode>#,##0</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Projections!$A$379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Projections!$P$379:$BK$379</c15:sqref>
                  </c15:fullRef>
                </c:ext>
              </c:extLst>
              <c:f>Projections!$P$379:$AV$379</c:f>
              <c:numCache>
                <c:formatCode>#,##0</c:formatCode>
                <c:ptCount val="33"/>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pt idx="28">
                  <c:v>2260992</c:v>
                </c:pt>
                <c:pt idx="29">
                  <c:v>2637824</c:v>
                </c:pt>
                <c:pt idx="30">
                  <c:v>3014656</c:v>
                </c:pt>
                <c:pt idx="31">
                  <c:v>3391488</c:v>
                </c:pt>
                <c:pt idx="32">
                  <c:v>3768320</c:v>
                </c:pt>
              </c:numCache>
            </c:numRef>
          </c:val>
          <c:smooth val="0"/>
          <c:extLst>
            <c:ext xmlns:c16="http://schemas.microsoft.com/office/drawing/2014/chart" uri="{C3380CC4-5D6E-409C-BE32-E72D297353CC}">
              <c16:uniqueId val="{00000000-C5BA-4495-93D4-AC4CA8674604}"/>
            </c:ext>
          </c:extLst>
        </c:ser>
        <c:ser>
          <c:idx val="4"/>
          <c:order val="1"/>
          <c:tx>
            <c:strRef>
              <c:f>Projections!$A$377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Projections!$P$377:$BK$377</c15:sqref>
                  </c15:fullRef>
                </c:ext>
              </c:extLst>
              <c:f>Projections!$P$377:$AV$377</c:f>
              <c:numCache>
                <c:formatCode>#,##0</c:formatCode>
                <c:ptCount val="33"/>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pt idx="28">
                  <c:v>658636.80000000005</c:v>
                </c:pt>
                <c:pt idx="29">
                  <c:v>768409.60000000009</c:v>
                </c:pt>
                <c:pt idx="30">
                  <c:v>878182.40000000002</c:v>
                </c:pt>
                <c:pt idx="31">
                  <c:v>987955.20000000007</c:v>
                </c:pt>
                <c:pt idx="32">
                  <c:v>1097728</c:v>
                </c:pt>
              </c:numCache>
            </c:numRef>
          </c:val>
          <c:smooth val="0"/>
          <c:extLst>
            <c:ext xmlns:c16="http://schemas.microsoft.com/office/drawing/2014/chart" uri="{C3380CC4-5D6E-409C-BE32-E72D297353CC}">
              <c16:uniqueId val="{00000001-C5BA-4495-93D4-AC4CA8674604}"/>
            </c:ext>
          </c:extLst>
        </c:ser>
        <c:ser>
          <c:idx val="10"/>
          <c:order val="2"/>
          <c:tx>
            <c:strRef>
              <c:f>Projections!$A$383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Projections!$P$383:$BK$383</c15:sqref>
                  </c15:fullRef>
                </c:ext>
              </c:extLst>
              <c:f>Projections!$P$383:$AV$383</c:f>
              <c:numCache>
                <c:formatCode>#,##0</c:formatCode>
                <c:ptCount val="33"/>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pt idx="28">
                  <c:v>761856</c:v>
                </c:pt>
                <c:pt idx="29">
                  <c:v>888832</c:v>
                </c:pt>
                <c:pt idx="30">
                  <c:v>1015808</c:v>
                </c:pt>
                <c:pt idx="31">
                  <c:v>1142784</c:v>
                </c:pt>
                <c:pt idx="32">
                  <c:v>1269760</c:v>
                </c:pt>
              </c:numCache>
            </c:numRef>
          </c:val>
          <c:smooth val="0"/>
          <c:extLst>
            <c:ext xmlns:c16="http://schemas.microsoft.com/office/drawing/2014/chart" uri="{C3380CC4-5D6E-409C-BE32-E72D297353CC}">
              <c16:uniqueId val="{00000002-C5BA-4495-93D4-AC4CA8674604}"/>
            </c:ext>
          </c:extLst>
        </c:ser>
        <c:ser>
          <c:idx val="0"/>
          <c:order val="3"/>
          <c:tx>
            <c:strRef>
              <c:f>Projections!$A$373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Projections!$P$373:$BK$373</c15:sqref>
                  </c15:fullRef>
                </c:ext>
              </c:extLst>
              <c:f>Projections!$P$373:$AV$373</c:f>
              <c:numCache>
                <c:formatCode>#,##0</c:formatCode>
                <c:ptCount val="33"/>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pt idx="28">
                  <c:v>1808793.5999999999</c:v>
                </c:pt>
                <c:pt idx="29">
                  <c:v>2110259.2000000002</c:v>
                </c:pt>
                <c:pt idx="30">
                  <c:v>2411724.7999999998</c:v>
                </c:pt>
                <c:pt idx="31">
                  <c:v>2713190.3999999999</c:v>
                </c:pt>
                <c:pt idx="32">
                  <c:v>3014656</c:v>
                </c:pt>
              </c:numCache>
            </c:numRef>
          </c:val>
          <c:smooth val="0"/>
          <c:extLst>
            <c:ext xmlns:c16="http://schemas.microsoft.com/office/drawing/2014/chart" uri="{C3380CC4-5D6E-409C-BE32-E72D297353CC}">
              <c16:uniqueId val="{00000003-C5BA-4495-93D4-AC4CA8674604}"/>
            </c:ext>
          </c:extLst>
        </c:ser>
        <c:ser>
          <c:idx val="2"/>
          <c:order val="4"/>
          <c:tx>
            <c:strRef>
              <c:f>Projections!$A$375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Projections!$P$375:$BK$375</c15:sqref>
                  </c15:fullRef>
                </c:ext>
              </c:extLst>
              <c:f>Projections!$P$375:$AV$375</c:f>
              <c:numCache>
                <c:formatCode>#,##0</c:formatCode>
                <c:ptCount val="33"/>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pt idx="28">
                  <c:v>481689.60000000003</c:v>
                </c:pt>
                <c:pt idx="29">
                  <c:v>561971.20000000007</c:v>
                </c:pt>
                <c:pt idx="30">
                  <c:v>642252.80000000005</c:v>
                </c:pt>
                <c:pt idx="31">
                  <c:v>722534.40000000002</c:v>
                </c:pt>
                <c:pt idx="32">
                  <c:v>802816</c:v>
                </c:pt>
              </c:numCache>
            </c:numRef>
          </c:val>
          <c:smooth val="0"/>
          <c:extLst>
            <c:ext xmlns:c16="http://schemas.microsoft.com/office/drawing/2014/chart" uri="{C3380CC4-5D6E-409C-BE32-E72D297353CC}">
              <c16:uniqueId val="{00000004-C5BA-4495-93D4-AC4CA8674604}"/>
            </c:ext>
          </c:extLst>
        </c:ser>
        <c:ser>
          <c:idx val="8"/>
          <c:order val="5"/>
          <c:tx>
            <c:strRef>
              <c:f>Projections!$A$381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Projections!$P$381:$BK$381</c15:sqref>
                  </c15:fullRef>
                </c:ext>
              </c:extLst>
              <c:f>Projections!$P$381:$AV$381</c:f>
              <c:numCache>
                <c:formatCode>#,##0</c:formatCode>
                <c:ptCount val="33"/>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pt idx="28">
                  <c:v>21577.727999999999</c:v>
                </c:pt>
                <c:pt idx="29">
                  <c:v>25174.016</c:v>
                </c:pt>
                <c:pt idx="30">
                  <c:v>28770.304</c:v>
                </c:pt>
                <c:pt idx="31">
                  <c:v>32366.591999999997</c:v>
                </c:pt>
                <c:pt idx="32">
                  <c:v>35962.879999999997</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Projections!$A$379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Projections!$P$380:$BK$380</c15:sqref>
                  </c15:fullRef>
                </c:ext>
              </c:extLst>
              <c:f>Projections!$P$380:$AV$380</c:f>
              <c:numCache>
                <c:formatCode>#,##0</c:formatCode>
                <c:ptCount val="33"/>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pt idx="28">
                  <c:v>135659.51999999999</c:v>
                </c:pt>
                <c:pt idx="29">
                  <c:v>158269.44</c:v>
                </c:pt>
                <c:pt idx="30">
                  <c:v>180879.35999999999</c:v>
                </c:pt>
                <c:pt idx="31">
                  <c:v>203489.28</c:v>
                </c:pt>
                <c:pt idx="32">
                  <c:v>226099.19999999998</c:v>
                </c:pt>
              </c:numCache>
            </c:numRef>
          </c:val>
          <c:smooth val="0"/>
          <c:extLst>
            <c:ext xmlns:c16="http://schemas.microsoft.com/office/drawing/2014/chart" uri="{C3380CC4-5D6E-409C-BE32-E72D297353CC}">
              <c16:uniqueId val="{00000000-5E66-4AF0-A3CA-7CF12153AA8E}"/>
            </c:ext>
          </c:extLst>
        </c:ser>
        <c:ser>
          <c:idx val="5"/>
          <c:order val="1"/>
          <c:tx>
            <c:strRef>
              <c:f>Projections!$A$377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Projections!$P$378:$BK$378</c15:sqref>
                  </c15:fullRef>
                </c:ext>
              </c:extLst>
              <c:f>Projections!$P$378:$AV$378</c:f>
              <c:numCache>
                <c:formatCode>#,##0</c:formatCode>
                <c:ptCount val="33"/>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pt idx="28">
                  <c:v>41494.118400000007</c:v>
                </c:pt>
                <c:pt idx="29">
                  <c:v>48409.804800000005</c:v>
                </c:pt>
                <c:pt idx="30">
                  <c:v>55325.491200000004</c:v>
                </c:pt>
                <c:pt idx="31">
                  <c:v>62241.177600000003</c:v>
                </c:pt>
                <c:pt idx="32">
                  <c:v>69156.864000000001</c:v>
                </c:pt>
              </c:numCache>
            </c:numRef>
          </c:val>
          <c:smooth val="0"/>
          <c:extLst>
            <c:ext xmlns:c16="http://schemas.microsoft.com/office/drawing/2014/chart" uri="{C3380CC4-5D6E-409C-BE32-E72D297353CC}">
              <c16:uniqueId val="{00000001-5E66-4AF0-A3CA-7CF12153AA8E}"/>
            </c:ext>
          </c:extLst>
        </c:ser>
        <c:ser>
          <c:idx val="1"/>
          <c:order val="2"/>
          <c:tx>
            <c:strRef>
              <c:f>Projections!$A$373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Projections!$P$374:$BK$374</c15:sqref>
                  </c15:fullRef>
                </c:ext>
              </c:extLst>
              <c:f>Projections!$P$374:$AV$374</c:f>
              <c:numCache>
                <c:formatCode>#,##0</c:formatCode>
                <c:ptCount val="33"/>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pt idx="28">
                  <c:v>189923.32799999998</c:v>
                </c:pt>
                <c:pt idx="29">
                  <c:v>221577.21600000001</c:v>
                </c:pt>
                <c:pt idx="30">
                  <c:v>253231.10399999996</c:v>
                </c:pt>
                <c:pt idx="31">
                  <c:v>284884.99199999997</c:v>
                </c:pt>
                <c:pt idx="32">
                  <c:v>316538.88</c:v>
                </c:pt>
              </c:numCache>
            </c:numRef>
          </c:val>
          <c:smooth val="0"/>
          <c:extLst>
            <c:ext xmlns:c16="http://schemas.microsoft.com/office/drawing/2014/chart" uri="{C3380CC4-5D6E-409C-BE32-E72D297353CC}">
              <c16:uniqueId val="{00000002-5E66-4AF0-A3CA-7CF12153AA8E}"/>
            </c:ext>
          </c:extLst>
        </c:ser>
        <c:ser>
          <c:idx val="3"/>
          <c:order val="3"/>
          <c:tx>
            <c:strRef>
              <c:f>Projections!$A$375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Projections!$P$376:$BK$376</c15:sqref>
                  </c15:fullRef>
                </c:ext>
              </c:extLst>
              <c:f>Projections!$P$376:$AV$376</c:f>
              <c:numCache>
                <c:formatCode>#,##0</c:formatCode>
                <c:ptCount val="33"/>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pt idx="28">
                  <c:v>35163.340799999998</c:v>
                </c:pt>
                <c:pt idx="29">
                  <c:v>41023.897600000004</c:v>
                </c:pt>
                <c:pt idx="30">
                  <c:v>46884.454400000002</c:v>
                </c:pt>
                <c:pt idx="31">
                  <c:v>52745.011200000001</c:v>
                </c:pt>
                <c:pt idx="32">
                  <c:v>58605.567999999999</c:v>
                </c:pt>
              </c:numCache>
            </c:numRef>
          </c:val>
          <c:smooth val="0"/>
          <c:extLst>
            <c:ext xmlns:c16="http://schemas.microsoft.com/office/drawing/2014/chart" uri="{C3380CC4-5D6E-409C-BE32-E72D297353CC}">
              <c16:uniqueId val="{00000003-5E66-4AF0-A3CA-7CF12153AA8E}"/>
            </c:ext>
          </c:extLst>
        </c:ser>
        <c:ser>
          <c:idx val="9"/>
          <c:order val="4"/>
          <c:tx>
            <c:strRef>
              <c:f>Projections!$A$381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Projections!$P$382:$BK$382</c15:sqref>
                  </c15:fullRef>
                </c:ext>
              </c:extLst>
              <c:f>Projections!$P$382:$AV$382</c:f>
              <c:numCache>
                <c:formatCode>#,##0</c:formatCode>
                <c:ptCount val="33"/>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pt idx="28">
                  <c:v>1208.352768</c:v>
                </c:pt>
                <c:pt idx="29">
                  <c:v>1409.7448959999999</c:v>
                </c:pt>
                <c:pt idx="30">
                  <c:v>1611.1370240000001</c:v>
                </c:pt>
                <c:pt idx="31">
                  <c:v>1812.5291519999998</c:v>
                </c:pt>
                <c:pt idx="32">
                  <c:v>2013.9212799999998</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Projections!$P$317:$BK$317</c15:sqref>
                  </c15:fullRef>
                </c:ext>
              </c:extLst>
              <c:f>Projections!$P$317:$AN$317</c:f>
              <c:numCache>
                <c:formatCode>m/d/yyyy</c:formatCode>
                <c:ptCount val="25"/>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numCache>
            </c:numRef>
          </c:cat>
          <c:val>
            <c:numRef>
              <c:extLst>
                <c:ext xmlns:c15="http://schemas.microsoft.com/office/drawing/2012/chart" uri="{02D57815-91ED-43cb-92C2-25804820EDAC}">
                  <c15:fullRef>
                    <c15:sqref>Projections!$P$318:$BK$318</c15:sqref>
                  </c15:fullRef>
                </c:ext>
              </c:extLst>
              <c:f>Projections!$P$318:$AN$318</c:f>
              <c:numCache>
                <c:formatCode>#,##0_ ;[Red]\-#,##0\ </c:formatCode>
                <c:ptCount val="25"/>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pt idx="23">
                  <c:v>2457600</c:v>
                </c:pt>
                <c:pt idx="24">
                  <c:v>2867200</c:v>
                </c:pt>
              </c:numCache>
            </c:numRef>
          </c:val>
          <c:smooth val="0"/>
          <c:extLst>
            <c:ext xmlns:c16="http://schemas.microsoft.com/office/drawing/2014/chart" uri="{C3380CC4-5D6E-409C-BE32-E72D297353CC}">
              <c16:uniqueId val="{00000000-9DE3-43B6-B60B-9B4AA4851702}"/>
            </c:ext>
          </c:extLst>
        </c:ser>
        <c:ser>
          <c:idx val="1"/>
          <c:order val="1"/>
          <c:tx>
            <c:strRef>
              <c:f>Projections!$A$342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Projections!$P$317:$BK$317</c15:sqref>
                  </c15:fullRef>
                </c:ext>
              </c:extLst>
              <c:f>Projections!$P$317:$AN$317</c:f>
              <c:numCache>
                <c:formatCode>m/d/yyyy</c:formatCode>
                <c:ptCount val="25"/>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numCache>
            </c:numRef>
          </c:cat>
          <c:val>
            <c:numRef>
              <c:extLst>
                <c:ext xmlns:c15="http://schemas.microsoft.com/office/drawing/2012/chart" uri="{02D57815-91ED-43cb-92C2-25804820EDAC}">
                  <c15:fullRef>
                    <c15:sqref>Projections!$P$342:$BK$342</c15:sqref>
                  </c15:fullRef>
                </c:ext>
              </c:extLst>
              <c:f>Projections!$P$342:$AN$342</c:f>
              <c:numCache>
                <c:formatCode>General</c:formatCode>
                <c:ptCount val="25"/>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2045549</c:v>
                </c:pt>
                <c:pt idx="23" formatCode="#,##0">
                  <c:v>2462554</c:v>
                </c:pt>
                <c:pt idx="24" formatCode="#,##0">
                  <c:v>2867200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Projections!$P$317:$BK$317</c15:sqref>
                  </c15:fullRef>
                </c:ext>
              </c:extLst>
              <c:f>Projections!$P$317:$AN$317</c:f>
              <c:numCache>
                <c:formatCode>m/d/yyyy</c:formatCode>
                <c:ptCount val="25"/>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numCache>
            </c:numRef>
          </c:cat>
          <c:val>
            <c:numRef>
              <c:extLst>
                <c:ext xmlns:c15="http://schemas.microsoft.com/office/drawing/2012/chart" uri="{02D57815-91ED-43cb-92C2-25804820EDAC}">
                  <c15:fullRef>
                    <c15:sqref>Projections!$P$332:$BK$332</c15:sqref>
                  </c15:fullRef>
                </c:ext>
              </c:extLst>
              <c:f>Projections!$P$332:$AN$332</c:f>
              <c:numCache>
                <c:formatCode>#,##0_ ;[Red]\-#,##0\ </c:formatCode>
                <c:ptCount val="25"/>
                <c:pt idx="0">
                  <c:v>1.578125</c:v>
                </c:pt>
                <c:pt idx="1">
                  <c:v>3.15625</c:v>
                </c:pt>
                <c:pt idx="2">
                  <c:v>6.3125</c:v>
                </c:pt>
                <c:pt idx="3">
                  <c:v>12.625</c:v>
                </c:pt>
                <c:pt idx="4">
                  <c:v>25.25</c:v>
                </c:pt>
                <c:pt idx="5">
                  <c:v>50.5</c:v>
                </c:pt>
                <c:pt idx="6">
                  <c:v>101</c:v>
                </c:pt>
                <c:pt idx="7">
                  <c:v>202</c:v>
                </c:pt>
                <c:pt idx="8">
                  <c:v>404</c:v>
                </c:pt>
                <c:pt idx="9">
                  <c:v>808</c:v>
                </c:pt>
                <c:pt idx="10">
                  <c:v>1616</c:v>
                </c:pt>
                <c:pt idx="11">
                  <c:v>3232</c:v>
                </c:pt>
                <c:pt idx="12">
                  <c:v>6464</c:v>
                </c:pt>
                <c:pt idx="13">
                  <c:v>12928</c:v>
                </c:pt>
                <c:pt idx="14">
                  <c:v>25856</c:v>
                </c:pt>
                <c:pt idx="15">
                  <c:v>32320.000000000004</c:v>
                </c:pt>
                <c:pt idx="16">
                  <c:v>38784</c:v>
                </c:pt>
                <c:pt idx="17">
                  <c:v>45248</c:v>
                </c:pt>
                <c:pt idx="18">
                  <c:v>51712</c:v>
                </c:pt>
                <c:pt idx="19">
                  <c:v>66191.360000000001</c:v>
                </c:pt>
                <c:pt idx="20">
                  <c:v>77568</c:v>
                </c:pt>
                <c:pt idx="21">
                  <c:v>90496</c:v>
                </c:pt>
                <c:pt idx="22">
                  <c:v>103424</c:v>
                </c:pt>
                <c:pt idx="23">
                  <c:v>124108.8</c:v>
                </c:pt>
                <c:pt idx="24">
                  <c:v>144793.60000000001</c:v>
                </c:pt>
              </c:numCache>
            </c:numRef>
          </c:val>
          <c:smooth val="0"/>
          <c:extLst>
            <c:ext xmlns:c16="http://schemas.microsoft.com/office/drawing/2014/chart" uri="{C3380CC4-5D6E-409C-BE32-E72D297353CC}">
              <c16:uniqueId val="{00000000-FE1B-4946-A476-7952C5C71231}"/>
            </c:ext>
          </c:extLst>
        </c:ser>
        <c:ser>
          <c:idx val="1"/>
          <c:order val="1"/>
          <c:tx>
            <c:strRef>
              <c:f>Projections!$A$346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Projections!$P$317:$BK$317</c15:sqref>
                  </c15:fullRef>
                </c:ext>
              </c:extLst>
              <c:f>Projections!$P$317:$AN$317</c:f>
              <c:numCache>
                <c:formatCode>m/d/yyyy</c:formatCode>
                <c:ptCount val="25"/>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numCache>
            </c:numRef>
          </c:cat>
          <c:val>
            <c:numRef>
              <c:extLst>
                <c:ext xmlns:c15="http://schemas.microsoft.com/office/drawing/2012/chart" uri="{02D57815-91ED-43cb-92C2-25804820EDAC}">
                  <c15:fullRef>
                    <c15:sqref>Projections!$P$346:$BK$346</c15:sqref>
                  </c15:fullRef>
                </c:ext>
              </c:extLst>
              <c:f>Projections!$P$346:$AN$346</c:f>
              <c:numCache>
                <c:formatCode>General</c:formatCode>
                <c:ptCount val="25"/>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pt idx="22" formatCode="#,##0">
                  <c:v>114148</c:v>
                </c:pt>
                <c:pt idx="23" formatCode="#,##0">
                  <c:v>124281</c:v>
                </c:pt>
                <c:pt idx="24" formatCode="#,##0">
                  <c:v>128152</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43970.595070370371</c:v>
                </c:pt>
                <c:pt idx="1">
                  <c:v>43973.595070370371</c:v>
                </c:pt>
                <c:pt idx="2">
                  <c:v>43976.595070370371</c:v>
                </c:pt>
                <c:pt idx="3">
                  <c:v>43979.595070370371</c:v>
                </c:pt>
                <c:pt idx="4">
                  <c:v>43982.595070370371</c:v>
                </c:pt>
                <c:pt idx="5">
                  <c:v>43985.595070370371</c:v>
                </c:pt>
                <c:pt idx="6">
                  <c:v>43988.595070370371</c:v>
                </c:pt>
                <c:pt idx="7">
                  <c:v>43991.595070370371</c:v>
                </c:pt>
                <c:pt idx="8">
                  <c:v>43994.595070370371</c:v>
                </c:pt>
                <c:pt idx="9">
                  <c:v>43997.595070370371</c:v>
                </c:pt>
                <c:pt idx="10">
                  <c:v>44000.595070370371</c:v>
                </c:pt>
                <c:pt idx="11">
                  <c:v>44003.595070370371</c:v>
                </c:pt>
                <c:pt idx="12">
                  <c:v>44006.595070370371</c:v>
                </c:pt>
                <c:pt idx="13">
                  <c:v>44009.595070370371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19.801980198019805</c:v>
                </c:pt>
                <c:pt idx="4">
                  <c:v>39.603960396039611</c:v>
                </c:pt>
                <c:pt idx="5">
                  <c:v>79.207920792079221</c:v>
                </c:pt>
                <c:pt idx="6">
                  <c:v>158.41584158415844</c:v>
                </c:pt>
                <c:pt idx="7">
                  <c:v>316.83168316831689</c:v>
                </c:pt>
                <c:pt idx="8">
                  <c:v>633.66336633663377</c:v>
                </c:pt>
                <c:pt idx="9">
                  <c:v>1267.3267326732675</c:v>
                </c:pt>
                <c:pt idx="10">
                  <c:v>2534.6534653465351</c:v>
                </c:pt>
                <c:pt idx="11">
                  <c:v>5069.3069306930702</c:v>
                </c:pt>
                <c:pt idx="12">
                  <c:v>10138.61386138614</c:v>
                </c:pt>
                <c:pt idx="13">
                  <c:v>20277.227722772281</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43970.595070370371</c:v>
                </c:pt>
                <c:pt idx="1">
                  <c:v>43973.595070370371</c:v>
                </c:pt>
                <c:pt idx="2">
                  <c:v>43976.595070370371</c:v>
                </c:pt>
                <c:pt idx="3">
                  <c:v>43979.595070370371</c:v>
                </c:pt>
                <c:pt idx="4">
                  <c:v>43982.595070370371</c:v>
                </c:pt>
                <c:pt idx="5">
                  <c:v>43985.595070370371</c:v>
                </c:pt>
                <c:pt idx="6">
                  <c:v>43988.595070370371</c:v>
                </c:pt>
                <c:pt idx="7">
                  <c:v>43991.595070370371</c:v>
                </c:pt>
                <c:pt idx="8">
                  <c:v>43994.595070370371</c:v>
                </c:pt>
                <c:pt idx="9">
                  <c:v>43997.595070370371</c:v>
                </c:pt>
                <c:pt idx="10">
                  <c:v>44000.595070370371</c:v>
                </c:pt>
                <c:pt idx="11">
                  <c:v>44003.595070370371</c:v>
                </c:pt>
                <c:pt idx="12">
                  <c:v>44006.595070370371</c:v>
                </c:pt>
                <c:pt idx="13">
                  <c:v>44009.595070370371</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19.801980198019805</c:v>
                </c:pt>
                <c:pt idx="3">
                  <c:v>39.603960396039611</c:v>
                </c:pt>
                <c:pt idx="4">
                  <c:v>64.158415841584173</c:v>
                </c:pt>
                <c:pt idx="5">
                  <c:v>128.31683168316835</c:v>
                </c:pt>
                <c:pt idx="6">
                  <c:v>256.63366336633669</c:v>
                </c:pt>
                <c:pt idx="7">
                  <c:v>497.22772277227733</c:v>
                </c:pt>
                <c:pt idx="8">
                  <c:v>994.45544554455466</c:v>
                </c:pt>
                <c:pt idx="9">
                  <c:v>1988.9108910891093</c:v>
                </c:pt>
                <c:pt idx="10">
                  <c:v>3977.8217821782187</c:v>
                </c:pt>
                <c:pt idx="11">
                  <c:v>7955.6435643564373</c:v>
                </c:pt>
                <c:pt idx="12">
                  <c:v>15927.326732673271</c:v>
                </c:pt>
                <c:pt idx="13">
                  <c:v>31854.653465346542</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43970.595070370371</c:v>
                </c:pt>
                <c:pt idx="1">
                  <c:v>43973.595070370371</c:v>
                </c:pt>
                <c:pt idx="2">
                  <c:v>43976.595070370371</c:v>
                </c:pt>
                <c:pt idx="3">
                  <c:v>43979.595070370371</c:v>
                </c:pt>
                <c:pt idx="4">
                  <c:v>43982.595070370371</c:v>
                </c:pt>
                <c:pt idx="5">
                  <c:v>43985.595070370371</c:v>
                </c:pt>
                <c:pt idx="6">
                  <c:v>43988.595070370371</c:v>
                </c:pt>
                <c:pt idx="7">
                  <c:v>43991.595070370371</c:v>
                </c:pt>
                <c:pt idx="8">
                  <c:v>43994.595070370371</c:v>
                </c:pt>
                <c:pt idx="9">
                  <c:v>43997.595070370371</c:v>
                </c:pt>
                <c:pt idx="10">
                  <c:v>44000.595070370371</c:v>
                </c:pt>
                <c:pt idx="11">
                  <c:v>44003.595070370371</c:v>
                </c:pt>
                <c:pt idx="12">
                  <c:v>44006.595070370371</c:v>
                </c:pt>
                <c:pt idx="13">
                  <c:v>44009.595070370371</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15.049504950495052</c:v>
                </c:pt>
                <c:pt idx="5">
                  <c:v>30.099009900990104</c:v>
                </c:pt>
                <c:pt idx="6">
                  <c:v>44.356435643564367</c:v>
                </c:pt>
                <c:pt idx="7">
                  <c:v>88.712871287128735</c:v>
                </c:pt>
                <c:pt idx="8">
                  <c:v>177.42574257425747</c:v>
                </c:pt>
                <c:pt idx="9">
                  <c:v>354.85148514851494</c:v>
                </c:pt>
                <c:pt idx="10">
                  <c:v>709.70297029702988</c:v>
                </c:pt>
                <c:pt idx="11">
                  <c:v>1419.4059405940598</c:v>
                </c:pt>
                <c:pt idx="12">
                  <c:v>2838.8118811881195</c:v>
                </c:pt>
                <c:pt idx="13">
                  <c:v>5677.623762376239</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43970.595070370371</c:v>
                </c:pt>
                <c:pt idx="1">
                  <c:v>43973.595070370371</c:v>
                </c:pt>
                <c:pt idx="2">
                  <c:v>43976.595070370371</c:v>
                </c:pt>
                <c:pt idx="3">
                  <c:v>43979.595070370371</c:v>
                </c:pt>
                <c:pt idx="4">
                  <c:v>43982.595070370371</c:v>
                </c:pt>
                <c:pt idx="5">
                  <c:v>43985.595070370371</c:v>
                </c:pt>
                <c:pt idx="6">
                  <c:v>43988.595070370371</c:v>
                </c:pt>
                <c:pt idx="7">
                  <c:v>43991.595070370371</c:v>
                </c:pt>
                <c:pt idx="8">
                  <c:v>43994.595070370371</c:v>
                </c:pt>
                <c:pt idx="9">
                  <c:v>43997.595070370371</c:v>
                </c:pt>
                <c:pt idx="10">
                  <c:v>44000.595070370371</c:v>
                </c:pt>
                <c:pt idx="11">
                  <c:v>44003.595070370371</c:v>
                </c:pt>
                <c:pt idx="12">
                  <c:v>44006.595070370371</c:v>
                </c:pt>
                <c:pt idx="13">
                  <c:v>44009.595070370371</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15.841584158415845</c:v>
                </c:pt>
                <c:pt idx="7">
                  <c:v>31.68316831683169</c:v>
                </c:pt>
                <c:pt idx="8">
                  <c:v>63.36633663366338</c:v>
                </c:pt>
                <c:pt idx="9">
                  <c:v>126.73267326732676</c:v>
                </c:pt>
                <c:pt idx="10">
                  <c:v>253.46534653465352</c:v>
                </c:pt>
                <c:pt idx="11">
                  <c:v>506.93069306930704</c:v>
                </c:pt>
                <c:pt idx="12">
                  <c:v>1013.8613861386141</c:v>
                </c:pt>
                <c:pt idx="13">
                  <c:v>2027.7227722772282</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43970.595070370371</c:v>
                </c:pt>
                <c:pt idx="1">
                  <c:v>43973.595070370371</c:v>
                </c:pt>
                <c:pt idx="2">
                  <c:v>43976.595070370371</c:v>
                </c:pt>
                <c:pt idx="3">
                  <c:v>43979.595070370371</c:v>
                </c:pt>
                <c:pt idx="4">
                  <c:v>43982.595070370371</c:v>
                </c:pt>
                <c:pt idx="5">
                  <c:v>43985.595070370371</c:v>
                </c:pt>
                <c:pt idx="6">
                  <c:v>43988.595070370371</c:v>
                </c:pt>
                <c:pt idx="7">
                  <c:v>43991.595070370371</c:v>
                </c:pt>
                <c:pt idx="8">
                  <c:v>43994.595070370371</c:v>
                </c:pt>
                <c:pt idx="9">
                  <c:v>43997.595070370371</c:v>
                </c:pt>
                <c:pt idx="10">
                  <c:v>44000.595070370371</c:v>
                </c:pt>
                <c:pt idx="11">
                  <c:v>44003.595070370371</c:v>
                </c:pt>
                <c:pt idx="12">
                  <c:v>44006.595070370371</c:v>
                </c:pt>
                <c:pt idx="13">
                  <c:v>44009.595070370371</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43970.595070370371</c:v>
                </c:pt>
                <c:pt idx="1">
                  <c:v>43973.595070370371</c:v>
                </c:pt>
                <c:pt idx="2">
                  <c:v>43976.595070370371</c:v>
                </c:pt>
                <c:pt idx="3">
                  <c:v>43979.595070370371</c:v>
                </c:pt>
                <c:pt idx="4">
                  <c:v>43982.595070370371</c:v>
                </c:pt>
                <c:pt idx="5">
                  <c:v>43985.595070370371</c:v>
                </c:pt>
                <c:pt idx="6">
                  <c:v>43988.595070370371</c:v>
                </c:pt>
                <c:pt idx="7">
                  <c:v>43991.595070370371</c:v>
                </c:pt>
                <c:pt idx="8">
                  <c:v>43994.595070370371</c:v>
                </c:pt>
                <c:pt idx="9">
                  <c:v>43997.595070370371</c:v>
                </c:pt>
                <c:pt idx="10">
                  <c:v>44000.595070370371</c:v>
                </c:pt>
                <c:pt idx="11">
                  <c:v>44003.595070370371</c:v>
                </c:pt>
                <c:pt idx="12">
                  <c:v>44006.595070370371</c:v>
                </c:pt>
                <c:pt idx="13">
                  <c:v>44009.595070370371</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51.626591230551625</c:v>
                </c:pt>
                <c:pt idx="1">
                  <c:v>103.25318246110325</c:v>
                </c:pt>
                <c:pt idx="2">
                  <c:v>206.5063649222065</c:v>
                </c:pt>
                <c:pt idx="3">
                  <c:v>413.012729844413</c:v>
                </c:pt>
                <c:pt idx="4">
                  <c:v>826.025459688826</c:v>
                </c:pt>
                <c:pt idx="5">
                  <c:v>1652.050919377652</c:v>
                </c:pt>
                <c:pt idx="6">
                  <c:v>3304.101838755304</c:v>
                </c:pt>
                <c:pt idx="7">
                  <c:v>6608.203677510608</c:v>
                </c:pt>
                <c:pt idx="8">
                  <c:v>13216.407355021216</c:v>
                </c:pt>
                <c:pt idx="9">
                  <c:v>26432.814710042432</c:v>
                </c:pt>
                <c:pt idx="10">
                  <c:v>52865.629420084864</c:v>
                </c:pt>
                <c:pt idx="11">
                  <c:v>105731.25884016973</c:v>
                </c:pt>
                <c:pt idx="12">
                  <c:v>211462.51768033946</c:v>
                </c:pt>
                <c:pt idx="13">
                  <c:v>422925.03536067891</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43970.595070370371</c:v>
                </c:pt>
                <c:pt idx="1">
                  <c:v>43973.595070370371</c:v>
                </c:pt>
                <c:pt idx="2">
                  <c:v>43976.595070370371</c:v>
                </c:pt>
                <c:pt idx="3">
                  <c:v>43979.595070370371</c:v>
                </c:pt>
                <c:pt idx="4">
                  <c:v>43982.595070370371</c:v>
                </c:pt>
                <c:pt idx="5">
                  <c:v>43985.595070370371</c:v>
                </c:pt>
                <c:pt idx="6">
                  <c:v>43988.595070370371</c:v>
                </c:pt>
                <c:pt idx="7">
                  <c:v>43991.595070370371</c:v>
                </c:pt>
                <c:pt idx="8">
                  <c:v>43994.595070370371</c:v>
                </c:pt>
                <c:pt idx="9">
                  <c:v>43997.595070370371</c:v>
                </c:pt>
                <c:pt idx="10">
                  <c:v>44000.595070370371</c:v>
                </c:pt>
                <c:pt idx="11">
                  <c:v>44003.595070370371</c:v>
                </c:pt>
                <c:pt idx="12">
                  <c:v>44006.595070370371</c:v>
                </c:pt>
                <c:pt idx="13">
                  <c:v>44009.595070370371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19.801980198019805</c:v>
                </c:pt>
                <c:pt idx="4">
                  <c:v>39.603960396039611</c:v>
                </c:pt>
                <c:pt idx="5">
                  <c:v>79.207920792079221</c:v>
                </c:pt>
                <c:pt idx="6">
                  <c:v>158.41584158415844</c:v>
                </c:pt>
                <c:pt idx="7">
                  <c:v>316.83168316831689</c:v>
                </c:pt>
                <c:pt idx="8">
                  <c:v>633.66336633663377</c:v>
                </c:pt>
                <c:pt idx="9">
                  <c:v>1267.3267326732675</c:v>
                </c:pt>
                <c:pt idx="10">
                  <c:v>2534.6534653465351</c:v>
                </c:pt>
                <c:pt idx="11">
                  <c:v>5069.3069306930702</c:v>
                </c:pt>
                <c:pt idx="12">
                  <c:v>10138.61386138614</c:v>
                </c:pt>
                <c:pt idx="13">
                  <c:v>20277.227722772281</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43970.595070370371</c:v>
                </c:pt>
                <c:pt idx="1">
                  <c:v>43973.595070370371</c:v>
                </c:pt>
                <c:pt idx="2">
                  <c:v>43976.595070370371</c:v>
                </c:pt>
                <c:pt idx="3">
                  <c:v>43979.595070370371</c:v>
                </c:pt>
                <c:pt idx="4">
                  <c:v>43982.595070370371</c:v>
                </c:pt>
                <c:pt idx="5">
                  <c:v>43985.595070370371</c:v>
                </c:pt>
                <c:pt idx="6">
                  <c:v>43988.595070370371</c:v>
                </c:pt>
                <c:pt idx="7">
                  <c:v>43991.595070370371</c:v>
                </c:pt>
                <c:pt idx="8">
                  <c:v>43994.595070370371</c:v>
                </c:pt>
                <c:pt idx="9">
                  <c:v>43997.595070370371</c:v>
                </c:pt>
                <c:pt idx="10">
                  <c:v>44000.595070370371</c:v>
                </c:pt>
                <c:pt idx="11">
                  <c:v>44003.595070370371</c:v>
                </c:pt>
                <c:pt idx="12">
                  <c:v>44006.595070370371</c:v>
                </c:pt>
                <c:pt idx="13">
                  <c:v>44009.595070370371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19.801980198019805</c:v>
                </c:pt>
                <c:pt idx="4">
                  <c:v>39.603960396039611</c:v>
                </c:pt>
                <c:pt idx="5">
                  <c:v>79.207920792079221</c:v>
                </c:pt>
                <c:pt idx="6">
                  <c:v>158.41584158415844</c:v>
                </c:pt>
                <c:pt idx="7">
                  <c:v>316.83168316831689</c:v>
                </c:pt>
                <c:pt idx="8">
                  <c:v>633.66336633663377</c:v>
                </c:pt>
                <c:pt idx="9">
                  <c:v>1267.3267326732675</c:v>
                </c:pt>
                <c:pt idx="10">
                  <c:v>2534.6534653465351</c:v>
                </c:pt>
                <c:pt idx="11">
                  <c:v>5069.3069306930702</c:v>
                </c:pt>
                <c:pt idx="12">
                  <c:v>10138.61386138614</c:v>
                </c:pt>
                <c:pt idx="13">
                  <c:v>20277.227722772281</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43970.595070370371</c:v>
                </c:pt>
                <c:pt idx="1">
                  <c:v>43973.595070370371</c:v>
                </c:pt>
                <c:pt idx="2">
                  <c:v>43976.595070370371</c:v>
                </c:pt>
                <c:pt idx="3">
                  <c:v>43979.595070370371</c:v>
                </c:pt>
                <c:pt idx="4">
                  <c:v>43982.595070370371</c:v>
                </c:pt>
                <c:pt idx="5">
                  <c:v>43985.595070370371</c:v>
                </c:pt>
                <c:pt idx="6">
                  <c:v>43988.595070370371</c:v>
                </c:pt>
                <c:pt idx="7">
                  <c:v>43991.595070370371</c:v>
                </c:pt>
                <c:pt idx="8">
                  <c:v>43994.595070370371</c:v>
                </c:pt>
                <c:pt idx="9">
                  <c:v>43997.595070370371</c:v>
                </c:pt>
                <c:pt idx="10">
                  <c:v>44000.595070370371</c:v>
                </c:pt>
                <c:pt idx="11">
                  <c:v>44003.595070370371</c:v>
                </c:pt>
                <c:pt idx="12">
                  <c:v>44006.595070370371</c:v>
                </c:pt>
                <c:pt idx="13">
                  <c:v>44009.595070370371</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19.801980198019805</c:v>
                </c:pt>
                <c:pt idx="3">
                  <c:v>39.603960396039611</c:v>
                </c:pt>
                <c:pt idx="4">
                  <c:v>64.158415841584173</c:v>
                </c:pt>
                <c:pt idx="5">
                  <c:v>128.31683168316835</c:v>
                </c:pt>
                <c:pt idx="6">
                  <c:v>256.63366336633669</c:v>
                </c:pt>
                <c:pt idx="7">
                  <c:v>497.22772277227733</c:v>
                </c:pt>
                <c:pt idx="8">
                  <c:v>994.45544554455466</c:v>
                </c:pt>
                <c:pt idx="9">
                  <c:v>1988.9108910891093</c:v>
                </c:pt>
                <c:pt idx="10">
                  <c:v>3977.8217821782187</c:v>
                </c:pt>
                <c:pt idx="11">
                  <c:v>7955.6435643564373</c:v>
                </c:pt>
                <c:pt idx="12">
                  <c:v>15927.326732673271</c:v>
                </c:pt>
                <c:pt idx="13">
                  <c:v>31854.653465346542</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43970.595070370371</c:v>
                </c:pt>
                <c:pt idx="1">
                  <c:v>43973.595070370371</c:v>
                </c:pt>
                <c:pt idx="2">
                  <c:v>43976.595070370371</c:v>
                </c:pt>
                <c:pt idx="3">
                  <c:v>43979.595070370371</c:v>
                </c:pt>
                <c:pt idx="4">
                  <c:v>43982.595070370371</c:v>
                </c:pt>
                <c:pt idx="5">
                  <c:v>43985.595070370371</c:v>
                </c:pt>
                <c:pt idx="6">
                  <c:v>43988.595070370371</c:v>
                </c:pt>
                <c:pt idx="7">
                  <c:v>43991.595070370371</c:v>
                </c:pt>
                <c:pt idx="8">
                  <c:v>43994.595070370371</c:v>
                </c:pt>
                <c:pt idx="9">
                  <c:v>43997.595070370371</c:v>
                </c:pt>
                <c:pt idx="10">
                  <c:v>44000.595070370371</c:v>
                </c:pt>
                <c:pt idx="11">
                  <c:v>44003.595070370371</c:v>
                </c:pt>
                <c:pt idx="12">
                  <c:v>44006.595070370371</c:v>
                </c:pt>
                <c:pt idx="13">
                  <c:v>44009.595070370371</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15.049504950495052</c:v>
                </c:pt>
                <c:pt idx="5">
                  <c:v>30.099009900990104</c:v>
                </c:pt>
                <c:pt idx="6">
                  <c:v>44.356435643564367</c:v>
                </c:pt>
                <c:pt idx="7">
                  <c:v>88.712871287128735</c:v>
                </c:pt>
                <c:pt idx="8">
                  <c:v>177.42574257425747</c:v>
                </c:pt>
                <c:pt idx="9">
                  <c:v>354.85148514851494</c:v>
                </c:pt>
                <c:pt idx="10">
                  <c:v>709.70297029702988</c:v>
                </c:pt>
                <c:pt idx="11">
                  <c:v>1419.4059405940598</c:v>
                </c:pt>
                <c:pt idx="12">
                  <c:v>2838.8118811881195</c:v>
                </c:pt>
                <c:pt idx="13">
                  <c:v>5677.623762376239</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43970.595070370371</c:v>
                </c:pt>
                <c:pt idx="1">
                  <c:v>43973.595070370371</c:v>
                </c:pt>
                <c:pt idx="2">
                  <c:v>43976.595070370371</c:v>
                </c:pt>
                <c:pt idx="3">
                  <c:v>43979.595070370371</c:v>
                </c:pt>
                <c:pt idx="4">
                  <c:v>43982.595070370371</c:v>
                </c:pt>
                <c:pt idx="5">
                  <c:v>43985.595070370371</c:v>
                </c:pt>
                <c:pt idx="6">
                  <c:v>43988.595070370371</c:v>
                </c:pt>
                <c:pt idx="7">
                  <c:v>43991.595070370371</c:v>
                </c:pt>
                <c:pt idx="8">
                  <c:v>43994.595070370371</c:v>
                </c:pt>
                <c:pt idx="9">
                  <c:v>43997.595070370371</c:v>
                </c:pt>
                <c:pt idx="10">
                  <c:v>44000.595070370371</c:v>
                </c:pt>
                <c:pt idx="11">
                  <c:v>44003.595070370371</c:v>
                </c:pt>
                <c:pt idx="12">
                  <c:v>44006.595070370371</c:v>
                </c:pt>
                <c:pt idx="13">
                  <c:v>44009.595070370371</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15.841584158415845</c:v>
                </c:pt>
                <c:pt idx="7">
                  <c:v>31.68316831683169</c:v>
                </c:pt>
                <c:pt idx="8">
                  <c:v>63.36633663366338</c:v>
                </c:pt>
                <c:pt idx="9">
                  <c:v>126.73267326732676</c:v>
                </c:pt>
                <c:pt idx="10">
                  <c:v>253.46534653465352</c:v>
                </c:pt>
                <c:pt idx="11">
                  <c:v>506.93069306930704</c:v>
                </c:pt>
                <c:pt idx="12">
                  <c:v>1013.8613861386141</c:v>
                </c:pt>
                <c:pt idx="13">
                  <c:v>2027.7227722772282</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Projections!$P$328:$BK$328</c15:sqref>
                  </c15:fullRef>
                </c:ext>
              </c:extLst>
              <c:f>Projections!$P$328:$AV$328</c:f>
              <c:numCache>
                <c:formatCode>#,##0_ ;[Red]\-#,##0\ </c:formatCode>
                <c:ptCount val="33"/>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65577.889617991445</c:v>
                </c:pt>
                <c:pt idx="15">
                  <c:v>155906.69596672634</c:v>
                </c:pt>
                <c:pt idx="16">
                  <c:v>111083.1714562041</c:v>
                </c:pt>
                <c:pt idx="17">
                  <c:v>132795.09456567839</c:v>
                </c:pt>
                <c:pt idx="18">
                  <c:v>155204.27961369391</c:v>
                </c:pt>
                <c:pt idx="19">
                  <c:v>307214.83534303075</c:v>
                </c:pt>
                <c:pt idx="20">
                  <c:v>366581.47241659305</c:v>
                </c:pt>
                <c:pt idx="21">
                  <c:v>462110.35835268447</c:v>
                </c:pt>
                <c:pt idx="22">
                  <c:v>417421.75695197133</c:v>
                </c:pt>
                <c:pt idx="23">
                  <c:v>776601.23678178014</c:v>
                </c:pt>
                <c:pt idx="24">
                  <c:v>858324.51411687606</c:v>
                </c:pt>
                <c:pt idx="25">
                  <c:v>932778.65398819756</c:v>
                </c:pt>
                <c:pt idx="26">
                  <c:v>1007486.2274340492</c:v>
                </c:pt>
                <c:pt idx="27">
                  <c:v>1081162.9236269523</c:v>
                </c:pt>
                <c:pt idx="28">
                  <c:v>2988353.8042221214</c:v>
                </c:pt>
                <c:pt idx="29">
                  <c:v>2980642.3503831089</c:v>
                </c:pt>
                <c:pt idx="30">
                  <c:v>3016801.6222042437</c:v>
                </c:pt>
                <c:pt idx="31">
                  <c:v>3080280.2359318747</c:v>
                </c:pt>
                <c:pt idx="32">
                  <c:v>3161824.1117100432</c:v>
                </c:pt>
              </c:numCache>
            </c:numRef>
          </c:val>
          <c:smooth val="0"/>
          <c:extLst>
            <c:ext xmlns:c16="http://schemas.microsoft.com/office/drawing/2014/chart" uri="{C3380CC4-5D6E-409C-BE32-E72D297353CC}">
              <c16:uniqueId val="{00000003-5231-4BE2-97ED-54F0C3DB105C}"/>
            </c:ext>
          </c:extLst>
        </c:ser>
        <c:ser>
          <c:idx val="2"/>
          <c:order val="1"/>
          <c:tx>
            <c:strRef>
              <c:f>Projections!$A$329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Projections!$P$329:$BK$329</c15:sqref>
                  </c15:fullRef>
                </c:ext>
              </c:extLst>
              <c:f>Projections!$P$329:$AV$329</c:f>
              <c:numCache>
                <c:formatCode>#,##0_ ;[Red]\-#,##0\ </c:formatCode>
                <c:ptCount val="33"/>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60011.596753736201</c:v>
                </c:pt>
                <c:pt idx="15">
                  <c:v>142124.36171205499</c:v>
                </c:pt>
                <c:pt idx="16">
                  <c:v>89737.506502580392</c:v>
                </c:pt>
                <c:pt idx="17">
                  <c:v>82168.218806941761</c:v>
                </c:pt>
                <c:pt idx="18">
                  <c:v>121077.37661798642</c:v>
                </c:pt>
                <c:pt idx="19">
                  <c:v>262773.41927126469</c:v>
                </c:pt>
                <c:pt idx="20">
                  <c:v>177691.1939028544</c:v>
                </c:pt>
                <c:pt idx="21">
                  <c:v>192853.94336541693</c:v>
                </c:pt>
                <c:pt idx="22">
                  <c:v>253344.27000725653</c:v>
                </c:pt>
                <c:pt idx="23">
                  <c:v>426999.78428715601</c:v>
                </c:pt>
                <c:pt idx="24">
                  <c:v>239190.72749417357</c:v>
                </c:pt>
                <c:pt idx="25">
                  <c:v>586907.27146781888</c:v>
                </c:pt>
                <c:pt idx="26">
                  <c:v>604240.6700002721</c:v>
                </c:pt>
                <c:pt idx="27">
                  <c:v>623640.49564268894</c:v>
                </c:pt>
                <c:pt idx="28">
                  <c:v>2244323.9956615889</c:v>
                </c:pt>
                <c:pt idx="29">
                  <c:v>1377097.4482461184</c:v>
                </c:pt>
                <c:pt idx="30">
                  <c:v>1351793.9528094539</c:v>
                </c:pt>
                <c:pt idx="31">
                  <c:v>1342206.0075092206</c:v>
                </c:pt>
                <c:pt idx="32">
                  <c:v>1343158.8631907988</c:v>
                </c:pt>
              </c:numCache>
            </c:numRef>
          </c:val>
          <c:smooth val="0"/>
          <c:extLst>
            <c:ext xmlns:c16="http://schemas.microsoft.com/office/drawing/2014/chart" uri="{C3380CC4-5D6E-409C-BE32-E72D297353CC}">
              <c16:uniqueId val="{00000002-9381-4A4E-BB43-DCD8EC2F4E00}"/>
            </c:ext>
          </c:extLst>
        </c:ser>
        <c:ser>
          <c:idx val="0"/>
          <c:order val="2"/>
          <c:tx>
            <c:strRef>
              <c:f>Projections!$A$330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Projections!$P$330:$BK$330</c15:sqref>
                  </c15:fullRef>
                </c:ext>
              </c:extLst>
              <c:f>Projections!$P$330:$AV$330</c:f>
              <c:numCache>
                <c:formatCode>#,##0_ ;[Red]\-#,##0\ </c:formatCode>
                <c:ptCount val="33"/>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123.70535714285711</c:v>
                </c:pt>
                <c:pt idx="13">
                  <c:v>515.59097869702066</c:v>
                </c:pt>
                <c:pt idx="14">
                  <c:v>5570.8928571428578</c:v>
                </c:pt>
                <c:pt idx="15">
                  <c:v>13823.025678649645</c:v>
                </c:pt>
                <c:pt idx="16">
                  <c:v>21428.939201378067</c:v>
                </c:pt>
                <c:pt idx="17">
                  <c:v>50945.755168707459</c:v>
                </c:pt>
                <c:pt idx="18">
                  <c:v>35451.144071431758</c:v>
                </c:pt>
                <c:pt idx="19">
                  <c:v>44728.891495247604</c:v>
                </c:pt>
                <c:pt idx="20">
                  <c:v>144907.46798650004</c:v>
                </c:pt>
                <c:pt idx="21">
                  <c:v>181438.18611984747</c:v>
                </c:pt>
                <c:pt idx="22">
                  <c:v>173150.71064765757</c:v>
                </c:pt>
                <c:pt idx="23">
                  <c:v>100993.5051653088</c:v>
                </c:pt>
                <c:pt idx="24">
                  <c:v>120289.85912445208</c:v>
                </c:pt>
                <c:pt idx="25">
                  <c:v>138853.90524958592</c:v>
                </c:pt>
                <c:pt idx="26">
                  <c:v>157573.65804915063</c:v>
                </c:pt>
                <c:pt idx="27">
                  <c:v>176227.45834120753</c:v>
                </c:pt>
                <c:pt idx="28">
                  <c:v>504467.2356295627</c:v>
                </c:pt>
                <c:pt idx="29">
                  <c:v>532293.27737563313</c:v>
                </c:pt>
                <c:pt idx="30">
                  <c:v>562560.37901915691</c:v>
                </c:pt>
                <c:pt idx="31">
                  <c:v>594442.6733543023</c:v>
                </c:pt>
                <c:pt idx="32">
                  <c:v>627439.75900956581</c:v>
                </c:pt>
              </c:numCache>
            </c:numRef>
          </c:val>
          <c:smooth val="0"/>
          <c:extLst>
            <c:ext xmlns:c16="http://schemas.microsoft.com/office/drawing/2014/chart" uri="{C3380CC4-5D6E-409C-BE32-E72D297353CC}">
              <c16:uniqueId val="{00000000-9381-4A4E-BB43-DCD8EC2F4E00}"/>
            </c:ext>
          </c:extLst>
        </c:ser>
        <c:ser>
          <c:idx val="4"/>
          <c:order val="3"/>
          <c:tx>
            <c:strRef>
              <c:f>Projections!$A$331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Projections!$P$331:$BK$331</c15:sqref>
                  </c15:fullRef>
                </c:ext>
              </c:extLst>
              <c:f>Projections!$P$331:$AV$331</c:f>
              <c:numCache>
                <c:formatCode>#,##0_ ;[Red]\-#,##0\ </c:formatCode>
                <c:ptCount val="33"/>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121.95297559059789</c:v>
                </c:pt>
                <c:pt idx="13">
                  <c:v>512.48161226603429</c:v>
                </c:pt>
                <c:pt idx="14">
                  <c:v>5557.792864255247</c:v>
                </c:pt>
                <c:pt idx="15">
                  <c:v>13764.945321506788</c:v>
                </c:pt>
                <c:pt idx="16">
                  <c:v>21278.039953623709</c:v>
                </c:pt>
                <c:pt idx="17">
                  <c:v>50430.164190010437</c:v>
                </c:pt>
                <c:pt idx="18">
                  <c:v>33551.402995707496</c:v>
                </c:pt>
                <c:pt idx="19">
                  <c:v>31563.302331317282</c:v>
                </c:pt>
                <c:pt idx="20">
                  <c:v>105867.17701365154</c:v>
                </c:pt>
                <c:pt idx="21">
                  <c:v>125567.8816945006</c:v>
                </c:pt>
                <c:pt idx="22">
                  <c:v>16518.266314172652</c:v>
                </c:pt>
                <c:pt idx="23">
                  <c:v>17852.036103622348</c:v>
                </c:pt>
                <c:pt idx="24">
                  <c:v>0</c:v>
                </c:pt>
                <c:pt idx="25">
                  <c:v>0</c:v>
                </c:pt>
                <c:pt idx="26">
                  <c:v>0</c:v>
                </c:pt>
                <c:pt idx="27">
                  <c:v>0</c:v>
                </c:pt>
                <c:pt idx="28">
                  <c:v>178220.76324596221</c:v>
                </c:pt>
                <c:pt idx="29">
                  <c:v>0</c:v>
                </c:pt>
                <c:pt idx="30">
                  <c:v>0</c:v>
                </c:pt>
                <c:pt idx="31">
                  <c:v>0</c:v>
                </c:pt>
                <c:pt idx="32">
                  <c:v>0</c:v>
                </c:pt>
              </c:numCache>
            </c:numRef>
          </c:val>
          <c:smooth val="0"/>
          <c:extLst>
            <c:ext xmlns:c16="http://schemas.microsoft.com/office/drawing/2014/chart" uri="{C3380CC4-5D6E-409C-BE32-E72D297353CC}">
              <c16:uniqueId val="{00000003-9381-4A4E-BB43-DCD8EC2F4E00}"/>
            </c:ext>
          </c:extLst>
        </c:ser>
        <c:ser>
          <c:idx val="1"/>
          <c:order val="4"/>
          <c:tx>
            <c:strRef>
              <c:f>Projections!$A$332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Projections!$P$332:$BK$332</c15:sqref>
                  </c15:fullRef>
                </c:ext>
              </c:extLst>
              <c:f>Projections!$P$332:$AV$332</c:f>
              <c:numCache>
                <c:formatCode>#,##0_ ;[Red]\-#,##0\ </c:formatCode>
                <c:ptCount val="33"/>
                <c:pt idx="0">
                  <c:v>1.578125</c:v>
                </c:pt>
                <c:pt idx="1">
                  <c:v>3.15625</c:v>
                </c:pt>
                <c:pt idx="2">
                  <c:v>6.3125</c:v>
                </c:pt>
                <c:pt idx="3">
                  <c:v>12.625</c:v>
                </c:pt>
                <c:pt idx="4">
                  <c:v>25.25</c:v>
                </c:pt>
                <c:pt idx="5">
                  <c:v>50.5</c:v>
                </c:pt>
                <c:pt idx="6">
                  <c:v>101</c:v>
                </c:pt>
                <c:pt idx="7">
                  <c:v>202</c:v>
                </c:pt>
                <c:pt idx="8">
                  <c:v>404</c:v>
                </c:pt>
                <c:pt idx="9">
                  <c:v>808</c:v>
                </c:pt>
                <c:pt idx="10">
                  <c:v>1616</c:v>
                </c:pt>
                <c:pt idx="11">
                  <c:v>3232</c:v>
                </c:pt>
                <c:pt idx="12">
                  <c:v>6464</c:v>
                </c:pt>
                <c:pt idx="13">
                  <c:v>12928</c:v>
                </c:pt>
                <c:pt idx="14">
                  <c:v>25856</c:v>
                </c:pt>
                <c:pt idx="15">
                  <c:v>32320.000000000004</c:v>
                </c:pt>
                <c:pt idx="16">
                  <c:v>38784</c:v>
                </c:pt>
                <c:pt idx="17">
                  <c:v>45248</c:v>
                </c:pt>
                <c:pt idx="18">
                  <c:v>51712</c:v>
                </c:pt>
                <c:pt idx="19">
                  <c:v>66191.360000000001</c:v>
                </c:pt>
                <c:pt idx="20">
                  <c:v>77568</c:v>
                </c:pt>
                <c:pt idx="21">
                  <c:v>90496</c:v>
                </c:pt>
                <c:pt idx="22">
                  <c:v>103424</c:v>
                </c:pt>
                <c:pt idx="23">
                  <c:v>124108.8</c:v>
                </c:pt>
                <c:pt idx="24">
                  <c:v>144793.60000000001</c:v>
                </c:pt>
                <c:pt idx="25">
                  <c:v>165478.40000000002</c:v>
                </c:pt>
                <c:pt idx="26">
                  <c:v>186163.20000000001</c:v>
                </c:pt>
                <c:pt idx="27">
                  <c:v>206848</c:v>
                </c:pt>
                <c:pt idx="28">
                  <c:v>248217.60000000001</c:v>
                </c:pt>
                <c:pt idx="29">
                  <c:v>289587.20000000001</c:v>
                </c:pt>
                <c:pt idx="30">
                  <c:v>330956.80000000005</c:v>
                </c:pt>
                <c:pt idx="31">
                  <c:v>372326.40000000002</c:v>
                </c:pt>
                <c:pt idx="32">
                  <c:v>413696</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Projections!$A$350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Projections!$P$350:$BK$350</c15:sqref>
                  </c15:fullRef>
                </c:ext>
              </c:extLst>
              <c:f>Projections!$P$350:$AV$350</c:f>
              <c:numCache>
                <c:formatCode>#,##0</c:formatCode>
                <c:ptCount val="33"/>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numCache>
            </c:numRef>
          </c:val>
          <c:smooth val="0"/>
          <c:extLst>
            <c:ext xmlns:c16="http://schemas.microsoft.com/office/drawing/2014/chart" uri="{C3380CC4-5D6E-409C-BE32-E72D297353CC}">
              <c16:uniqueId val="{00000000-04B6-450D-AD81-6BF382C059D1}"/>
            </c:ext>
          </c:extLst>
        </c:ser>
        <c:ser>
          <c:idx val="2"/>
          <c:order val="1"/>
          <c:tx>
            <c:strRef>
              <c:f>Projections!$A$352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Projections!$P$352:$BK$352</c15:sqref>
                  </c15:fullRef>
                </c:ext>
              </c:extLst>
              <c:f>Projections!$P$352:$AV$352</c:f>
              <c:numCache>
                <c:formatCode>#,##0</c:formatCode>
                <c:ptCount val="33"/>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pt idx="28">
                  <c:v>524017.91793585377</c:v>
                </c:pt>
                <c:pt idx="29">
                  <c:v>611354.23759182938</c:v>
                </c:pt>
                <c:pt idx="30">
                  <c:v>698690.55724780506</c:v>
                </c:pt>
                <c:pt idx="31">
                  <c:v>786026.87690378062</c:v>
                </c:pt>
                <c:pt idx="32">
                  <c:v>873363.1965597563</c:v>
                </c:pt>
              </c:numCache>
            </c:numRef>
          </c:val>
          <c:smooth val="0"/>
          <c:extLst>
            <c:ext xmlns:c16="http://schemas.microsoft.com/office/drawing/2014/chart" uri="{C3380CC4-5D6E-409C-BE32-E72D297353CC}">
              <c16:uniqueId val="{00000002-04B6-450D-AD81-6BF382C059D1}"/>
            </c:ext>
          </c:extLst>
        </c:ser>
        <c:ser>
          <c:idx val="4"/>
          <c:order val="2"/>
          <c:tx>
            <c:strRef>
              <c:f>Projections!$A$354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Projections!$P$354:$BK$354</c15:sqref>
                  </c15:fullRef>
                </c:ext>
              </c:extLst>
              <c:f>Projections!$P$354:$AV$354</c:f>
              <c:numCache>
                <c:formatCode>#,##0</c:formatCode>
                <c:ptCount val="33"/>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pt idx="28">
                  <c:v>822576.02580182755</c:v>
                </c:pt>
                <c:pt idx="29">
                  <c:v>959672.03010213212</c:v>
                </c:pt>
                <c:pt idx="30">
                  <c:v>1096768.0344024368</c:v>
                </c:pt>
                <c:pt idx="31">
                  <c:v>1233864.0387027413</c:v>
                </c:pt>
                <c:pt idx="32">
                  <c:v>1370960.043003046</c:v>
                </c:pt>
              </c:numCache>
            </c:numRef>
          </c:val>
          <c:smooth val="0"/>
          <c:extLst>
            <c:ext xmlns:c16="http://schemas.microsoft.com/office/drawing/2014/chart" uri="{C3380CC4-5D6E-409C-BE32-E72D297353CC}">
              <c16:uniqueId val="{00000004-04B6-450D-AD81-6BF382C059D1}"/>
            </c:ext>
          </c:extLst>
        </c:ser>
        <c:ser>
          <c:idx val="6"/>
          <c:order val="3"/>
          <c:tx>
            <c:strRef>
              <c:f>Projections!$A$356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Projections!$P$356:$BK$356</c15:sqref>
                  </c15:fullRef>
                </c:ext>
              </c:extLst>
              <c:f>Projections!$P$356:$AV$356</c:f>
              <c:numCache>
                <c:formatCode>#,##0</c:formatCode>
                <c:ptCount val="33"/>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pt idx="28">
                  <c:v>763568.96613510128</c:v>
                </c:pt>
                <c:pt idx="29">
                  <c:v>890830.46049095143</c:v>
                </c:pt>
                <c:pt idx="30">
                  <c:v>1018091.9548468017</c:v>
                </c:pt>
                <c:pt idx="31">
                  <c:v>1145353.4492026519</c:v>
                </c:pt>
                <c:pt idx="32">
                  <c:v>1272614.943558502</c:v>
                </c:pt>
              </c:numCache>
            </c:numRef>
          </c:val>
          <c:smooth val="0"/>
          <c:extLst>
            <c:ext xmlns:c16="http://schemas.microsoft.com/office/drawing/2014/chart" uri="{C3380CC4-5D6E-409C-BE32-E72D297353CC}">
              <c16:uniqueId val="{00000006-04B6-450D-AD81-6BF382C059D1}"/>
            </c:ext>
          </c:extLst>
        </c:ser>
        <c:ser>
          <c:idx val="8"/>
          <c:order val="4"/>
          <c:tx>
            <c:strRef>
              <c:f>Projections!$A$358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Projections!$P$358:$BK$358</c15:sqref>
                  </c15:fullRef>
                </c:ext>
              </c:extLst>
              <c:f>Projections!$P$358:$AV$358</c:f>
              <c:numCache>
                <c:formatCode>#,##0</c:formatCode>
                <c:ptCount val="33"/>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pt idx="28">
                  <c:v>637628.5253538792</c:v>
                </c:pt>
                <c:pt idx="29">
                  <c:v>743899.94624619244</c:v>
                </c:pt>
                <c:pt idx="30">
                  <c:v>850171.36713850556</c:v>
                </c:pt>
                <c:pt idx="31">
                  <c:v>956442.7880308188</c:v>
                </c:pt>
                <c:pt idx="32">
                  <c:v>1062714.2089231319</c:v>
                </c:pt>
              </c:numCache>
            </c:numRef>
          </c:val>
          <c:smooth val="0"/>
          <c:extLst>
            <c:ext xmlns:c16="http://schemas.microsoft.com/office/drawing/2014/chart" uri="{C3380CC4-5D6E-409C-BE32-E72D297353CC}">
              <c16:uniqueId val="{00000008-04B6-450D-AD81-6BF382C059D1}"/>
            </c:ext>
          </c:extLst>
        </c:ser>
        <c:ser>
          <c:idx val="10"/>
          <c:order val="5"/>
          <c:tx>
            <c:strRef>
              <c:f>Projections!$A$360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Projections!$P$360:$BK$360</c15:sqref>
                  </c15:fullRef>
                </c:ext>
              </c:extLst>
              <c:f>Projections!$P$360:$AV$360</c:f>
              <c:numCache>
                <c:formatCode>#,##0</c:formatCode>
                <c:ptCount val="33"/>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pt idx="28">
                  <c:v>773256.69234904135</c:v>
                </c:pt>
                <c:pt idx="29">
                  <c:v>902132.80774054828</c:v>
                </c:pt>
                <c:pt idx="30">
                  <c:v>1031008.9231320551</c:v>
                </c:pt>
                <c:pt idx="31">
                  <c:v>1159885.038523562</c:v>
                </c:pt>
                <c:pt idx="32">
                  <c:v>1288761.1539150688</c:v>
                </c:pt>
              </c:numCache>
            </c:numRef>
          </c:val>
          <c:smooth val="0"/>
          <c:extLst>
            <c:ext xmlns:c16="http://schemas.microsoft.com/office/drawing/2014/chart" uri="{C3380CC4-5D6E-409C-BE32-E72D297353CC}">
              <c16:uniqueId val="{0000000A-04B6-450D-AD81-6BF382C059D1}"/>
            </c:ext>
          </c:extLst>
        </c:ser>
        <c:ser>
          <c:idx val="12"/>
          <c:order val="6"/>
          <c:tx>
            <c:strRef>
              <c:f>Projections!$A$362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Projections!$P$362:$BK$362</c15:sqref>
                  </c15:fullRef>
                </c:ext>
              </c:extLst>
              <c:f>Projections!$P$362:$AV$362</c:f>
              <c:numCache>
                <c:formatCode>#,##0</c:formatCode>
                <c:ptCount val="33"/>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pt idx="28">
                  <c:v>1062127.074001075</c:v>
                </c:pt>
                <c:pt idx="29">
                  <c:v>1239148.2530012543</c:v>
                </c:pt>
                <c:pt idx="30">
                  <c:v>1416169.4320014333</c:v>
                </c:pt>
                <c:pt idx="31">
                  <c:v>1593190.6110016126</c:v>
                </c:pt>
                <c:pt idx="32">
                  <c:v>1770211.7900017917</c:v>
                </c:pt>
              </c:numCache>
            </c:numRef>
          </c:val>
          <c:smooth val="0"/>
          <c:extLst>
            <c:ext xmlns:c16="http://schemas.microsoft.com/office/drawing/2014/chart" uri="{C3380CC4-5D6E-409C-BE32-E72D297353CC}">
              <c16:uniqueId val="{0000000C-04B6-450D-AD81-6BF382C059D1}"/>
            </c:ext>
          </c:extLst>
        </c:ser>
        <c:ser>
          <c:idx val="14"/>
          <c:order val="7"/>
          <c:tx>
            <c:strRef>
              <c:f>Projections!$A$364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Projections!$P$364:$BK$364</c15:sqref>
                  </c15:fullRef>
                </c:ext>
              </c:extLst>
              <c:f>Projections!$P$364:$AV$364</c:f>
              <c:numCache>
                <c:formatCode>#,##0</c:formatCode>
                <c:ptCount val="33"/>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numCache>
            </c:numRef>
          </c:val>
          <c:smooth val="0"/>
          <c:extLst>
            <c:ext xmlns:c16="http://schemas.microsoft.com/office/drawing/2014/chart" uri="{C3380CC4-5D6E-409C-BE32-E72D297353CC}">
              <c16:uniqueId val="{0000000E-04B6-450D-AD81-6BF382C059D1}"/>
            </c:ext>
          </c:extLst>
        </c:ser>
        <c:ser>
          <c:idx val="16"/>
          <c:order val="8"/>
          <c:tx>
            <c:strRef>
              <c:f>Projections!$A$366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Projections!$P$366:$BK$366</c15:sqref>
                  </c15:fullRef>
                </c:ext>
              </c:extLst>
              <c:f>Projections!$P$366:$AV$366</c:f>
              <c:numCache>
                <c:formatCode>#,##0</c:formatCode>
                <c:ptCount val="33"/>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pt idx="28">
                  <c:v>48438.631069700765</c:v>
                </c:pt>
                <c:pt idx="29">
                  <c:v>56511.736247984227</c:v>
                </c:pt>
                <c:pt idx="30">
                  <c:v>64584.841426267689</c:v>
                </c:pt>
                <c:pt idx="31">
                  <c:v>72657.946604551151</c:v>
                </c:pt>
                <c:pt idx="32">
                  <c:v>80731.051782834606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Projections!$A$350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Projections!$P$351:$BK$351</c15:sqref>
                  </c15:fullRef>
                </c:ext>
              </c:extLst>
              <c:f>Projections!$P$351:$AV$351</c:f>
              <c:numCache>
                <c:formatCode>#,##0</c:formatCode>
                <c:ptCount val="33"/>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pt idx="28">
                  <c:v>20985.376384160543</c:v>
                </c:pt>
                <c:pt idx="29">
                  <c:v>24482.939114853965</c:v>
                </c:pt>
                <c:pt idx="30">
                  <c:v>27980.501845547391</c:v>
                </c:pt>
                <c:pt idx="31">
                  <c:v>31478.064576240813</c:v>
                </c:pt>
                <c:pt idx="32">
                  <c:v>34975.627306934235</c:v>
                </c:pt>
              </c:numCache>
            </c:numRef>
          </c:val>
          <c:smooth val="0"/>
          <c:extLst>
            <c:ext xmlns:c16="http://schemas.microsoft.com/office/drawing/2014/chart" uri="{C3380CC4-5D6E-409C-BE32-E72D297353CC}">
              <c16:uniqueId val="{00000001-EBAD-48A5-9277-83F388186C0C}"/>
            </c:ext>
          </c:extLst>
        </c:ser>
        <c:ser>
          <c:idx val="3"/>
          <c:order val="1"/>
          <c:tx>
            <c:strRef>
              <c:f>Projections!$A$352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Projections!$P$353:$BK$353</c15:sqref>
                  </c15:fullRef>
                </c:ext>
              </c:extLst>
              <c:f>Projections!$P$353:$AV$353</c:f>
              <c:numCache>
                <c:formatCode>#,##0</c:formatCode>
                <c:ptCount val="33"/>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pt idx="28">
                  <c:v>41921.433434868304</c:v>
                </c:pt>
                <c:pt idx="29">
                  <c:v>48908.339007346352</c:v>
                </c:pt>
                <c:pt idx="30">
                  <c:v>55895.244579824408</c:v>
                </c:pt>
                <c:pt idx="31">
                  <c:v>62882.150152302449</c:v>
                </c:pt>
                <c:pt idx="32">
                  <c:v>69869.055724780512</c:v>
                </c:pt>
              </c:numCache>
            </c:numRef>
          </c:val>
          <c:smooth val="0"/>
          <c:extLst>
            <c:ext xmlns:c16="http://schemas.microsoft.com/office/drawing/2014/chart" uri="{C3380CC4-5D6E-409C-BE32-E72D297353CC}">
              <c16:uniqueId val="{00000003-EBAD-48A5-9277-83F388186C0C}"/>
            </c:ext>
          </c:extLst>
        </c:ser>
        <c:ser>
          <c:idx val="5"/>
          <c:order val="2"/>
          <c:tx>
            <c:strRef>
              <c:f>Projections!$A$354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Projections!$P$355:$BK$355</c15:sqref>
                  </c15:fullRef>
                </c:ext>
              </c:extLst>
              <c:f>Projections!$P$355:$AV$355</c:f>
              <c:numCache>
                <c:formatCode>#,##0</c:formatCode>
                <c:ptCount val="33"/>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pt idx="28">
                  <c:v>29612.73692886579</c:v>
                </c:pt>
                <c:pt idx="29">
                  <c:v>34548.193083676757</c:v>
                </c:pt>
                <c:pt idx="30">
                  <c:v>39483.64923848772</c:v>
                </c:pt>
                <c:pt idx="31">
                  <c:v>44419.105393298683</c:v>
                </c:pt>
                <c:pt idx="32">
                  <c:v>49354.561548109654</c:v>
                </c:pt>
              </c:numCache>
            </c:numRef>
          </c:val>
          <c:smooth val="0"/>
          <c:extLst>
            <c:ext xmlns:c16="http://schemas.microsoft.com/office/drawing/2014/chart" uri="{C3380CC4-5D6E-409C-BE32-E72D297353CC}">
              <c16:uniqueId val="{00000005-EBAD-48A5-9277-83F388186C0C}"/>
            </c:ext>
          </c:extLst>
        </c:ser>
        <c:ser>
          <c:idx val="7"/>
          <c:order val="3"/>
          <c:tx>
            <c:strRef>
              <c:f>Projections!$A$356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Projections!$P$357:$BK$357</c15:sqref>
                  </c15:fullRef>
                </c:ext>
              </c:extLst>
              <c:f>Projections!$P$357:$AV$357</c:f>
              <c:numCache>
                <c:formatCode>#,##0</c:formatCode>
                <c:ptCount val="33"/>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pt idx="28">
                  <c:v>9926.3965597563165</c:v>
                </c:pt>
                <c:pt idx="29">
                  <c:v>11580.795986382369</c:v>
                </c:pt>
                <c:pt idx="30">
                  <c:v>13235.195413008421</c:v>
                </c:pt>
                <c:pt idx="31">
                  <c:v>14889.594839634474</c:v>
                </c:pt>
                <c:pt idx="32">
                  <c:v>16543.994266260524</c:v>
                </c:pt>
              </c:numCache>
            </c:numRef>
          </c:val>
          <c:smooth val="0"/>
          <c:extLst>
            <c:ext xmlns:c16="http://schemas.microsoft.com/office/drawing/2014/chart" uri="{C3380CC4-5D6E-409C-BE32-E72D297353CC}">
              <c16:uniqueId val="{00000007-EBAD-48A5-9277-83F388186C0C}"/>
            </c:ext>
          </c:extLst>
        </c:ser>
        <c:ser>
          <c:idx val="9"/>
          <c:order val="4"/>
          <c:tx>
            <c:strRef>
              <c:f>Projections!$A$358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Projections!$P$359:$BK$359</c15:sqref>
                  </c15:fullRef>
                </c:ext>
              </c:extLst>
              <c:f>Projections!$P$359:$AV$359</c:f>
              <c:numCache>
                <c:formatCode>#,##0</c:formatCode>
                <c:ptCount val="33"/>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pt idx="28">
                  <c:v>2550.514101415517</c:v>
                </c:pt>
                <c:pt idx="29">
                  <c:v>2975.5997849847699</c:v>
                </c:pt>
                <c:pt idx="30">
                  <c:v>3400.6854685540225</c:v>
                </c:pt>
                <c:pt idx="31">
                  <c:v>3825.7711521232754</c:v>
                </c:pt>
                <c:pt idx="32">
                  <c:v>4250.856835692528</c:v>
                </c:pt>
              </c:numCache>
            </c:numRef>
          </c:val>
          <c:smooth val="0"/>
          <c:extLst>
            <c:ext xmlns:c16="http://schemas.microsoft.com/office/drawing/2014/chart" uri="{C3380CC4-5D6E-409C-BE32-E72D297353CC}">
              <c16:uniqueId val="{00000009-EBAD-48A5-9277-83F388186C0C}"/>
            </c:ext>
          </c:extLst>
        </c:ser>
        <c:ser>
          <c:idx val="11"/>
          <c:order val="5"/>
          <c:tx>
            <c:strRef>
              <c:f>Projections!$A$360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Projections!$P$361:$BK$361</c15:sqref>
                  </c15:fullRef>
                </c:ext>
              </c:extLst>
              <c:f>Projections!$P$361:$AV$361</c:f>
              <c:numCache>
                <c:formatCode>#,##0</c:formatCode>
                <c:ptCount val="33"/>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pt idx="28">
                  <c:v>1546.5133846980827</c:v>
                </c:pt>
                <c:pt idx="29">
                  <c:v>1804.2656154810966</c:v>
                </c:pt>
                <c:pt idx="30">
                  <c:v>2062.0178462641102</c:v>
                </c:pt>
                <c:pt idx="31">
                  <c:v>2319.7700770471242</c:v>
                </c:pt>
                <c:pt idx="32">
                  <c:v>2577.5223078301378</c:v>
                </c:pt>
              </c:numCache>
            </c:numRef>
          </c:val>
          <c:smooth val="0"/>
          <c:extLst>
            <c:ext xmlns:c16="http://schemas.microsoft.com/office/drawing/2014/chart" uri="{C3380CC4-5D6E-409C-BE32-E72D297353CC}">
              <c16:uniqueId val="{0000000B-EBAD-48A5-9277-83F388186C0C}"/>
            </c:ext>
          </c:extLst>
        </c:ser>
        <c:ser>
          <c:idx val="13"/>
          <c:order val="6"/>
          <c:tx>
            <c:strRef>
              <c:f>Projections!$A$362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Projections!$P$363:$BK$363</c15:sqref>
                  </c15:fullRef>
                </c:ext>
              </c:extLst>
              <c:f>Projections!$P$363:$AV$363</c:f>
              <c:numCache>
                <c:formatCode>#,##0</c:formatCode>
                <c:ptCount val="33"/>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pt idx="28">
                  <c:v>2124.25414800215</c:v>
                </c:pt>
                <c:pt idx="29">
                  <c:v>2478.2965060025085</c:v>
                </c:pt>
                <c:pt idx="30">
                  <c:v>2832.3388640028666</c:v>
                </c:pt>
                <c:pt idx="31">
                  <c:v>3186.3812220032255</c:v>
                </c:pt>
                <c:pt idx="32">
                  <c:v>3540.4235800035835</c:v>
                </c:pt>
              </c:numCache>
            </c:numRef>
          </c:val>
          <c:smooth val="0"/>
          <c:extLst>
            <c:ext xmlns:c16="http://schemas.microsoft.com/office/drawing/2014/chart" uri="{C3380CC4-5D6E-409C-BE32-E72D297353CC}">
              <c16:uniqueId val="{0000000D-EBAD-48A5-9277-83F388186C0C}"/>
            </c:ext>
          </c:extLst>
        </c:ser>
        <c:ser>
          <c:idx val="15"/>
          <c:order val="7"/>
          <c:tx>
            <c:strRef>
              <c:f>Projections!$A$364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Projections!$P$365:$BK$365</c15:sqref>
                  </c15:fullRef>
                </c:ext>
              </c:extLst>
              <c:f>Projections!$P$365:$AV$365</c:f>
              <c:numCache>
                <c:formatCode>#,##0</c:formatCode>
                <c:ptCount val="33"/>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pt idx="28">
                  <c:v>283.58616735352086</c:v>
                </c:pt>
                <c:pt idx="29">
                  <c:v>330.85052857910767</c:v>
                </c:pt>
                <c:pt idx="30">
                  <c:v>378.11488980469454</c:v>
                </c:pt>
                <c:pt idx="31">
                  <c:v>425.3792510302813</c:v>
                </c:pt>
                <c:pt idx="32">
                  <c:v>472.64361225586811</c:v>
                </c:pt>
              </c:numCache>
            </c:numRef>
          </c:val>
          <c:smooth val="0"/>
          <c:extLst>
            <c:ext xmlns:c16="http://schemas.microsoft.com/office/drawing/2014/chart" uri="{C3380CC4-5D6E-409C-BE32-E72D297353CC}">
              <c16:uniqueId val="{0000000F-EBAD-48A5-9277-83F388186C0C}"/>
            </c:ext>
          </c:extLst>
        </c:ser>
        <c:ser>
          <c:idx val="17"/>
          <c:order val="8"/>
          <c:tx>
            <c:strRef>
              <c:f>Projections!$A$366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Projections!$P$367:$BK$367</c15:sqref>
                  </c15:fullRef>
                </c:ext>
              </c:extLst>
              <c:f>Projections!$P$367:$AV$367</c:f>
              <c:numCache>
                <c:formatCode>#,##0</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Projections!$A$379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Projections!$P$379:$BK$379</c15:sqref>
                  </c15:fullRef>
                </c:ext>
              </c:extLst>
              <c:f>Projections!$P$379:$AV$379</c:f>
              <c:numCache>
                <c:formatCode>#,##0</c:formatCode>
                <c:ptCount val="33"/>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pt idx="28">
                  <c:v>2260992</c:v>
                </c:pt>
                <c:pt idx="29">
                  <c:v>2637824</c:v>
                </c:pt>
                <c:pt idx="30">
                  <c:v>3014656</c:v>
                </c:pt>
                <c:pt idx="31">
                  <c:v>3391488</c:v>
                </c:pt>
                <c:pt idx="32">
                  <c:v>3768320</c:v>
                </c:pt>
              </c:numCache>
            </c:numRef>
          </c:val>
          <c:smooth val="0"/>
          <c:extLst>
            <c:ext xmlns:c16="http://schemas.microsoft.com/office/drawing/2014/chart" uri="{C3380CC4-5D6E-409C-BE32-E72D297353CC}">
              <c16:uniqueId val="{0000001E-05DD-4DD4-A5B5-12D162507280}"/>
            </c:ext>
          </c:extLst>
        </c:ser>
        <c:ser>
          <c:idx val="4"/>
          <c:order val="1"/>
          <c:tx>
            <c:strRef>
              <c:f>Projections!$A$377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Projections!$P$377:$BK$377</c15:sqref>
                  </c15:fullRef>
                </c:ext>
              </c:extLst>
              <c:f>Projections!$P$377:$AV$377</c:f>
              <c:numCache>
                <c:formatCode>#,##0</c:formatCode>
                <c:ptCount val="33"/>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pt idx="28">
                  <c:v>658636.80000000005</c:v>
                </c:pt>
                <c:pt idx="29">
                  <c:v>768409.60000000009</c:v>
                </c:pt>
                <c:pt idx="30">
                  <c:v>878182.40000000002</c:v>
                </c:pt>
                <c:pt idx="31">
                  <c:v>987955.20000000007</c:v>
                </c:pt>
                <c:pt idx="32">
                  <c:v>1097728</c:v>
                </c:pt>
              </c:numCache>
            </c:numRef>
          </c:val>
          <c:smooth val="0"/>
          <c:extLst>
            <c:ext xmlns:c16="http://schemas.microsoft.com/office/drawing/2014/chart" uri="{C3380CC4-5D6E-409C-BE32-E72D297353CC}">
              <c16:uniqueId val="{0000001C-05DD-4DD4-A5B5-12D162507280}"/>
            </c:ext>
          </c:extLst>
        </c:ser>
        <c:ser>
          <c:idx val="10"/>
          <c:order val="2"/>
          <c:tx>
            <c:strRef>
              <c:f>Projections!$A$383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Projections!$P$383:$BK$383</c15:sqref>
                  </c15:fullRef>
                </c:ext>
              </c:extLst>
              <c:f>Projections!$P$383:$AV$383</c:f>
              <c:numCache>
                <c:formatCode>#,##0</c:formatCode>
                <c:ptCount val="33"/>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pt idx="28">
                  <c:v>761856</c:v>
                </c:pt>
                <c:pt idx="29">
                  <c:v>888832</c:v>
                </c:pt>
                <c:pt idx="30">
                  <c:v>1015808</c:v>
                </c:pt>
                <c:pt idx="31">
                  <c:v>1142784</c:v>
                </c:pt>
                <c:pt idx="32">
                  <c:v>1269760</c:v>
                </c:pt>
              </c:numCache>
            </c:numRef>
          </c:val>
          <c:smooth val="0"/>
          <c:extLst>
            <c:ext xmlns:c16="http://schemas.microsoft.com/office/drawing/2014/chart" uri="{C3380CC4-5D6E-409C-BE32-E72D297353CC}">
              <c16:uniqueId val="{00000022-05DD-4DD4-A5B5-12D162507280}"/>
            </c:ext>
          </c:extLst>
        </c:ser>
        <c:ser>
          <c:idx val="0"/>
          <c:order val="3"/>
          <c:tx>
            <c:strRef>
              <c:f>Projections!$A$373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Projections!$P$373:$BK$373</c15:sqref>
                  </c15:fullRef>
                </c:ext>
              </c:extLst>
              <c:f>Projections!$P$373:$AV$373</c:f>
              <c:numCache>
                <c:formatCode>#,##0</c:formatCode>
                <c:ptCount val="33"/>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pt idx="28">
                  <c:v>1808793.5999999999</c:v>
                </c:pt>
                <c:pt idx="29">
                  <c:v>2110259.2000000002</c:v>
                </c:pt>
                <c:pt idx="30">
                  <c:v>2411724.7999999998</c:v>
                </c:pt>
                <c:pt idx="31">
                  <c:v>2713190.3999999999</c:v>
                </c:pt>
                <c:pt idx="32">
                  <c:v>3014656</c:v>
                </c:pt>
              </c:numCache>
            </c:numRef>
          </c:val>
          <c:smooth val="0"/>
          <c:extLst>
            <c:ext xmlns:c16="http://schemas.microsoft.com/office/drawing/2014/chart" uri="{C3380CC4-5D6E-409C-BE32-E72D297353CC}">
              <c16:uniqueId val="{00000018-05DD-4DD4-A5B5-12D162507280}"/>
            </c:ext>
          </c:extLst>
        </c:ser>
        <c:ser>
          <c:idx val="2"/>
          <c:order val="4"/>
          <c:tx>
            <c:strRef>
              <c:f>Projections!$A$375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Projections!$P$375:$BK$375</c15:sqref>
                  </c15:fullRef>
                </c:ext>
              </c:extLst>
              <c:f>Projections!$P$375:$AV$375</c:f>
              <c:numCache>
                <c:formatCode>#,##0</c:formatCode>
                <c:ptCount val="33"/>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pt idx="28">
                  <c:v>481689.60000000003</c:v>
                </c:pt>
                <c:pt idx="29">
                  <c:v>561971.20000000007</c:v>
                </c:pt>
                <c:pt idx="30">
                  <c:v>642252.80000000005</c:v>
                </c:pt>
                <c:pt idx="31">
                  <c:v>722534.40000000002</c:v>
                </c:pt>
                <c:pt idx="32">
                  <c:v>802816</c:v>
                </c:pt>
              </c:numCache>
            </c:numRef>
          </c:val>
          <c:smooth val="0"/>
          <c:extLst>
            <c:ext xmlns:c16="http://schemas.microsoft.com/office/drawing/2014/chart" uri="{C3380CC4-5D6E-409C-BE32-E72D297353CC}">
              <c16:uniqueId val="{0000001A-05DD-4DD4-A5B5-12D162507280}"/>
            </c:ext>
          </c:extLst>
        </c:ser>
        <c:ser>
          <c:idx val="8"/>
          <c:order val="5"/>
          <c:tx>
            <c:strRef>
              <c:f>Projections!$A$381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Projections!$P$381:$BK$381</c15:sqref>
                  </c15:fullRef>
                </c:ext>
              </c:extLst>
              <c:f>Projections!$P$381:$AV$381</c:f>
              <c:numCache>
                <c:formatCode>#,##0</c:formatCode>
                <c:ptCount val="33"/>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pt idx="28">
                  <c:v>21577.727999999999</c:v>
                </c:pt>
                <c:pt idx="29">
                  <c:v>25174.016</c:v>
                </c:pt>
                <c:pt idx="30">
                  <c:v>28770.304</c:v>
                </c:pt>
                <c:pt idx="31">
                  <c:v>32366.591999999997</c:v>
                </c:pt>
                <c:pt idx="32">
                  <c:v>35962.879999999997</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Projections!$A$379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Projections!$P$380:$BK$380</c15:sqref>
                  </c15:fullRef>
                </c:ext>
              </c:extLst>
              <c:f>Projections!$P$380:$AV$380</c:f>
              <c:numCache>
                <c:formatCode>#,##0</c:formatCode>
                <c:ptCount val="33"/>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pt idx="28">
                  <c:v>135659.51999999999</c:v>
                </c:pt>
                <c:pt idx="29">
                  <c:v>158269.44</c:v>
                </c:pt>
                <c:pt idx="30">
                  <c:v>180879.35999999999</c:v>
                </c:pt>
                <c:pt idx="31">
                  <c:v>203489.28</c:v>
                </c:pt>
                <c:pt idx="32">
                  <c:v>226099.19999999998</c:v>
                </c:pt>
              </c:numCache>
            </c:numRef>
          </c:val>
          <c:smooth val="0"/>
          <c:extLst>
            <c:ext xmlns:c16="http://schemas.microsoft.com/office/drawing/2014/chart" uri="{C3380CC4-5D6E-409C-BE32-E72D297353CC}">
              <c16:uniqueId val="{00000007-65B4-47F9-9B97-64FB989C8893}"/>
            </c:ext>
          </c:extLst>
        </c:ser>
        <c:ser>
          <c:idx val="5"/>
          <c:order val="1"/>
          <c:tx>
            <c:strRef>
              <c:f>Projections!$A$377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Projections!$P$378:$BK$378</c15:sqref>
                  </c15:fullRef>
                </c:ext>
              </c:extLst>
              <c:f>Projections!$P$378:$AV$378</c:f>
              <c:numCache>
                <c:formatCode>#,##0</c:formatCode>
                <c:ptCount val="33"/>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pt idx="28">
                  <c:v>41494.118400000007</c:v>
                </c:pt>
                <c:pt idx="29">
                  <c:v>48409.804800000005</c:v>
                </c:pt>
                <c:pt idx="30">
                  <c:v>55325.491200000004</c:v>
                </c:pt>
                <c:pt idx="31">
                  <c:v>62241.177600000003</c:v>
                </c:pt>
                <c:pt idx="32">
                  <c:v>69156.864000000001</c:v>
                </c:pt>
              </c:numCache>
            </c:numRef>
          </c:val>
          <c:smooth val="0"/>
          <c:extLst>
            <c:ext xmlns:c16="http://schemas.microsoft.com/office/drawing/2014/chart" uri="{C3380CC4-5D6E-409C-BE32-E72D297353CC}">
              <c16:uniqueId val="{00000005-65B4-47F9-9B97-64FB989C8893}"/>
            </c:ext>
          </c:extLst>
        </c:ser>
        <c:ser>
          <c:idx val="1"/>
          <c:order val="2"/>
          <c:tx>
            <c:strRef>
              <c:f>Projections!$A$373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Projections!$P$374:$BK$374</c15:sqref>
                  </c15:fullRef>
                </c:ext>
              </c:extLst>
              <c:f>Projections!$P$374:$AV$374</c:f>
              <c:numCache>
                <c:formatCode>#,##0</c:formatCode>
                <c:ptCount val="33"/>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pt idx="28">
                  <c:v>189923.32799999998</c:v>
                </c:pt>
                <c:pt idx="29">
                  <c:v>221577.21600000001</c:v>
                </c:pt>
                <c:pt idx="30">
                  <c:v>253231.10399999996</c:v>
                </c:pt>
                <c:pt idx="31">
                  <c:v>284884.99199999997</c:v>
                </c:pt>
                <c:pt idx="32">
                  <c:v>316538.88</c:v>
                </c:pt>
              </c:numCache>
            </c:numRef>
          </c:val>
          <c:smooth val="0"/>
          <c:extLst>
            <c:ext xmlns:c16="http://schemas.microsoft.com/office/drawing/2014/chart" uri="{C3380CC4-5D6E-409C-BE32-E72D297353CC}">
              <c16:uniqueId val="{00000001-65B4-47F9-9B97-64FB989C8893}"/>
            </c:ext>
          </c:extLst>
        </c:ser>
        <c:ser>
          <c:idx val="3"/>
          <c:order val="3"/>
          <c:tx>
            <c:strRef>
              <c:f>Projections!$A$375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Projections!$P$376:$BK$376</c15:sqref>
                  </c15:fullRef>
                </c:ext>
              </c:extLst>
              <c:f>Projections!$P$376:$AV$376</c:f>
              <c:numCache>
                <c:formatCode>#,##0</c:formatCode>
                <c:ptCount val="33"/>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pt idx="28">
                  <c:v>35163.340799999998</c:v>
                </c:pt>
                <c:pt idx="29">
                  <c:v>41023.897600000004</c:v>
                </c:pt>
                <c:pt idx="30">
                  <c:v>46884.454400000002</c:v>
                </c:pt>
                <c:pt idx="31">
                  <c:v>52745.011200000001</c:v>
                </c:pt>
                <c:pt idx="32">
                  <c:v>58605.567999999999</c:v>
                </c:pt>
              </c:numCache>
            </c:numRef>
          </c:val>
          <c:smooth val="0"/>
          <c:extLst>
            <c:ext xmlns:c16="http://schemas.microsoft.com/office/drawing/2014/chart" uri="{C3380CC4-5D6E-409C-BE32-E72D297353CC}">
              <c16:uniqueId val="{00000003-65B4-47F9-9B97-64FB989C8893}"/>
            </c:ext>
          </c:extLst>
        </c:ser>
        <c:ser>
          <c:idx val="9"/>
          <c:order val="4"/>
          <c:tx>
            <c:strRef>
              <c:f>Projections!$A$381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Projections!$P$317:$BK$317</c15:sqref>
                  </c15:fullRef>
                </c:ext>
              </c:extLst>
              <c:f>Projections!$P$317:$AV$317</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c:v>
                </c:pt>
                <c:pt idx="24">
                  <c:v>44021</c:v>
                </c:pt>
                <c:pt idx="25">
                  <c:v>44036</c:v>
                </c:pt>
                <c:pt idx="26">
                  <c:v>44051</c:v>
                </c:pt>
                <c:pt idx="27">
                  <c:v>44066</c:v>
                </c:pt>
                <c:pt idx="28">
                  <c:v>44096</c:v>
                </c:pt>
                <c:pt idx="29">
                  <c:v>44126</c:v>
                </c:pt>
                <c:pt idx="30">
                  <c:v>44156</c:v>
                </c:pt>
                <c:pt idx="31">
                  <c:v>44186</c:v>
                </c:pt>
                <c:pt idx="32">
                  <c:v>44216</c:v>
                </c:pt>
              </c:numCache>
            </c:numRef>
          </c:cat>
          <c:val>
            <c:numRef>
              <c:extLst>
                <c:ext xmlns:c15="http://schemas.microsoft.com/office/drawing/2012/chart" uri="{02D57815-91ED-43cb-92C2-25804820EDAC}">
                  <c15:fullRef>
                    <c15:sqref>Projections!$P$382:$BK$382</c15:sqref>
                  </c15:fullRef>
                </c:ext>
              </c:extLst>
              <c:f>Projections!$P$382:$AV$382</c:f>
              <c:numCache>
                <c:formatCode>#,##0</c:formatCode>
                <c:ptCount val="33"/>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pt idx="28">
                  <c:v>1208.352768</c:v>
                </c:pt>
                <c:pt idx="29">
                  <c:v>1409.7448959999999</c:v>
                </c:pt>
                <c:pt idx="30">
                  <c:v>1611.1370240000001</c:v>
                </c:pt>
                <c:pt idx="31">
                  <c:v>1812.5291519999998</c:v>
                </c:pt>
                <c:pt idx="32">
                  <c:v>2013.9212799999998</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65</xdr:col>
      <xdr:colOff>9526</xdr:colOff>
      <xdr:row>316</xdr:row>
      <xdr:rowOff>104775</xdr:rowOff>
    </xdr:from>
    <xdr:to>
      <xdr:col>76</xdr:col>
      <xdr:colOff>600075</xdr:colOff>
      <xdr:row>348</xdr:row>
      <xdr:rowOff>104775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64</xdr:col>
      <xdr:colOff>736455</xdr:colOff>
      <xdr:row>388</xdr:row>
      <xdr:rowOff>120114</xdr:rowOff>
    </xdr:from>
    <xdr:to>
      <xdr:col>77</xdr:col>
      <xdr:colOff>19050</xdr:colOff>
      <xdr:row>411</xdr:row>
      <xdr:rowOff>129639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65</xdr:col>
      <xdr:colOff>3031</xdr:colOff>
      <xdr:row>412</xdr:row>
      <xdr:rowOff>124876</xdr:rowOff>
    </xdr:from>
    <xdr:to>
      <xdr:col>77</xdr:col>
      <xdr:colOff>28575</xdr:colOff>
      <xdr:row>429</xdr:row>
      <xdr:rowOff>101064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64</xdr:col>
      <xdr:colOff>741217</xdr:colOff>
      <xdr:row>430</xdr:row>
      <xdr:rowOff>105825</xdr:rowOff>
    </xdr:from>
    <xdr:to>
      <xdr:col>77</xdr:col>
      <xdr:colOff>38099</xdr:colOff>
      <xdr:row>446</xdr:row>
      <xdr:rowOff>101064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64</xdr:col>
      <xdr:colOff>741219</xdr:colOff>
      <xdr:row>447</xdr:row>
      <xdr:rowOff>124875</xdr:rowOff>
    </xdr:from>
    <xdr:to>
      <xdr:col>77</xdr:col>
      <xdr:colOff>19050</xdr:colOff>
      <xdr:row>466</xdr:row>
      <xdr:rowOff>120114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64</xdr:col>
      <xdr:colOff>738187</xdr:colOff>
      <xdr:row>350</xdr:row>
      <xdr:rowOff>119062</xdr:rowOff>
    </xdr:from>
    <xdr:to>
      <xdr:col>77</xdr:col>
      <xdr:colOff>19050</xdr:colOff>
      <xdr:row>370</xdr:row>
      <xdr:rowOff>118382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64</xdr:col>
      <xdr:colOff>740228</xdr:colOff>
      <xdr:row>371</xdr:row>
      <xdr:rowOff>117021</xdr:rowOff>
    </xdr:from>
    <xdr:to>
      <xdr:col>76</xdr:col>
      <xdr:colOff>590550</xdr:colOff>
      <xdr:row>387</xdr:row>
      <xdr:rowOff>100692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78</xdr:col>
      <xdr:colOff>1</xdr:colOff>
      <xdr:row>316</xdr:row>
      <xdr:rowOff>104775</xdr:rowOff>
    </xdr:from>
    <xdr:to>
      <xdr:col>90</xdr:col>
      <xdr:colOff>161925</xdr:colOff>
      <xdr:row>348</xdr:row>
      <xdr:rowOff>104775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77</xdr:col>
      <xdr:colOff>607867</xdr:colOff>
      <xdr:row>388</xdr:row>
      <xdr:rowOff>101064</xdr:rowOff>
    </xdr:from>
    <xdr:to>
      <xdr:col>90</xdr:col>
      <xdr:colOff>209550</xdr:colOff>
      <xdr:row>411</xdr:row>
      <xdr:rowOff>110589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77</xdr:col>
      <xdr:colOff>598343</xdr:colOff>
      <xdr:row>412</xdr:row>
      <xdr:rowOff>115351</xdr:rowOff>
    </xdr:from>
    <xdr:to>
      <xdr:col>90</xdr:col>
      <xdr:colOff>200025</xdr:colOff>
      <xdr:row>429</xdr:row>
      <xdr:rowOff>91539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78</xdr:col>
      <xdr:colOff>3029</xdr:colOff>
      <xdr:row>430</xdr:row>
      <xdr:rowOff>105825</xdr:rowOff>
    </xdr:from>
    <xdr:to>
      <xdr:col>90</xdr:col>
      <xdr:colOff>219074</xdr:colOff>
      <xdr:row>446</xdr:row>
      <xdr:rowOff>101064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78</xdr:col>
      <xdr:colOff>22081</xdr:colOff>
      <xdr:row>447</xdr:row>
      <xdr:rowOff>124875</xdr:rowOff>
    </xdr:from>
    <xdr:to>
      <xdr:col>90</xdr:col>
      <xdr:colOff>228600</xdr:colOff>
      <xdr:row>466</xdr:row>
      <xdr:rowOff>120114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77</xdr:col>
      <xdr:colOff>600074</xdr:colOff>
      <xdr:row>350</xdr:row>
      <xdr:rowOff>128587</xdr:rowOff>
    </xdr:from>
    <xdr:to>
      <xdr:col>90</xdr:col>
      <xdr:colOff>200025</xdr:colOff>
      <xdr:row>370</xdr:row>
      <xdr:rowOff>127907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77</xdr:col>
      <xdr:colOff>606878</xdr:colOff>
      <xdr:row>371</xdr:row>
      <xdr:rowOff>117021</xdr:rowOff>
    </xdr:from>
    <xdr:to>
      <xdr:col>90</xdr:col>
      <xdr:colOff>161925</xdr:colOff>
      <xdr:row>387</xdr:row>
      <xdr:rowOff>100692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mmid.github.io/topics/covid19/severity/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cmmid.github.io/topics/covid19/global_cfr_estimate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Demographics_of_the_United_State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cdc.gov/coronavirus/2019-ncov/need-extra-precautions/racial-ethnic-minorities.html" TargetMode="External"/><Relationship Id="rId2" Type="http://schemas.openxmlformats.org/officeDocument/2006/relationships/hyperlink" Target="https://www.cdc.gov/coronavirus/2019-ncov/need-extra-precautions/evidence-table.html" TargetMode="External"/><Relationship Id="rId1" Type="http://schemas.openxmlformats.org/officeDocument/2006/relationships/hyperlink" Target="https://www.cdc.gov/coronavirus/2019-ncov/need-extra-precautions/older-adults.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cdc.gov/flu/pandemic-resources/basics/past-pandemics.html" TargetMode="External"/><Relationship Id="rId2" Type="http://schemas.openxmlformats.org/officeDocument/2006/relationships/hyperlink" Target="https://www.cdc.gov/nchs/fastats/deaths.htm" TargetMode="External"/><Relationship Id="rId1" Type="http://schemas.openxmlformats.org/officeDocument/2006/relationships/hyperlink" Target="https://en.wikipedia.org/wiki/United_States_military_casualties_of_war" TargetMode="External"/><Relationship Id="rId5" Type="http://schemas.openxmlformats.org/officeDocument/2006/relationships/printerSettings" Target="../printerSettings/printerSettings4.bin"/><Relationship Id="rId4" Type="http://schemas.openxmlformats.org/officeDocument/2006/relationships/hyperlink" Target="https://en.wikipedia.org/wiki/List_of_disasters_in_the_United_States_by_death_to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A22" sqref="A22"/>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535</v>
      </c>
    </row>
    <row r="3" spans="2:2" x14ac:dyDescent="0.25">
      <c r="B3" t="s">
        <v>52</v>
      </c>
    </row>
    <row r="4" spans="2:2" x14ac:dyDescent="0.25">
      <c r="B4" t="s">
        <v>62</v>
      </c>
    </row>
    <row r="5" spans="2:2" x14ac:dyDescent="0.25">
      <c r="B5" t="s">
        <v>64</v>
      </c>
    </row>
    <row r="6" spans="2:2" x14ac:dyDescent="0.25">
      <c r="B6" t="s">
        <v>65</v>
      </c>
    </row>
    <row r="7" spans="2:2" x14ac:dyDescent="0.25">
      <c r="B7" t="s">
        <v>53</v>
      </c>
    </row>
    <row r="11" spans="2:2" x14ac:dyDescent="0.25">
      <c r="B11" t="s">
        <v>72</v>
      </c>
    </row>
    <row r="12" spans="2:2" x14ac:dyDescent="0.25">
      <c r="B12" t="s">
        <v>85</v>
      </c>
    </row>
    <row r="13" spans="2:2" x14ac:dyDescent="0.25">
      <c r="B13" t="s">
        <v>87</v>
      </c>
    </row>
    <row r="14" spans="2:2" x14ac:dyDescent="0.25">
      <c r="B14" t="s">
        <v>86</v>
      </c>
    </row>
    <row r="15" spans="2:2" x14ac:dyDescent="0.25">
      <c r="B15" t="s">
        <v>93</v>
      </c>
    </row>
    <row r="17" spans="1:43" x14ac:dyDescent="0.25">
      <c r="A17" t="s">
        <v>91</v>
      </c>
      <c r="B17" s="102">
        <f>(AP25/E31) /Projections!B305</f>
        <v>71.428571428571431</v>
      </c>
      <c r="C17" s="103"/>
      <c r="D17" s="104"/>
      <c r="E17" s="98">
        <f>B17*2</f>
        <v>142.85714285714286</v>
      </c>
      <c r="F17" s="103"/>
      <c r="G17" s="98"/>
      <c r="H17" s="98">
        <f>E17*2</f>
        <v>285.71428571428572</v>
      </c>
      <c r="I17" s="103"/>
      <c r="J17" s="104"/>
      <c r="K17" s="95">
        <f>H17*2</f>
        <v>571.42857142857144</v>
      </c>
      <c r="L17" s="93"/>
      <c r="M17" s="94"/>
      <c r="N17" s="95">
        <f>K17*2</f>
        <v>1142.8571428571429</v>
      </c>
      <c r="O17" s="93"/>
      <c r="P17" s="94"/>
      <c r="Q17" s="95">
        <f>N17*2</f>
        <v>2285.7142857142858</v>
      </c>
      <c r="R17" s="93"/>
      <c r="S17" s="94"/>
      <c r="T17" s="95">
        <f>Q17*2</f>
        <v>4571.4285714285716</v>
      </c>
      <c r="U17" s="93"/>
      <c r="V17" s="94"/>
      <c r="W17" s="95">
        <f>T17*2</f>
        <v>9142.8571428571431</v>
      </c>
      <c r="X17" s="93"/>
      <c r="Y17" s="94"/>
      <c r="Z17" s="95">
        <f>W17*2</f>
        <v>18285.714285714286</v>
      </c>
      <c r="AA17" s="93"/>
      <c r="AB17" s="94"/>
      <c r="AC17" s="95">
        <f>Z17*2</f>
        <v>36571.428571428572</v>
      </c>
      <c r="AD17" s="93"/>
      <c r="AE17" s="94"/>
      <c r="AF17" s="95">
        <f>AC17*2</f>
        <v>73142.857142857145</v>
      </c>
      <c r="AG17" s="93"/>
      <c r="AH17" s="94"/>
      <c r="AI17" s="95">
        <f>AF17*2</f>
        <v>146285.71428571429</v>
      </c>
      <c r="AJ17" s="93"/>
      <c r="AK17" s="94"/>
      <c r="AL17" s="95">
        <f>AI17*2</f>
        <v>292571.42857142858</v>
      </c>
      <c r="AM17" s="93"/>
      <c r="AN17" s="94"/>
      <c r="AO17" s="95">
        <f>AL17*2</f>
        <v>585142.85714285716</v>
      </c>
      <c r="AP17" s="98"/>
      <c r="AQ17" t="s">
        <v>91</v>
      </c>
    </row>
    <row r="18" spans="1:43" s="69" customFormat="1" x14ac:dyDescent="0.25">
      <c r="A18" s="69" t="s">
        <v>163</v>
      </c>
      <c r="B18" s="88">
        <f>B17*$E$34</f>
        <v>51.626591230551625</v>
      </c>
      <c r="C18" s="105"/>
      <c r="D18" s="105"/>
      <c r="E18" s="105">
        <f>E17*$E$34</f>
        <v>103.25318246110325</v>
      </c>
      <c r="F18" s="105"/>
      <c r="G18" s="33"/>
      <c r="H18" s="105">
        <f>H17*$E$34</f>
        <v>206.5063649222065</v>
      </c>
      <c r="I18" s="105"/>
      <c r="J18" s="105"/>
      <c r="K18" s="105">
        <f>K17*$E$34</f>
        <v>413.012729844413</v>
      </c>
      <c r="L18" s="105"/>
      <c r="M18" s="105"/>
      <c r="N18" s="105">
        <f>N17*$E$34</f>
        <v>826.025459688826</v>
      </c>
      <c r="O18" s="105"/>
      <c r="P18" s="105"/>
      <c r="Q18" s="105">
        <f>Q17*$E$34</f>
        <v>1652.050919377652</v>
      </c>
      <c r="R18" s="105"/>
      <c r="S18" s="105"/>
      <c r="T18" s="105">
        <f>T17*$E$34</f>
        <v>3304.101838755304</v>
      </c>
      <c r="U18" s="105"/>
      <c r="V18" s="105"/>
      <c r="W18" s="105">
        <f>W17*$E$34</f>
        <v>6608.203677510608</v>
      </c>
      <c r="X18" s="105"/>
      <c r="Y18" s="105"/>
      <c r="Z18" s="105">
        <f>Z17*$E$34</f>
        <v>13216.407355021216</v>
      </c>
      <c r="AA18" s="105"/>
      <c r="AB18" s="105"/>
      <c r="AC18" s="105">
        <f>AC17*$E$34</f>
        <v>26432.814710042432</v>
      </c>
      <c r="AD18" s="105"/>
      <c r="AE18" s="105"/>
      <c r="AF18" s="105">
        <f>AF17*$E$34</f>
        <v>52865.629420084864</v>
      </c>
      <c r="AG18" s="105"/>
      <c r="AH18" s="105"/>
      <c r="AI18" s="105">
        <f>AI17*$E$34</f>
        <v>105731.25884016973</v>
      </c>
      <c r="AJ18" s="105"/>
      <c r="AK18" s="105"/>
      <c r="AL18" s="105">
        <f>AL17*$E$34</f>
        <v>211462.51768033946</v>
      </c>
      <c r="AM18" s="105"/>
      <c r="AN18" s="105"/>
      <c r="AO18" s="105">
        <f>AO17*$E$34</f>
        <v>422925.03536067891</v>
      </c>
      <c r="AP18" s="33"/>
      <c r="AQ18" s="69" t="s">
        <v>163</v>
      </c>
    </row>
    <row r="19" spans="1:43" s="69" customFormat="1" x14ac:dyDescent="0.25">
      <c r="A19" s="47" t="s">
        <v>165</v>
      </c>
      <c r="B19" s="86">
        <f>B18</f>
        <v>51.626591230551625</v>
      </c>
      <c r="C19" s="87"/>
      <c r="D19" s="87"/>
      <c r="E19" s="87">
        <f>E18</f>
        <v>103.25318246110325</v>
      </c>
      <c r="F19" s="87"/>
      <c r="G19" s="34"/>
      <c r="H19" s="87">
        <f>H18</f>
        <v>206.5063649222065</v>
      </c>
      <c r="I19" s="87"/>
      <c r="J19" s="87"/>
      <c r="K19" s="87">
        <f>K18</f>
        <v>413.012729844413</v>
      </c>
      <c r="L19" s="87"/>
      <c r="M19" s="87"/>
      <c r="N19" s="87">
        <f>N18</f>
        <v>826.025459688826</v>
      </c>
      <c r="O19" s="87"/>
      <c r="P19" s="87"/>
      <c r="Q19" s="87">
        <f>Q18</f>
        <v>1652.050919377652</v>
      </c>
      <c r="R19" s="87"/>
      <c r="S19" s="87"/>
      <c r="T19" s="87">
        <f>T18</f>
        <v>3304.101838755304</v>
      </c>
      <c r="U19" s="87"/>
      <c r="V19" s="87"/>
      <c r="W19" s="121">
        <f>W18-B18</f>
        <v>6556.5770862800564</v>
      </c>
      <c r="X19" s="121"/>
      <c r="Y19" s="121"/>
      <c r="Z19" s="121">
        <f>Z18-E18</f>
        <v>13113.154172560113</v>
      </c>
      <c r="AA19" s="121"/>
      <c r="AB19" s="121"/>
      <c r="AC19" s="121">
        <f>AC18-H18</f>
        <v>26226.308345120226</v>
      </c>
      <c r="AD19" s="121"/>
      <c r="AE19" s="121"/>
      <c r="AF19" s="121">
        <f>AF18-K18</f>
        <v>52452.616690240451</v>
      </c>
      <c r="AG19" s="121"/>
      <c r="AH19" s="121"/>
      <c r="AI19" s="121">
        <f>AI18-N18</f>
        <v>104905.2333804809</v>
      </c>
      <c r="AJ19" s="121"/>
      <c r="AK19" s="121"/>
      <c r="AL19" s="121">
        <f>AL18-Q18</f>
        <v>209810.4667609618</v>
      </c>
      <c r="AM19" s="121"/>
      <c r="AN19" s="121"/>
      <c r="AO19" s="121">
        <f>AO18-T18</f>
        <v>419620.93352192361</v>
      </c>
      <c r="AP19" s="122"/>
      <c r="AQ19" s="47" t="s">
        <v>165</v>
      </c>
    </row>
    <row r="20" spans="1:43" s="69" customFormat="1" x14ac:dyDescent="0.25">
      <c r="A20" t="s">
        <v>92</v>
      </c>
      <c r="B20" s="88"/>
      <c r="C20" s="105"/>
      <c r="D20" s="105"/>
      <c r="E20" s="105"/>
      <c r="F20" s="105"/>
      <c r="G20" s="33"/>
      <c r="H20" s="106"/>
      <c r="I20" s="107"/>
      <c r="J20" s="108"/>
      <c r="K20" s="131">
        <f>B17*(1-$E$34)</f>
        <v>19.801980198019805</v>
      </c>
      <c r="L20" s="128"/>
      <c r="M20" s="129"/>
      <c r="N20" s="130">
        <f>E17*(1-$E$34)</f>
        <v>39.603960396039611</v>
      </c>
      <c r="O20" s="128"/>
      <c r="P20" s="129"/>
      <c r="Q20" s="130">
        <f>H17*(1-$E$34)</f>
        <v>79.207920792079221</v>
      </c>
      <c r="R20" s="128"/>
      <c r="S20" s="129"/>
      <c r="T20" s="130">
        <f>K17*(1-$E$34)</f>
        <v>158.41584158415844</v>
      </c>
      <c r="U20" s="128"/>
      <c r="V20" s="129"/>
      <c r="W20" s="130">
        <f>N17*(1-$E$34)</f>
        <v>316.83168316831689</v>
      </c>
      <c r="X20" s="128"/>
      <c r="Y20" s="129"/>
      <c r="Z20" s="130">
        <f>Q17*(1-$E$34)</f>
        <v>633.66336633663377</v>
      </c>
      <c r="AA20" s="128"/>
      <c r="AB20" s="129"/>
      <c r="AC20" s="130">
        <f>T17*(1-$E$34)</f>
        <v>1267.3267326732675</v>
      </c>
      <c r="AD20" s="128"/>
      <c r="AE20" s="129"/>
      <c r="AF20" s="130">
        <f>W17*(1-$E$34)</f>
        <v>2534.6534653465351</v>
      </c>
      <c r="AG20" s="128"/>
      <c r="AH20" s="129"/>
      <c r="AI20" s="130">
        <f>Z17*(1-$E$34)</f>
        <v>5069.3069306930702</v>
      </c>
      <c r="AJ20" s="128"/>
      <c r="AK20" s="129"/>
      <c r="AL20" s="130">
        <f>AC17*(1-$E$34)</f>
        <v>10138.61386138614</v>
      </c>
      <c r="AM20" s="128"/>
      <c r="AN20" s="129"/>
      <c r="AO20" s="130">
        <f>AF17*(1-$E$34)</f>
        <v>20277.227722772281</v>
      </c>
      <c r="AP20" s="79"/>
      <c r="AQ20" t="s">
        <v>92</v>
      </c>
    </row>
    <row r="21" spans="1:43" s="69" customFormat="1" x14ac:dyDescent="0.25">
      <c r="A21" s="69" t="s">
        <v>73</v>
      </c>
      <c r="B21" s="80"/>
      <c r="C21" s="81"/>
      <c r="D21" s="81"/>
      <c r="E21" s="81"/>
      <c r="F21" s="81"/>
      <c r="G21" s="82"/>
      <c r="H21" s="123">
        <f>B17-B18</f>
        <v>19.801980198019805</v>
      </c>
      <c r="I21" s="123"/>
      <c r="J21" s="123"/>
      <c r="K21" s="123">
        <f>E17-E18</f>
        <v>39.603960396039611</v>
      </c>
      <c r="L21" s="123"/>
      <c r="M21" s="123"/>
      <c r="N21" s="123">
        <f>(H17-H18)*$E$35</f>
        <v>64.158415841584173</v>
      </c>
      <c r="O21" s="123"/>
      <c r="P21" s="123"/>
      <c r="Q21" s="123">
        <f>(K17-K18)*$E$35</f>
        <v>128.31683168316835</v>
      </c>
      <c r="R21" s="123"/>
      <c r="S21" s="123"/>
      <c r="T21" s="123">
        <f>(N17-N18)*$E$35</f>
        <v>256.63366336633669</v>
      </c>
      <c r="U21" s="123"/>
      <c r="V21" s="123"/>
      <c r="W21" s="123">
        <f>((Q17-Q18)*$E$35)-(H21*$E$35)</f>
        <v>497.22772277227733</v>
      </c>
      <c r="X21" s="123"/>
      <c r="Y21" s="123"/>
      <c r="Z21" s="123">
        <f>((T17-T18)*$E$35)-(K21*$E$35)</f>
        <v>994.45544554455466</v>
      </c>
      <c r="AA21" s="123"/>
      <c r="AB21" s="123"/>
      <c r="AC21" s="123">
        <f>((W17-W18)*$E$35)-N21</f>
        <v>1988.9108910891093</v>
      </c>
      <c r="AD21" s="123"/>
      <c r="AE21" s="123"/>
      <c r="AF21" s="123">
        <f>((Z17-Z18)*$E$35)-Q21</f>
        <v>3977.8217821782187</v>
      </c>
      <c r="AG21" s="123"/>
      <c r="AH21" s="123"/>
      <c r="AI21" s="123">
        <f>((AC17-AC18)*$E$35)-T21</f>
        <v>7955.6435643564373</v>
      </c>
      <c r="AJ21" s="123"/>
      <c r="AK21" s="123"/>
      <c r="AL21" s="123">
        <f>((AF17-AF18)*$E$35)-W21</f>
        <v>15927.326732673271</v>
      </c>
      <c r="AM21" s="123"/>
      <c r="AN21" s="123"/>
      <c r="AO21" s="123">
        <f>((AI17-AI18)*$E$35)-Z21</f>
        <v>31854.653465346542</v>
      </c>
      <c r="AP21" s="124"/>
      <c r="AQ21" s="69" t="s">
        <v>73</v>
      </c>
    </row>
    <row r="22" spans="1:43" s="69" customFormat="1" x14ac:dyDescent="0.25">
      <c r="A22" s="69" t="s">
        <v>74</v>
      </c>
      <c r="B22" s="80"/>
      <c r="C22" s="81"/>
      <c r="D22" s="81"/>
      <c r="E22" s="81"/>
      <c r="F22" s="81"/>
      <c r="G22" s="82"/>
      <c r="H22" s="107"/>
      <c r="I22" s="107"/>
      <c r="J22" s="107"/>
      <c r="K22" s="107"/>
      <c r="L22" s="107"/>
      <c r="M22" s="108"/>
      <c r="N22" s="125">
        <f>(H17-H18)*($E$36+$E$37)</f>
        <v>15.049504950495052</v>
      </c>
      <c r="O22" s="125"/>
      <c r="P22" s="125"/>
      <c r="Q22" s="125">
        <f>(K17-K18)*($E$36+$E$37)</f>
        <v>30.099009900990104</v>
      </c>
      <c r="R22" s="125"/>
      <c r="S22" s="125"/>
      <c r="T22" s="125">
        <f>(N17-N18)*$E$36</f>
        <v>44.356435643564367</v>
      </c>
      <c r="U22" s="125"/>
      <c r="V22" s="125"/>
      <c r="W22" s="125">
        <f>(Q17-Q18)*$E$36</f>
        <v>88.712871287128735</v>
      </c>
      <c r="X22" s="125"/>
      <c r="Y22" s="125"/>
      <c r="Z22" s="125">
        <f>(T17-T18)*$E$36</f>
        <v>177.42574257425747</v>
      </c>
      <c r="AA22" s="125"/>
      <c r="AB22" s="125"/>
      <c r="AC22" s="125">
        <f>(W17-W18)*$E$36</f>
        <v>354.85148514851494</v>
      </c>
      <c r="AD22" s="125"/>
      <c r="AE22" s="125"/>
      <c r="AF22" s="125">
        <f>(Z17-Z18)*$E$36</f>
        <v>709.70297029702988</v>
      </c>
      <c r="AG22" s="125"/>
      <c r="AH22" s="125"/>
      <c r="AI22" s="125">
        <f>(AC17-AC18)*$E$36</f>
        <v>1419.4059405940598</v>
      </c>
      <c r="AJ22" s="125"/>
      <c r="AK22" s="125"/>
      <c r="AL22" s="125">
        <f>(AF17-AF18)*$E$36</f>
        <v>2838.8118811881195</v>
      </c>
      <c r="AM22" s="125"/>
      <c r="AN22" s="125"/>
      <c r="AO22" s="125">
        <f>(AI17-AI18)*$E$36</f>
        <v>5677.623762376239</v>
      </c>
      <c r="AP22" s="126"/>
      <c r="AQ22" s="69" t="s">
        <v>74</v>
      </c>
    </row>
    <row r="23" spans="1:43" s="69" customFormat="1" x14ac:dyDescent="0.25">
      <c r="A23" s="47" t="s">
        <v>75</v>
      </c>
      <c r="B23" s="80"/>
      <c r="C23" s="81"/>
      <c r="D23" s="81"/>
      <c r="E23" s="81"/>
      <c r="F23" s="81"/>
      <c r="G23" s="82"/>
      <c r="H23" s="87"/>
      <c r="I23" s="87"/>
      <c r="J23" s="87"/>
      <c r="K23" s="87"/>
      <c r="L23" s="87"/>
      <c r="M23" s="87"/>
      <c r="N23" s="107"/>
      <c r="O23" s="107"/>
      <c r="P23" s="107"/>
      <c r="Q23" s="107"/>
      <c r="R23" s="107"/>
      <c r="S23" s="108"/>
      <c r="T23" s="40">
        <f>(N17-N18)*$E$37</f>
        <v>15.841584158415845</v>
      </c>
      <c r="U23" s="40"/>
      <c r="V23" s="40"/>
      <c r="W23" s="40">
        <f>(Q17-Q18)*$E$37</f>
        <v>31.68316831683169</v>
      </c>
      <c r="X23" s="40"/>
      <c r="Y23" s="40"/>
      <c r="Z23" s="40">
        <f>(T17-T18)*$E$37</f>
        <v>63.36633663366338</v>
      </c>
      <c r="AA23" s="40"/>
      <c r="AB23" s="40"/>
      <c r="AC23" s="40">
        <f>(W17-W18)*$E$37</f>
        <v>126.73267326732676</v>
      </c>
      <c r="AD23" s="40"/>
      <c r="AE23" s="40"/>
      <c r="AF23" s="40">
        <f>(Z17-Z18)*$E$37</f>
        <v>253.46534653465352</v>
      </c>
      <c r="AG23" s="40"/>
      <c r="AH23" s="40"/>
      <c r="AI23" s="40">
        <f>(AC17-AC18)*$E$37</f>
        <v>506.93069306930704</v>
      </c>
      <c r="AJ23" s="40"/>
      <c r="AK23" s="40"/>
      <c r="AL23" s="40">
        <f>(AF17-AF18)*$E$37</f>
        <v>1013.8613861386141</v>
      </c>
      <c r="AM23" s="40"/>
      <c r="AN23" s="40"/>
      <c r="AO23" s="40">
        <f>(AI17-AI18)*$E$37</f>
        <v>2027.7227722772282</v>
      </c>
      <c r="AP23" s="127"/>
      <c r="AQ23" s="47" t="s">
        <v>75</v>
      </c>
    </row>
    <row r="24" spans="1:43" s="69" customFormat="1" x14ac:dyDescent="0.25">
      <c r="A24" s="47" t="s">
        <v>80</v>
      </c>
      <c r="B24" s="86"/>
      <c r="C24" s="87"/>
      <c r="D24" s="87"/>
      <c r="E24" s="87"/>
      <c r="F24" s="87"/>
      <c r="G24" s="34"/>
      <c r="H24" s="87"/>
      <c r="I24" s="87"/>
      <c r="J24" s="87"/>
      <c r="K24" s="87"/>
      <c r="L24" s="87"/>
      <c r="M24" s="87"/>
      <c r="N24" s="87"/>
      <c r="O24" s="87"/>
      <c r="P24" s="87"/>
      <c r="Q24" s="87"/>
      <c r="R24" s="87"/>
      <c r="S24" s="87"/>
      <c r="T24" s="107"/>
      <c r="U24" s="108"/>
      <c r="V24" s="109">
        <f>H21*$E$35</f>
        <v>16.039603960396043</v>
      </c>
      <c r="W24" s="109"/>
      <c r="X24" s="109"/>
      <c r="Y24" s="109">
        <f>K21*$E$35</f>
        <v>32.079207920792086</v>
      </c>
      <c r="Z24" s="109"/>
      <c r="AA24" s="109"/>
      <c r="AB24" s="109">
        <f>N21</f>
        <v>64.158415841584173</v>
      </c>
      <c r="AC24" s="109"/>
      <c r="AD24" s="109"/>
      <c r="AE24" s="109">
        <f>Q21</f>
        <v>128.31683168316835</v>
      </c>
      <c r="AF24" s="109"/>
      <c r="AG24" s="109"/>
      <c r="AH24" s="109">
        <f>T21</f>
        <v>256.63366336633669</v>
      </c>
      <c r="AI24" s="109"/>
      <c r="AJ24" s="109"/>
      <c r="AK24" s="109">
        <f>W21</f>
        <v>497.22772277227733</v>
      </c>
      <c r="AL24" s="109"/>
      <c r="AM24" s="109"/>
      <c r="AN24" s="109">
        <f>Z21</f>
        <v>994.45544554455466</v>
      </c>
      <c r="AO24" s="109"/>
      <c r="AP24" s="110"/>
      <c r="AQ24" s="47" t="s">
        <v>80</v>
      </c>
    </row>
    <row r="25" spans="1:43" x14ac:dyDescent="0.25">
      <c r="A25" s="47" t="s">
        <v>69</v>
      </c>
      <c r="B25" s="99"/>
      <c r="C25" s="100"/>
      <c r="D25" s="100"/>
      <c r="E25" s="100"/>
      <c r="F25" s="100"/>
      <c r="G25" s="101"/>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132">
        <f>E32</f>
        <v>1</v>
      </c>
      <c r="AQ25" s="47" t="s">
        <v>69</v>
      </c>
    </row>
    <row r="26" spans="1:43" x14ac:dyDescent="0.25">
      <c r="A26" s="133" t="s">
        <v>96</v>
      </c>
      <c r="B26" s="89">
        <f t="shared" ref="B26:G26" ca="1" si="0">C26-1</f>
        <v>43970.595070370371</v>
      </c>
      <c r="C26" s="90">
        <f t="shared" ca="1" si="0"/>
        <v>43971.595070370371</v>
      </c>
      <c r="D26" s="90">
        <f t="shared" ca="1" si="0"/>
        <v>43972.595070370371</v>
      </c>
      <c r="E26" s="90">
        <f t="shared" ca="1" si="0"/>
        <v>43973.595070370371</v>
      </c>
      <c r="F26" s="90">
        <f t="shared" ca="1" si="0"/>
        <v>43974.595070370371</v>
      </c>
      <c r="G26" s="91">
        <f t="shared" ca="1" si="0"/>
        <v>43975.595070370371</v>
      </c>
      <c r="H26" s="90">
        <f t="shared" ref="H26:U26" ca="1" si="1">I26-1</f>
        <v>43976.595070370371</v>
      </c>
      <c r="I26" s="90">
        <f t="shared" ca="1" si="1"/>
        <v>43977.595070370371</v>
      </c>
      <c r="J26" s="90">
        <f t="shared" ca="1" si="1"/>
        <v>43978.595070370371</v>
      </c>
      <c r="K26" s="90">
        <f t="shared" ca="1" si="1"/>
        <v>43979.595070370371</v>
      </c>
      <c r="L26" s="90">
        <f t="shared" ca="1" si="1"/>
        <v>43980.595070370371</v>
      </c>
      <c r="M26" s="90">
        <f t="shared" ca="1" si="1"/>
        <v>43981.595070370371</v>
      </c>
      <c r="N26" s="91">
        <f t="shared" ca="1" si="1"/>
        <v>43982.595070370371</v>
      </c>
      <c r="O26" s="89">
        <f t="shared" ca="1" si="1"/>
        <v>43983.595070370371</v>
      </c>
      <c r="P26" s="90">
        <f t="shared" ca="1" si="1"/>
        <v>43984.595070370371</v>
      </c>
      <c r="Q26" s="90">
        <f t="shared" ca="1" si="1"/>
        <v>43985.595070370371</v>
      </c>
      <c r="R26" s="90">
        <f t="shared" ca="1" si="1"/>
        <v>43986.595070370371</v>
      </c>
      <c r="S26" s="90">
        <f t="shared" ca="1" si="1"/>
        <v>43987.595070370371</v>
      </c>
      <c r="T26" s="90">
        <f t="shared" ca="1" si="1"/>
        <v>43988.595070370371</v>
      </c>
      <c r="U26" s="91">
        <f t="shared" ca="1" si="1"/>
        <v>43989.595070370371</v>
      </c>
      <c r="V26" s="89">
        <f t="shared" ref="V26:AN26" ca="1" si="2">W26-1</f>
        <v>43990.595070370371</v>
      </c>
      <c r="W26" s="90">
        <f t="shared" ca="1" si="2"/>
        <v>43991.595070370371</v>
      </c>
      <c r="X26" s="90">
        <f t="shared" ca="1" si="2"/>
        <v>43992.595070370371</v>
      </c>
      <c r="Y26" s="90">
        <f t="shared" ca="1" si="2"/>
        <v>43993.595070370371</v>
      </c>
      <c r="Z26" s="90">
        <f t="shared" ca="1" si="2"/>
        <v>43994.595070370371</v>
      </c>
      <c r="AA26" s="90">
        <f t="shared" ca="1" si="2"/>
        <v>43995.595070370371</v>
      </c>
      <c r="AB26" s="91">
        <f t="shared" ca="1" si="2"/>
        <v>43996.595070370371</v>
      </c>
      <c r="AC26" s="89">
        <f t="shared" ca="1" si="2"/>
        <v>43997.595070370371</v>
      </c>
      <c r="AD26" s="90">
        <f t="shared" ca="1" si="2"/>
        <v>43998.595070370371</v>
      </c>
      <c r="AE26" s="90">
        <f t="shared" ca="1" si="2"/>
        <v>43999.595070370371</v>
      </c>
      <c r="AF26" s="90">
        <f t="shared" ca="1" si="2"/>
        <v>44000.595070370371</v>
      </c>
      <c r="AG26" s="90">
        <f t="shared" ca="1" si="2"/>
        <v>44001.595070370371</v>
      </c>
      <c r="AH26" s="90">
        <f t="shared" ca="1" si="2"/>
        <v>44002.595070370371</v>
      </c>
      <c r="AI26" s="91">
        <f t="shared" ca="1" si="2"/>
        <v>44003.595070370371</v>
      </c>
      <c r="AJ26" s="89">
        <f t="shared" ca="1" si="2"/>
        <v>44004.595070370371</v>
      </c>
      <c r="AK26" s="90">
        <f t="shared" ca="1" si="2"/>
        <v>44005.595070370371</v>
      </c>
      <c r="AL26" s="90">
        <f t="shared" ca="1" si="2"/>
        <v>44006.595070370371</v>
      </c>
      <c r="AM26" s="90">
        <f t="shared" ca="1" si="2"/>
        <v>44007.595070370371</v>
      </c>
      <c r="AN26" s="90">
        <f t="shared" ca="1" si="2"/>
        <v>44008.595070370371</v>
      </c>
      <c r="AO26" s="90">
        <f ca="1">AP26-1</f>
        <v>44009.595070370371</v>
      </c>
      <c r="AP26" s="111">
        <f ca="1">NOW()</f>
        <v>44010.595070370371</v>
      </c>
    </row>
    <row r="27" spans="1:43" x14ac:dyDescent="0.25">
      <c r="A27" s="134" t="s">
        <v>97</v>
      </c>
      <c r="B27" s="117">
        <v>1</v>
      </c>
      <c r="C27" s="118">
        <v>2</v>
      </c>
      <c r="D27" s="117">
        <v>3</v>
      </c>
      <c r="E27" s="118">
        <v>4</v>
      </c>
      <c r="F27" s="117">
        <v>5</v>
      </c>
      <c r="G27" s="119">
        <v>6</v>
      </c>
      <c r="H27" s="118">
        <v>7</v>
      </c>
      <c r="I27" s="118">
        <v>8</v>
      </c>
      <c r="J27" s="118">
        <v>9</v>
      </c>
      <c r="K27" s="118">
        <v>10</v>
      </c>
      <c r="L27" s="118">
        <v>11</v>
      </c>
      <c r="M27" s="118">
        <v>12</v>
      </c>
      <c r="N27" s="119">
        <v>13</v>
      </c>
      <c r="O27" s="117">
        <v>14</v>
      </c>
      <c r="P27" s="118">
        <v>15</v>
      </c>
      <c r="Q27" s="118">
        <v>16</v>
      </c>
      <c r="R27" s="118">
        <v>17</v>
      </c>
      <c r="S27" s="118">
        <v>18</v>
      </c>
      <c r="T27" s="118">
        <v>19</v>
      </c>
      <c r="U27" s="119">
        <v>20</v>
      </c>
      <c r="V27" s="117">
        <v>21</v>
      </c>
      <c r="W27" s="118">
        <v>22</v>
      </c>
      <c r="X27" s="118">
        <v>23</v>
      </c>
      <c r="Y27" s="118">
        <v>24</v>
      </c>
      <c r="Z27" s="118">
        <v>25</v>
      </c>
      <c r="AA27" s="118">
        <v>26</v>
      </c>
      <c r="AB27" s="119">
        <v>27</v>
      </c>
      <c r="AC27" s="117">
        <v>28</v>
      </c>
      <c r="AD27" s="118">
        <v>29</v>
      </c>
      <c r="AE27" s="118">
        <v>30</v>
      </c>
      <c r="AF27" s="118">
        <v>31</v>
      </c>
      <c r="AG27" s="118">
        <v>32</v>
      </c>
      <c r="AH27" s="118">
        <v>33</v>
      </c>
      <c r="AI27" s="119">
        <v>34</v>
      </c>
      <c r="AJ27" s="117">
        <v>35</v>
      </c>
      <c r="AK27" s="118">
        <v>36</v>
      </c>
      <c r="AL27" s="118">
        <v>37</v>
      </c>
      <c r="AM27" s="118">
        <v>38</v>
      </c>
      <c r="AN27" s="118">
        <v>39</v>
      </c>
      <c r="AO27" s="118">
        <v>40</v>
      </c>
      <c r="AP27" s="119">
        <v>41</v>
      </c>
    </row>
    <row r="28" spans="1:43" x14ac:dyDescent="0.25">
      <c r="A28" s="135" t="s">
        <v>98</v>
      </c>
      <c r="B28" s="344" t="s">
        <v>67</v>
      </c>
      <c r="C28" s="345"/>
      <c r="D28" s="345"/>
      <c r="E28" s="345"/>
      <c r="F28" s="345"/>
      <c r="G28" s="346"/>
      <c r="H28" s="350" t="s">
        <v>57</v>
      </c>
      <c r="I28" s="350"/>
      <c r="J28" s="350"/>
      <c r="K28" s="350"/>
      <c r="L28" s="350"/>
      <c r="M28" s="350"/>
      <c r="N28" s="351"/>
      <c r="O28" s="349" t="s">
        <v>58</v>
      </c>
      <c r="P28" s="350"/>
      <c r="Q28" s="350"/>
      <c r="R28" s="350"/>
      <c r="S28" s="350"/>
      <c r="T28" s="350"/>
      <c r="U28" s="351"/>
      <c r="V28" s="349" t="s">
        <v>59</v>
      </c>
      <c r="W28" s="350"/>
      <c r="X28" s="350"/>
      <c r="Y28" s="350"/>
      <c r="Z28" s="350"/>
      <c r="AA28" s="350"/>
      <c r="AB28" s="351"/>
      <c r="AC28" s="349" t="s">
        <v>60</v>
      </c>
      <c r="AD28" s="350"/>
      <c r="AE28" s="350"/>
      <c r="AF28" s="350"/>
      <c r="AG28" s="350"/>
      <c r="AH28" s="350"/>
      <c r="AI28" s="351"/>
      <c r="AJ28" s="349" t="s">
        <v>61</v>
      </c>
      <c r="AK28" s="350"/>
      <c r="AL28" s="350"/>
      <c r="AM28" s="350"/>
      <c r="AN28" s="350"/>
      <c r="AO28" s="350"/>
      <c r="AP28" s="351"/>
    </row>
    <row r="29" spans="1:43" x14ac:dyDescent="0.25">
      <c r="B29" s="51" t="s">
        <v>79</v>
      </c>
      <c r="C29" s="96"/>
      <c r="D29" s="96"/>
      <c r="E29" s="96"/>
      <c r="F29" s="96"/>
      <c r="G29" s="97"/>
      <c r="H29" s="347" t="s">
        <v>66</v>
      </c>
      <c r="I29" s="347"/>
      <c r="J29" s="347"/>
      <c r="K29" s="347"/>
      <c r="L29" s="347"/>
      <c r="M29" s="347"/>
      <c r="N29" s="347"/>
      <c r="O29" s="347"/>
      <c r="P29" s="347"/>
      <c r="Q29" s="347"/>
      <c r="R29" s="347"/>
      <c r="S29" s="347"/>
      <c r="T29" s="347"/>
      <c r="U29" s="347"/>
      <c r="V29" s="347"/>
      <c r="W29" s="347"/>
      <c r="X29" s="347"/>
      <c r="Y29" s="347"/>
      <c r="Z29" s="347"/>
      <c r="AA29" s="347"/>
      <c r="AB29" s="347"/>
      <c r="AC29" s="347"/>
      <c r="AD29" s="347"/>
      <c r="AE29" s="347"/>
      <c r="AF29" s="347"/>
      <c r="AG29" s="347"/>
      <c r="AH29" s="347"/>
      <c r="AI29" s="347"/>
      <c r="AJ29" s="347"/>
      <c r="AK29" s="347"/>
      <c r="AL29" s="347"/>
      <c r="AM29" s="347"/>
      <c r="AN29" s="347"/>
      <c r="AO29" s="347"/>
      <c r="AP29" s="348"/>
    </row>
    <row r="31" spans="1:43" x14ac:dyDescent="0.25">
      <c r="B31" s="57" t="s">
        <v>68</v>
      </c>
      <c r="C31" s="138" t="s">
        <v>189</v>
      </c>
      <c r="D31" s="9"/>
      <c r="E31" s="85">
        <f>VLOOKUP(C31,B43:C54,2,FALSE)</f>
        <v>5.0500000000000003E-2</v>
      </c>
      <c r="F31" s="9"/>
      <c r="G31" s="9"/>
      <c r="H31" s="9"/>
      <c r="I31" s="5"/>
    </row>
    <row r="32" spans="1:43" x14ac:dyDescent="0.25">
      <c r="B32" s="41" t="s">
        <v>95</v>
      </c>
      <c r="C32" s="16"/>
      <c r="D32" s="16"/>
      <c r="E32" s="139">
        <v>1</v>
      </c>
      <c r="F32" s="16"/>
      <c r="G32" s="16"/>
      <c r="H32" s="16"/>
      <c r="I32" s="17"/>
    </row>
    <row r="33" spans="2:9" x14ac:dyDescent="0.25">
      <c r="B33" s="41" t="s">
        <v>70</v>
      </c>
      <c r="C33" s="16"/>
      <c r="D33" s="16"/>
      <c r="E33" s="16">
        <v>3</v>
      </c>
      <c r="F33" s="16" t="s">
        <v>71</v>
      </c>
      <c r="G33" s="16"/>
      <c r="H33" s="16"/>
      <c r="I33" s="17"/>
    </row>
    <row r="34" spans="2:9" x14ac:dyDescent="0.25">
      <c r="B34" s="41" t="s">
        <v>184</v>
      </c>
      <c r="C34" s="16"/>
      <c r="D34" s="16"/>
      <c r="E34" s="140">
        <f>1-Projections!B305</f>
        <v>0.72277227722772275</v>
      </c>
      <c r="F34" s="16" t="s">
        <v>186</v>
      </c>
      <c r="G34" s="16"/>
      <c r="H34" s="16"/>
      <c r="I34" s="17"/>
    </row>
    <row r="35" spans="2:9" x14ac:dyDescent="0.25">
      <c r="B35" s="41" t="s">
        <v>76</v>
      </c>
      <c r="C35" s="16"/>
      <c r="D35" s="16"/>
      <c r="E35" s="140">
        <v>0.81</v>
      </c>
      <c r="F35" s="16" t="s">
        <v>94</v>
      </c>
      <c r="G35" s="16"/>
      <c r="H35" s="16"/>
      <c r="I35" s="17"/>
    </row>
    <row r="36" spans="2:9" x14ac:dyDescent="0.25">
      <c r="B36" s="41" t="s">
        <v>77</v>
      </c>
      <c r="C36" s="16"/>
      <c r="D36" s="16"/>
      <c r="E36" s="140">
        <v>0.14000000000000001</v>
      </c>
      <c r="F36" s="16" t="s">
        <v>94</v>
      </c>
      <c r="G36" s="16"/>
      <c r="H36" s="16"/>
      <c r="I36" s="17"/>
    </row>
    <row r="37" spans="2:9" x14ac:dyDescent="0.25">
      <c r="B37" s="41" t="s">
        <v>78</v>
      </c>
      <c r="C37" s="16"/>
      <c r="D37" s="16"/>
      <c r="E37" s="140">
        <v>0.05</v>
      </c>
      <c r="F37" s="16" t="s">
        <v>94</v>
      </c>
      <c r="G37" s="16"/>
      <c r="H37" s="16"/>
      <c r="I37" s="17"/>
    </row>
    <row r="38" spans="2:9" x14ac:dyDescent="0.25">
      <c r="B38" s="41" t="s">
        <v>81</v>
      </c>
      <c r="C38" s="16"/>
      <c r="D38" s="16"/>
      <c r="E38" s="136">
        <v>2</v>
      </c>
      <c r="F38" s="16" t="s">
        <v>82</v>
      </c>
      <c r="G38" s="16"/>
      <c r="H38" s="16"/>
      <c r="I38" s="17"/>
    </row>
    <row r="39" spans="2:9" x14ac:dyDescent="0.25">
      <c r="B39" s="37" t="s">
        <v>83</v>
      </c>
      <c r="C39" s="137"/>
      <c r="D39" s="39"/>
      <c r="E39" s="116">
        <v>4</v>
      </c>
      <c r="F39" s="39" t="s">
        <v>82</v>
      </c>
      <c r="G39" s="39" t="s">
        <v>84</v>
      </c>
      <c r="H39" s="39"/>
      <c r="I39" s="63"/>
    </row>
    <row r="42" spans="2:9" x14ac:dyDescent="0.25">
      <c r="B42" t="s">
        <v>90</v>
      </c>
    </row>
    <row r="43" spans="2:9" x14ac:dyDescent="0.25">
      <c r="B43" s="4" t="s">
        <v>89</v>
      </c>
      <c r="C43" s="115">
        <v>3.5000000000000003E-2</v>
      </c>
    </row>
    <row r="44" spans="2:9" x14ac:dyDescent="0.25">
      <c r="B44" s="41" t="s">
        <v>88</v>
      </c>
      <c r="C44" s="27">
        <v>2.3E-2</v>
      </c>
    </row>
    <row r="45" spans="2:9" x14ac:dyDescent="0.25">
      <c r="B45" s="41" t="s">
        <v>189</v>
      </c>
      <c r="C45" s="27">
        <f>Projections!B313</f>
        <v>5.0500000000000003E-2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20"/>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BO386"/>
  <sheetViews>
    <sheetView tabSelected="1" topLeftCell="V287" zoomScale="85" zoomScaleNormal="85" workbookViewId="0">
      <selection activeCell="AR307" sqref="AR307"/>
    </sheetView>
  </sheetViews>
  <sheetFormatPr defaultRowHeight="15" x14ac:dyDescent="0.25"/>
  <cols>
    <col min="1" max="1" width="44.28515625" customWidth="1"/>
    <col min="2" max="2" width="16.7109375" bestFit="1" customWidth="1"/>
    <col min="3" max="3" width="12" customWidth="1"/>
    <col min="4" max="4" width="13.5703125" bestFit="1" customWidth="1"/>
    <col min="5" max="5" width="10.7109375" bestFit="1" customWidth="1"/>
    <col min="6" max="15" width="11.28515625" customWidth="1"/>
    <col min="16" max="16" width="10.7109375" customWidth="1"/>
    <col min="17" max="17" width="10.85546875" bestFit="1" customWidth="1"/>
    <col min="18" max="18" width="10.7109375" bestFit="1" customWidth="1"/>
    <col min="19" max="20" width="10.85546875" bestFit="1" customWidth="1"/>
    <col min="21" max="21" width="10.5703125" customWidth="1"/>
    <col min="22" max="22" width="11.28515625" bestFit="1" customWidth="1"/>
    <col min="23" max="23" width="11" customWidth="1"/>
    <col min="24" max="24" width="10.7109375" customWidth="1"/>
    <col min="25" max="26" width="10.85546875" bestFit="1" customWidth="1"/>
    <col min="27" max="27" width="10.85546875" customWidth="1"/>
    <col min="28" max="29" width="10.85546875" bestFit="1" customWidth="1"/>
    <col min="30" max="33" width="11.28515625" customWidth="1"/>
    <col min="34" max="34" width="10.7109375" bestFit="1" customWidth="1"/>
    <col min="35" max="37" width="10.7109375" customWidth="1"/>
    <col min="38" max="38" width="10.7109375" bestFit="1" customWidth="1"/>
    <col min="39" max="39" width="11.5703125" customWidth="1"/>
    <col min="40" max="42" width="10.7109375" customWidth="1"/>
    <col min="43" max="43" width="11.7109375" bestFit="1" customWidth="1"/>
    <col min="44" max="47" width="11.7109375" customWidth="1"/>
    <col min="48" max="52" width="11.5703125" customWidth="1"/>
    <col min="53" max="57" width="11.7109375" customWidth="1"/>
    <col min="58" max="58" width="13.7109375" customWidth="1"/>
    <col min="59" max="60" width="11.5703125" bestFit="1" customWidth="1"/>
    <col min="61" max="62" width="13.28515625" bestFit="1" customWidth="1"/>
    <col min="63" max="63" width="13.7109375" customWidth="1"/>
    <col min="64" max="64" width="11.5703125" style="69" bestFit="1" customWidth="1"/>
    <col min="65" max="65" width="11.140625" bestFit="1" customWidth="1"/>
    <col min="66" max="66" width="12.140625" bestFit="1" customWidth="1"/>
  </cols>
  <sheetData>
    <row r="1" spans="3:34" x14ac:dyDescent="0.25">
      <c r="C1" t="s">
        <v>356</v>
      </c>
      <c r="D1" t="s">
        <v>121</v>
      </c>
      <c r="E1" t="s">
        <v>357</v>
      </c>
    </row>
    <row r="2" spans="3:34" x14ac:dyDescent="0.25">
      <c r="C2" t="s">
        <v>353</v>
      </c>
      <c r="D2" t="s">
        <v>353</v>
      </c>
      <c r="E2" s="264">
        <v>2017</v>
      </c>
      <c r="F2" t="s">
        <v>274</v>
      </c>
    </row>
    <row r="3" spans="3:34" x14ac:dyDescent="0.25">
      <c r="C3" t="s">
        <v>353</v>
      </c>
      <c r="D3" t="s">
        <v>353</v>
      </c>
      <c r="E3" s="331">
        <v>42917</v>
      </c>
      <c r="F3" t="s">
        <v>556</v>
      </c>
    </row>
    <row r="4" spans="3:34" x14ac:dyDescent="0.25">
      <c r="C4" t="s">
        <v>353</v>
      </c>
      <c r="D4" t="s">
        <v>353</v>
      </c>
      <c r="E4" s="282">
        <v>43132</v>
      </c>
      <c r="F4" t="s">
        <v>554</v>
      </c>
    </row>
    <row r="5" spans="3:34" x14ac:dyDescent="0.25">
      <c r="C5" t="s">
        <v>353</v>
      </c>
      <c r="D5" t="s">
        <v>353</v>
      </c>
      <c r="E5" s="331">
        <v>43160</v>
      </c>
      <c r="F5" t="s">
        <v>555</v>
      </c>
    </row>
    <row r="6" spans="3:34" x14ac:dyDescent="0.25">
      <c r="C6" t="s">
        <v>353</v>
      </c>
      <c r="D6" t="s">
        <v>353</v>
      </c>
      <c r="E6" s="264">
        <v>2018</v>
      </c>
      <c r="F6" t="s">
        <v>273</v>
      </c>
    </row>
    <row r="7" spans="3:34" x14ac:dyDescent="0.25">
      <c r="C7" t="s">
        <v>353</v>
      </c>
      <c r="D7" t="s">
        <v>353</v>
      </c>
      <c r="E7" s="282">
        <v>43647</v>
      </c>
      <c r="F7" t="s">
        <v>385</v>
      </c>
    </row>
    <row r="8" spans="3:34" x14ac:dyDescent="0.25">
      <c r="C8" t="s">
        <v>353</v>
      </c>
      <c r="D8" t="s">
        <v>353</v>
      </c>
      <c r="E8" s="214">
        <v>44177</v>
      </c>
      <c r="F8" t="s">
        <v>511</v>
      </c>
    </row>
    <row r="9" spans="3:34" x14ac:dyDescent="0.25">
      <c r="C9" t="s">
        <v>353</v>
      </c>
      <c r="D9" t="s">
        <v>353</v>
      </c>
      <c r="E9" s="214">
        <v>43829</v>
      </c>
      <c r="F9" t="s">
        <v>259</v>
      </c>
    </row>
    <row r="10" spans="3:34" x14ac:dyDescent="0.25">
      <c r="C10" t="s">
        <v>353</v>
      </c>
      <c r="D10" t="s">
        <v>353</v>
      </c>
      <c r="E10" s="214">
        <v>43830</v>
      </c>
      <c r="F10" t="s">
        <v>262</v>
      </c>
    </row>
    <row r="11" spans="3:34" x14ac:dyDescent="0.25">
      <c r="D11" t="s">
        <v>353</v>
      </c>
      <c r="E11" t="s">
        <v>353</v>
      </c>
      <c r="F11" s="214">
        <v>43833</v>
      </c>
      <c r="G11" t="s">
        <v>258</v>
      </c>
    </row>
    <row r="12" spans="3:34" x14ac:dyDescent="0.25">
      <c r="D12" t="s">
        <v>353</v>
      </c>
      <c r="E12" t="s">
        <v>353</v>
      </c>
      <c r="F12" s="260">
        <v>43835</v>
      </c>
      <c r="G12" s="69" t="s">
        <v>255</v>
      </c>
      <c r="H12" s="69"/>
      <c r="I12" s="69"/>
      <c r="J12" s="69"/>
      <c r="K12" s="69"/>
      <c r="L12" s="69"/>
      <c r="M12" s="69"/>
      <c r="N12" s="165"/>
      <c r="P12" s="214"/>
    </row>
    <row r="13" spans="3:34" x14ac:dyDescent="0.25">
      <c r="D13" t="s">
        <v>353</v>
      </c>
      <c r="E13" t="s">
        <v>353</v>
      </c>
      <c r="F13" s="158">
        <v>43836</v>
      </c>
      <c r="G13" s="159" t="s">
        <v>191</v>
      </c>
      <c r="H13" s="159"/>
      <c r="I13" s="159"/>
      <c r="J13" s="159"/>
      <c r="K13" s="159"/>
      <c r="L13" s="159"/>
      <c r="M13" s="159"/>
      <c r="N13" s="158">
        <v>43850</v>
      </c>
      <c r="P13" s="214"/>
    </row>
    <row r="14" spans="3:34" x14ac:dyDescent="0.25">
      <c r="D14" t="s">
        <v>353</v>
      </c>
      <c r="E14" t="s">
        <v>353</v>
      </c>
      <c r="F14" s="260">
        <v>43837</v>
      </c>
      <c r="G14" s="69" t="s">
        <v>225</v>
      </c>
      <c r="H14" s="69"/>
      <c r="I14" s="69"/>
      <c r="J14" s="69"/>
      <c r="K14" s="69"/>
      <c r="L14" s="69"/>
      <c r="M14" s="69"/>
      <c r="N14" s="165"/>
      <c r="P14" s="214"/>
    </row>
    <row r="15" spans="3:34" x14ac:dyDescent="0.25">
      <c r="D15" t="s">
        <v>353</v>
      </c>
      <c r="E15" t="s">
        <v>353</v>
      </c>
      <c r="F15" s="165">
        <v>43838</v>
      </c>
      <c r="G15" s="69" t="s">
        <v>263</v>
      </c>
      <c r="H15" s="69"/>
      <c r="I15" s="69"/>
      <c r="J15" s="69"/>
      <c r="K15" s="69"/>
      <c r="L15" s="69"/>
      <c r="M15" s="69"/>
      <c r="N15" s="165"/>
      <c r="O15" s="69"/>
      <c r="P15" s="165"/>
      <c r="Q15" s="69"/>
      <c r="R15" s="69"/>
      <c r="S15" s="69"/>
      <c r="T15" s="69"/>
      <c r="V15" s="69"/>
      <c r="W15" s="69"/>
      <c r="X15" s="69"/>
      <c r="Y15" s="69"/>
      <c r="Z15" s="69"/>
      <c r="AA15" s="69"/>
      <c r="AB15" s="69"/>
      <c r="AC15" s="69"/>
      <c r="AD15" s="69"/>
      <c r="AE15" s="69"/>
      <c r="AF15" s="69"/>
      <c r="AG15" s="69"/>
      <c r="AH15" s="69"/>
    </row>
    <row r="16" spans="3:34" x14ac:dyDescent="0.25">
      <c r="D16" t="s">
        <v>353</v>
      </c>
      <c r="E16" t="s">
        <v>353</v>
      </c>
      <c r="F16" s="165">
        <v>43839</v>
      </c>
      <c r="G16" s="69" t="s">
        <v>542</v>
      </c>
      <c r="H16" s="69"/>
      <c r="I16" s="69"/>
      <c r="J16" s="69"/>
      <c r="K16" s="69"/>
      <c r="L16" s="69"/>
      <c r="M16" s="69"/>
      <c r="N16" s="165"/>
      <c r="O16" s="69"/>
      <c r="P16" s="165"/>
      <c r="Q16" s="69"/>
      <c r="R16" s="69"/>
      <c r="S16" s="69"/>
      <c r="T16" s="69"/>
      <c r="V16" s="69"/>
      <c r="W16" s="69"/>
      <c r="X16" s="69"/>
      <c r="Y16" s="69"/>
      <c r="Z16" s="69"/>
      <c r="AA16" s="69"/>
      <c r="AB16" s="69"/>
      <c r="AC16" s="69"/>
      <c r="AD16" s="69"/>
      <c r="AE16" s="69"/>
      <c r="AF16" s="69"/>
      <c r="AG16" s="69"/>
      <c r="AH16" s="69"/>
    </row>
    <row r="17" spans="4:35" x14ac:dyDescent="0.25">
      <c r="D17" t="s">
        <v>353</v>
      </c>
      <c r="E17" t="s">
        <v>353</v>
      </c>
      <c r="F17" s="260">
        <v>43839</v>
      </c>
      <c r="G17" s="69" t="s">
        <v>226</v>
      </c>
      <c r="H17" s="69"/>
      <c r="I17" s="69"/>
      <c r="J17" s="69"/>
      <c r="K17" s="69"/>
      <c r="L17" s="69"/>
      <c r="M17" s="69"/>
      <c r="N17" s="165"/>
      <c r="P17" s="214"/>
    </row>
    <row r="18" spans="4:35" x14ac:dyDescent="0.25">
      <c r="D18" t="s">
        <v>353</v>
      </c>
      <c r="E18" t="s">
        <v>353</v>
      </c>
      <c r="F18" s="260">
        <v>43840</v>
      </c>
      <c r="G18" s="69" t="s">
        <v>296</v>
      </c>
      <c r="H18" s="69"/>
      <c r="I18" s="69"/>
      <c r="J18" s="69"/>
      <c r="K18" s="69"/>
      <c r="L18" s="69"/>
      <c r="M18" s="69"/>
      <c r="N18" s="165"/>
      <c r="P18" s="214"/>
    </row>
    <row r="19" spans="4:35" x14ac:dyDescent="0.25">
      <c r="D19" t="s">
        <v>353</v>
      </c>
      <c r="E19" t="s">
        <v>353</v>
      </c>
      <c r="F19" s="165">
        <v>43841</v>
      </c>
      <c r="G19" s="69" t="s">
        <v>233</v>
      </c>
      <c r="H19" s="69"/>
      <c r="I19" s="69"/>
      <c r="J19" s="69"/>
      <c r="K19" s="69"/>
      <c r="L19" s="69"/>
      <c r="M19" s="69"/>
      <c r="N19" s="165"/>
      <c r="P19" s="214"/>
    </row>
    <row r="20" spans="4:35" x14ac:dyDescent="0.25">
      <c r="D20" t="s">
        <v>353</v>
      </c>
      <c r="E20" t="s">
        <v>353</v>
      </c>
      <c r="F20" s="165">
        <v>43842</v>
      </c>
      <c r="G20" s="69" t="s">
        <v>260</v>
      </c>
      <c r="H20" s="69"/>
      <c r="I20" s="69"/>
      <c r="J20" s="69"/>
      <c r="K20" s="69"/>
      <c r="L20" s="69"/>
      <c r="M20" s="69"/>
      <c r="N20" s="165"/>
      <c r="P20" s="214"/>
    </row>
    <row r="21" spans="4:35" x14ac:dyDescent="0.25">
      <c r="D21" t="s">
        <v>353</v>
      </c>
      <c r="E21" t="s">
        <v>353</v>
      </c>
      <c r="F21" s="260">
        <v>43844</v>
      </c>
      <c r="G21" s="69" t="s">
        <v>543</v>
      </c>
      <c r="H21" s="69"/>
      <c r="I21" s="69"/>
      <c r="J21" s="69"/>
      <c r="K21" s="69"/>
      <c r="L21" s="69"/>
      <c r="M21" s="69"/>
      <c r="N21" s="165"/>
      <c r="P21" s="214"/>
    </row>
    <row r="22" spans="4:35" x14ac:dyDescent="0.25">
      <c r="D22" s="69" t="s">
        <v>353</v>
      </c>
      <c r="E22" s="69" t="s">
        <v>353</v>
      </c>
      <c r="F22" s="165">
        <v>43844</v>
      </c>
      <c r="G22" s="69" t="s">
        <v>546</v>
      </c>
      <c r="H22" s="69"/>
      <c r="I22" s="69"/>
      <c r="J22" s="69"/>
      <c r="K22" s="69"/>
      <c r="L22" s="69"/>
      <c r="M22" s="69"/>
      <c r="N22" s="165"/>
      <c r="P22" s="214"/>
    </row>
    <row r="23" spans="4:35" x14ac:dyDescent="0.25">
      <c r="D23" t="s">
        <v>353</v>
      </c>
      <c r="E23" t="s">
        <v>353</v>
      </c>
      <c r="F23" s="165">
        <v>43845</v>
      </c>
      <c r="G23" s="69" t="s">
        <v>266</v>
      </c>
      <c r="H23" s="69"/>
      <c r="I23" s="69"/>
      <c r="J23" s="69"/>
      <c r="K23" s="69"/>
      <c r="L23" s="69"/>
      <c r="M23" s="69"/>
      <c r="N23" s="165"/>
      <c r="P23" s="214"/>
      <c r="AI23" s="69"/>
    </row>
    <row r="24" spans="4:35" x14ac:dyDescent="0.25">
      <c r="D24" t="s">
        <v>353</v>
      </c>
      <c r="E24" t="s">
        <v>353</v>
      </c>
      <c r="F24" s="165">
        <v>43846</v>
      </c>
      <c r="G24" s="69" t="s">
        <v>192</v>
      </c>
      <c r="H24" s="69"/>
      <c r="I24" s="69"/>
      <c r="J24" s="69"/>
      <c r="K24" s="69"/>
      <c r="L24" s="69"/>
      <c r="M24" s="69"/>
      <c r="N24" s="165"/>
      <c r="P24" s="214"/>
    </row>
    <row r="25" spans="4:35" x14ac:dyDescent="0.25">
      <c r="D25" t="s">
        <v>353</v>
      </c>
      <c r="E25" t="s">
        <v>353</v>
      </c>
      <c r="F25" s="158">
        <v>43847</v>
      </c>
      <c r="G25" s="159" t="s">
        <v>218</v>
      </c>
      <c r="H25" s="159"/>
      <c r="I25" s="159"/>
      <c r="J25" s="159"/>
      <c r="K25" s="159"/>
      <c r="L25" s="159"/>
      <c r="M25" s="159"/>
      <c r="N25" s="158">
        <v>43861</v>
      </c>
      <c r="P25" s="214"/>
    </row>
    <row r="26" spans="4:35" x14ac:dyDescent="0.25">
      <c r="D26" t="s">
        <v>353</v>
      </c>
      <c r="E26" t="s">
        <v>353</v>
      </c>
      <c r="F26" s="259">
        <v>43848</v>
      </c>
      <c r="G26" s="69" t="s">
        <v>202</v>
      </c>
      <c r="H26" s="69"/>
      <c r="I26" s="69"/>
      <c r="J26" s="69"/>
      <c r="K26" s="69"/>
      <c r="L26" s="69"/>
      <c r="M26" s="69"/>
      <c r="N26" s="165"/>
      <c r="O26" s="69"/>
      <c r="P26" s="165"/>
    </row>
    <row r="27" spans="4:35" x14ac:dyDescent="0.25">
      <c r="D27" t="s">
        <v>353</v>
      </c>
      <c r="E27" t="s">
        <v>353</v>
      </c>
      <c r="F27" s="165">
        <v>43850</v>
      </c>
      <c r="G27" s="69" t="s">
        <v>545</v>
      </c>
      <c r="H27" s="69"/>
      <c r="I27" s="69"/>
      <c r="J27" s="69"/>
      <c r="K27" s="69"/>
      <c r="L27" s="69"/>
      <c r="M27" s="69"/>
      <c r="N27" s="165"/>
      <c r="O27" s="69"/>
      <c r="P27" s="165"/>
    </row>
    <row r="28" spans="4:35" x14ac:dyDescent="0.25">
      <c r="D28" s="276">
        <v>1</v>
      </c>
      <c r="E28" t="s">
        <v>353</v>
      </c>
      <c r="F28" s="214">
        <v>43851</v>
      </c>
      <c r="G28" t="s">
        <v>193</v>
      </c>
    </row>
    <row r="29" spans="4:35" x14ac:dyDescent="0.25">
      <c r="D29" s="278">
        <v>1</v>
      </c>
      <c r="E29" t="s">
        <v>353</v>
      </c>
      <c r="F29" s="259">
        <v>43852</v>
      </c>
      <c r="G29" t="s">
        <v>194</v>
      </c>
    </row>
    <row r="30" spans="4:35" x14ac:dyDescent="0.25">
      <c r="D30" s="278">
        <v>1</v>
      </c>
      <c r="E30" t="s">
        <v>353</v>
      </c>
      <c r="F30" s="165">
        <v>43853</v>
      </c>
      <c r="G30" t="s">
        <v>544</v>
      </c>
    </row>
    <row r="31" spans="4:35" x14ac:dyDescent="0.25">
      <c r="D31" s="278">
        <v>1</v>
      </c>
      <c r="E31" t="s">
        <v>353</v>
      </c>
      <c r="F31" s="260">
        <v>43853</v>
      </c>
      <c r="G31" s="69" t="s">
        <v>231</v>
      </c>
      <c r="H31" s="69"/>
      <c r="I31" s="69"/>
      <c r="J31" s="69"/>
      <c r="K31" s="69"/>
      <c r="L31" s="69"/>
      <c r="M31" s="69"/>
      <c r="N31" s="69"/>
      <c r="O31" s="69"/>
      <c r="P31" s="69"/>
      <c r="Q31" s="69"/>
      <c r="R31" s="69"/>
      <c r="S31" s="69"/>
      <c r="T31" s="69"/>
      <c r="V31" s="69"/>
      <c r="W31" s="69"/>
      <c r="X31" s="69"/>
      <c r="Y31" s="69"/>
      <c r="Z31" s="69"/>
      <c r="AA31" s="69"/>
      <c r="AB31" s="69"/>
      <c r="AC31" s="69"/>
      <c r="AD31" s="69"/>
      <c r="AE31" s="69"/>
      <c r="AF31" s="69"/>
      <c r="AG31" s="69"/>
      <c r="AH31" s="69"/>
    </row>
    <row r="32" spans="4:35" x14ac:dyDescent="0.25">
      <c r="D32" s="276">
        <v>2</v>
      </c>
      <c r="E32" s="69" t="s">
        <v>353</v>
      </c>
      <c r="F32" s="259">
        <v>43854</v>
      </c>
      <c r="G32" s="69" t="s">
        <v>227</v>
      </c>
      <c r="H32" s="69"/>
      <c r="I32" s="69"/>
      <c r="J32" s="69"/>
      <c r="K32" s="69"/>
      <c r="L32" s="69"/>
      <c r="M32" s="69"/>
      <c r="N32" s="69"/>
      <c r="O32" s="69"/>
      <c r="P32" s="69"/>
      <c r="Q32" s="69"/>
      <c r="R32" s="69"/>
      <c r="S32" s="69"/>
      <c r="T32" s="69"/>
      <c r="V32" s="69"/>
      <c r="W32" s="69"/>
      <c r="X32" s="69"/>
      <c r="Y32" s="69"/>
      <c r="Z32" s="69"/>
      <c r="AA32" s="69"/>
      <c r="AB32" s="69"/>
      <c r="AC32" s="69"/>
      <c r="AD32" s="69"/>
      <c r="AE32" s="69"/>
      <c r="AF32" s="69"/>
      <c r="AG32" s="69"/>
      <c r="AH32" s="69"/>
    </row>
    <row r="33" spans="4:40" x14ac:dyDescent="0.25">
      <c r="D33" s="276">
        <v>5</v>
      </c>
      <c r="E33" s="69" t="s">
        <v>353</v>
      </c>
      <c r="F33" s="165">
        <v>43857</v>
      </c>
      <c r="G33" s="69" t="s">
        <v>203</v>
      </c>
      <c r="H33" s="69"/>
      <c r="I33" s="69"/>
      <c r="J33" s="69"/>
      <c r="K33" s="69"/>
      <c r="L33" s="69"/>
      <c r="M33" s="69"/>
      <c r="N33" s="69"/>
      <c r="O33" s="69"/>
      <c r="P33" s="69"/>
      <c r="Q33" s="69"/>
      <c r="R33" s="69"/>
      <c r="S33" s="69"/>
      <c r="T33" s="69"/>
      <c r="V33" s="69"/>
      <c r="W33" s="69"/>
      <c r="X33" s="69"/>
      <c r="Y33" s="69"/>
      <c r="Z33" s="69"/>
      <c r="AA33" s="69"/>
      <c r="AB33" s="69"/>
      <c r="AC33" s="69"/>
      <c r="AD33" s="69"/>
      <c r="AE33" s="69"/>
      <c r="AF33" s="69"/>
      <c r="AG33" s="69"/>
      <c r="AH33" s="69"/>
    </row>
    <row r="34" spans="4:40" x14ac:dyDescent="0.25">
      <c r="D34" s="278">
        <v>5</v>
      </c>
      <c r="E34" s="69" t="s">
        <v>353</v>
      </c>
      <c r="F34" s="158">
        <v>43858</v>
      </c>
      <c r="G34" s="159" t="s">
        <v>265</v>
      </c>
      <c r="H34" s="159"/>
      <c r="I34" s="159"/>
      <c r="J34" s="159"/>
      <c r="K34" s="159"/>
      <c r="L34" s="159"/>
      <c r="M34" s="159"/>
      <c r="N34" s="159"/>
      <c r="O34" s="158">
        <v>43873</v>
      </c>
      <c r="P34" s="69"/>
      <c r="Q34" s="69"/>
      <c r="R34" s="69"/>
      <c r="S34" s="69"/>
      <c r="T34" s="69"/>
      <c r="V34" s="69"/>
      <c r="W34" s="69"/>
      <c r="X34" s="69"/>
      <c r="Y34" s="69"/>
      <c r="Z34" s="69"/>
      <c r="AA34" s="69"/>
      <c r="AB34" s="69"/>
      <c r="AC34" s="69"/>
      <c r="AD34" s="69"/>
      <c r="AE34" s="69"/>
      <c r="AF34" s="69"/>
      <c r="AG34" s="69"/>
      <c r="AH34" s="69"/>
    </row>
    <row r="35" spans="4:40" x14ac:dyDescent="0.25">
      <c r="D35" s="278">
        <v>5</v>
      </c>
      <c r="E35" s="69" t="s">
        <v>353</v>
      </c>
      <c r="F35" s="165">
        <v>43859</v>
      </c>
      <c r="G35" s="69" t="s">
        <v>204</v>
      </c>
      <c r="H35" s="69"/>
      <c r="I35" s="69"/>
      <c r="J35" s="69"/>
      <c r="K35" s="69"/>
      <c r="L35" s="69"/>
      <c r="M35" s="69"/>
      <c r="N35" s="69"/>
      <c r="O35" s="69"/>
      <c r="P35" s="69"/>
      <c r="Q35" s="69"/>
      <c r="R35" s="69"/>
      <c r="S35" s="69"/>
      <c r="T35" s="69"/>
      <c r="V35" s="69"/>
      <c r="W35" s="69"/>
      <c r="X35" s="69"/>
      <c r="Y35" s="69"/>
      <c r="Z35" s="69"/>
      <c r="AA35" s="69"/>
      <c r="AB35" s="69"/>
      <c r="AC35" s="69"/>
      <c r="AD35" s="69"/>
      <c r="AE35" s="69"/>
      <c r="AF35" s="69"/>
      <c r="AG35" s="69"/>
      <c r="AH35" s="69"/>
    </row>
    <row r="36" spans="4:40" x14ac:dyDescent="0.25">
      <c r="D36" s="278">
        <v>5</v>
      </c>
      <c r="E36" s="69" t="s">
        <v>353</v>
      </c>
      <c r="F36" s="214">
        <v>43859</v>
      </c>
      <c r="G36" t="s">
        <v>195</v>
      </c>
      <c r="Q36" s="214"/>
    </row>
    <row r="37" spans="4:40" x14ac:dyDescent="0.25">
      <c r="D37" s="278">
        <v>6</v>
      </c>
      <c r="E37" s="69" t="s">
        <v>353</v>
      </c>
      <c r="F37" s="260">
        <v>43860</v>
      </c>
      <c r="G37" t="s">
        <v>234</v>
      </c>
      <c r="AI37" s="69"/>
      <c r="AJ37" s="69"/>
      <c r="AK37" s="69"/>
      <c r="AL37" s="69"/>
      <c r="AM37" s="69"/>
      <c r="AN37" s="69"/>
    </row>
    <row r="38" spans="4:40" x14ac:dyDescent="0.25">
      <c r="D38" s="278">
        <v>6</v>
      </c>
      <c r="E38" s="69" t="s">
        <v>353</v>
      </c>
      <c r="F38" s="259">
        <v>43860</v>
      </c>
      <c r="G38" t="s">
        <v>205</v>
      </c>
      <c r="AI38" s="69"/>
    </row>
    <row r="39" spans="4:40" x14ac:dyDescent="0.25">
      <c r="D39" s="278">
        <v>6</v>
      </c>
      <c r="E39" s="69" t="s">
        <v>353</v>
      </c>
      <c r="F39" s="259">
        <v>43860</v>
      </c>
      <c r="G39" t="s">
        <v>277</v>
      </c>
      <c r="AI39" s="69"/>
    </row>
    <row r="40" spans="4:40" x14ac:dyDescent="0.25">
      <c r="D40" s="278">
        <v>6</v>
      </c>
      <c r="E40" s="69" t="s">
        <v>353</v>
      </c>
      <c r="F40" s="165">
        <v>43860</v>
      </c>
      <c r="G40" s="69" t="s">
        <v>261</v>
      </c>
      <c r="H40" s="69"/>
      <c r="I40" s="69"/>
      <c r="J40" s="69"/>
      <c r="K40" s="69"/>
      <c r="L40" s="69"/>
      <c r="M40" s="69"/>
      <c r="N40" s="69"/>
      <c r="O40" s="69"/>
      <c r="P40" s="69"/>
      <c r="Q40" s="69"/>
      <c r="R40" s="69"/>
      <c r="S40" s="69"/>
      <c r="T40" s="69"/>
      <c r="V40" s="69"/>
      <c r="W40" s="69"/>
      <c r="X40" s="69"/>
      <c r="Y40" s="69"/>
      <c r="Z40" s="69"/>
      <c r="AA40" s="69"/>
      <c r="AB40" s="69"/>
      <c r="AC40" s="69"/>
      <c r="AD40" s="69"/>
      <c r="AE40" s="69"/>
      <c r="AF40" s="69"/>
      <c r="AG40" s="69"/>
      <c r="AH40" s="69"/>
      <c r="AI40" s="69"/>
    </row>
    <row r="41" spans="4:40" x14ac:dyDescent="0.25">
      <c r="D41" s="278">
        <v>6</v>
      </c>
      <c r="E41" s="69" t="s">
        <v>353</v>
      </c>
      <c r="F41" s="165">
        <v>43860</v>
      </c>
      <c r="G41" s="69" t="s">
        <v>354</v>
      </c>
      <c r="H41" s="69"/>
      <c r="I41" s="69"/>
      <c r="J41" s="69"/>
      <c r="K41" s="69"/>
      <c r="L41" s="69"/>
      <c r="M41" s="69"/>
      <c r="N41" s="69"/>
      <c r="O41" s="69"/>
      <c r="P41" s="69"/>
      <c r="Q41" s="69"/>
      <c r="R41" s="69"/>
      <c r="S41" s="69"/>
      <c r="T41" s="69"/>
      <c r="V41" s="69"/>
      <c r="W41" s="69"/>
      <c r="X41" s="69"/>
      <c r="Y41" s="69"/>
      <c r="Z41" s="69"/>
      <c r="AA41" s="69"/>
      <c r="AB41" s="69"/>
      <c r="AC41" s="69"/>
      <c r="AD41" s="69"/>
      <c r="AE41" s="69"/>
      <c r="AF41" s="69"/>
      <c r="AG41" s="69"/>
      <c r="AH41" s="69"/>
      <c r="AI41" s="69"/>
    </row>
    <row r="42" spans="4:40" x14ac:dyDescent="0.25">
      <c r="D42" s="278">
        <v>7</v>
      </c>
      <c r="E42" s="69" t="s">
        <v>353</v>
      </c>
      <c r="F42" s="165">
        <v>43861</v>
      </c>
      <c r="G42" s="69" t="s">
        <v>240</v>
      </c>
      <c r="H42" s="69"/>
      <c r="I42" s="69"/>
      <c r="J42" s="69"/>
      <c r="K42" s="69"/>
      <c r="L42" s="69"/>
      <c r="M42" s="69"/>
      <c r="N42" s="69"/>
      <c r="O42" s="165"/>
      <c r="AI42" s="69"/>
    </row>
    <row r="43" spans="4:40" x14ac:dyDescent="0.25">
      <c r="D43" s="278">
        <v>7</v>
      </c>
      <c r="E43" s="69" t="s">
        <v>353</v>
      </c>
      <c r="F43" s="259">
        <v>43861</v>
      </c>
      <c r="G43" s="69" t="s">
        <v>243</v>
      </c>
      <c r="H43" s="69"/>
      <c r="I43" s="69"/>
      <c r="J43" s="69"/>
      <c r="K43" s="69"/>
      <c r="L43" s="69"/>
      <c r="M43" s="69"/>
      <c r="N43" s="69"/>
      <c r="O43" s="165"/>
    </row>
    <row r="44" spans="4:40" x14ac:dyDescent="0.25">
      <c r="D44" s="278">
        <v>7</v>
      </c>
      <c r="E44" s="69" t="s">
        <v>353</v>
      </c>
      <c r="F44" s="165">
        <v>43861</v>
      </c>
      <c r="G44" s="69" t="s">
        <v>241</v>
      </c>
      <c r="H44" s="69"/>
      <c r="I44" s="69"/>
      <c r="J44" s="69"/>
      <c r="K44" s="69"/>
      <c r="L44" s="69"/>
      <c r="M44" s="69"/>
      <c r="N44" s="69"/>
      <c r="O44" s="165"/>
    </row>
    <row r="45" spans="4:40" x14ac:dyDescent="0.25">
      <c r="G45" s="165" t="s">
        <v>206</v>
      </c>
      <c r="H45" t="s">
        <v>207</v>
      </c>
    </row>
    <row r="46" spans="4:40" x14ac:dyDescent="0.25">
      <c r="E46" s="69"/>
      <c r="G46" s="261" t="s">
        <v>229</v>
      </c>
      <c r="H46" s="69" t="s">
        <v>230</v>
      </c>
      <c r="I46" s="69"/>
      <c r="L46" s="69"/>
      <c r="M46" s="69"/>
      <c r="N46" s="69"/>
      <c r="O46" s="69"/>
      <c r="P46" s="165"/>
      <c r="Q46" s="165"/>
      <c r="R46" s="69"/>
      <c r="S46" s="69"/>
      <c r="T46" s="69"/>
      <c r="U46" s="69"/>
      <c r="V46" s="69"/>
      <c r="W46" s="69"/>
      <c r="X46" s="69"/>
      <c r="Y46" s="69"/>
      <c r="Z46" s="69"/>
      <c r="AA46" s="69"/>
      <c r="AB46" s="69"/>
      <c r="AC46" s="69"/>
      <c r="AD46" s="69"/>
      <c r="AE46" s="69"/>
      <c r="AF46" s="69"/>
      <c r="AG46" s="69"/>
      <c r="AH46" s="69"/>
    </row>
    <row r="47" spans="4:40" x14ac:dyDescent="0.25">
      <c r="F47" s="276">
        <v>8</v>
      </c>
      <c r="G47" t="s">
        <v>353</v>
      </c>
      <c r="H47" s="214">
        <v>43862</v>
      </c>
      <c r="I47" t="s">
        <v>237</v>
      </c>
    </row>
    <row r="48" spans="4:40" x14ac:dyDescent="0.25">
      <c r="F48" s="278">
        <v>11</v>
      </c>
      <c r="G48" s="69" t="s">
        <v>353</v>
      </c>
      <c r="H48" s="158">
        <v>43863</v>
      </c>
      <c r="I48" s="159" t="s">
        <v>197</v>
      </c>
      <c r="J48" s="159"/>
      <c r="K48" s="159"/>
      <c r="L48" s="159"/>
      <c r="M48" s="159"/>
      <c r="N48" s="158"/>
      <c r="O48" s="158">
        <v>43877</v>
      </c>
      <c r="AI48" s="69"/>
    </row>
    <row r="49" spans="5:52" x14ac:dyDescent="0.25">
      <c r="E49" s="69"/>
      <c r="F49" s="278">
        <v>11</v>
      </c>
      <c r="G49" s="69" t="s">
        <v>353</v>
      </c>
      <c r="H49" s="259">
        <v>43863</v>
      </c>
      <c r="I49" s="69" t="s">
        <v>282</v>
      </c>
      <c r="J49" s="69"/>
      <c r="K49" s="69"/>
      <c r="L49" s="69"/>
      <c r="M49" s="69"/>
      <c r="N49" s="165"/>
      <c r="O49" s="165"/>
      <c r="P49" s="69"/>
      <c r="Q49" s="69"/>
      <c r="R49" s="69"/>
      <c r="S49" s="69"/>
      <c r="T49" s="69"/>
      <c r="V49" s="69"/>
      <c r="W49" s="69"/>
      <c r="X49" s="69"/>
      <c r="Y49" s="69"/>
      <c r="Z49" s="69"/>
      <c r="AA49" s="69"/>
      <c r="AB49" s="69"/>
      <c r="AC49" s="69"/>
      <c r="AD49" s="69"/>
      <c r="AE49" s="69"/>
      <c r="AF49" s="69"/>
      <c r="AG49" s="69"/>
      <c r="AH49" s="69"/>
    </row>
    <row r="50" spans="5:52" x14ac:dyDescent="0.25">
      <c r="F50" s="278">
        <v>12</v>
      </c>
      <c r="G50" s="69" t="s">
        <v>353</v>
      </c>
      <c r="H50" s="165">
        <v>43866</v>
      </c>
      <c r="I50" s="69" t="s">
        <v>242</v>
      </c>
      <c r="J50" s="69"/>
      <c r="K50" s="69"/>
      <c r="L50" s="69"/>
      <c r="M50" s="69"/>
      <c r="N50" s="165"/>
      <c r="O50" s="165"/>
      <c r="AJ50" s="69"/>
      <c r="AK50" s="69"/>
      <c r="AL50" s="69"/>
      <c r="AM50" s="69"/>
      <c r="AN50" s="69"/>
      <c r="AO50" s="69"/>
      <c r="AP50" s="69"/>
      <c r="AQ50" s="69"/>
      <c r="AR50" s="69"/>
      <c r="AS50" s="69"/>
      <c r="AT50" s="69"/>
    </row>
    <row r="51" spans="5:52" x14ac:dyDescent="0.25">
      <c r="F51" s="278">
        <v>12</v>
      </c>
      <c r="G51" s="280" t="s">
        <v>355</v>
      </c>
      <c r="H51" s="165">
        <v>43867</v>
      </c>
      <c r="I51" s="16" t="s">
        <v>306</v>
      </c>
      <c r="J51" s="69"/>
      <c r="K51" s="69"/>
      <c r="L51" s="69"/>
      <c r="M51" s="69"/>
      <c r="N51" s="165"/>
      <c r="O51" s="165"/>
      <c r="AJ51" s="69"/>
      <c r="AK51" s="69"/>
      <c r="AL51" s="69"/>
      <c r="AM51" s="69"/>
      <c r="AN51" s="69"/>
    </row>
    <row r="52" spans="5:52" x14ac:dyDescent="0.25">
      <c r="F52" s="278">
        <v>12</v>
      </c>
      <c r="G52" s="280" t="s">
        <v>355</v>
      </c>
      <c r="H52" s="165">
        <v>43868</v>
      </c>
      <c r="I52" s="69" t="s">
        <v>257</v>
      </c>
      <c r="J52" s="69"/>
      <c r="K52" s="69"/>
      <c r="L52" s="69"/>
      <c r="M52" s="69"/>
      <c r="N52" s="165"/>
      <c r="O52" s="165"/>
      <c r="AJ52" s="69"/>
      <c r="AK52" s="69"/>
      <c r="AL52" s="69"/>
      <c r="AM52" s="69"/>
      <c r="AN52" s="69"/>
    </row>
    <row r="53" spans="5:52" x14ac:dyDescent="0.25">
      <c r="F53" s="278">
        <v>12</v>
      </c>
      <c r="G53" s="280" t="s">
        <v>355</v>
      </c>
      <c r="H53" s="259">
        <v>43868</v>
      </c>
      <c r="I53" s="69" t="s">
        <v>400</v>
      </c>
      <c r="J53" s="69"/>
      <c r="K53" s="69"/>
      <c r="L53" s="69"/>
      <c r="M53" s="69"/>
      <c r="N53" s="165"/>
      <c r="O53" s="165"/>
      <c r="AJ53" s="69"/>
      <c r="AK53" s="69"/>
      <c r="AL53" s="69"/>
      <c r="AM53" s="69"/>
      <c r="AN53" s="69"/>
    </row>
    <row r="54" spans="5:52" x14ac:dyDescent="0.25">
      <c r="F54" s="278">
        <v>12</v>
      </c>
      <c r="G54" s="280" t="s">
        <v>355</v>
      </c>
      <c r="H54" s="259">
        <v>43871</v>
      </c>
      <c r="I54" s="69" t="s">
        <v>278</v>
      </c>
      <c r="J54" s="69"/>
      <c r="K54" s="69"/>
      <c r="L54" s="69"/>
      <c r="M54" s="69"/>
      <c r="N54" s="165"/>
      <c r="O54" s="165"/>
      <c r="AJ54" s="69"/>
      <c r="AK54" s="69"/>
      <c r="AL54" s="69"/>
      <c r="AM54" s="69"/>
      <c r="AN54" s="69"/>
    </row>
    <row r="55" spans="5:52" x14ac:dyDescent="0.25">
      <c r="F55" s="278">
        <v>12</v>
      </c>
      <c r="G55" s="280" t="s">
        <v>355</v>
      </c>
      <c r="H55" s="259">
        <v>43871</v>
      </c>
      <c r="I55" s="69" t="s">
        <v>401</v>
      </c>
      <c r="J55" s="69"/>
      <c r="K55" s="69"/>
      <c r="L55" s="69"/>
      <c r="M55" s="69"/>
      <c r="N55" s="165"/>
      <c r="O55" s="165"/>
      <c r="AJ55" s="69"/>
      <c r="AK55" s="69"/>
      <c r="AL55" s="69"/>
      <c r="AM55" s="69"/>
      <c r="AN55" s="69"/>
    </row>
    <row r="56" spans="5:52" x14ac:dyDescent="0.25">
      <c r="F56" s="278">
        <v>12</v>
      </c>
      <c r="G56" s="280" t="s">
        <v>355</v>
      </c>
      <c r="H56" s="259">
        <v>43872</v>
      </c>
      <c r="I56" s="69" t="s">
        <v>272</v>
      </c>
      <c r="J56" s="69"/>
      <c r="K56" s="69"/>
      <c r="L56" s="69"/>
      <c r="M56" s="69"/>
      <c r="N56" s="165"/>
      <c r="O56" s="165"/>
      <c r="AJ56" s="69"/>
      <c r="AK56" s="69"/>
      <c r="AL56" s="69"/>
      <c r="AM56" s="69"/>
      <c r="AN56" s="69"/>
    </row>
    <row r="57" spans="5:52" x14ac:dyDescent="0.25">
      <c r="F57" s="278">
        <v>12</v>
      </c>
      <c r="G57" s="280" t="s">
        <v>355</v>
      </c>
      <c r="H57" s="260">
        <v>43873</v>
      </c>
      <c r="I57" s="69" t="s">
        <v>269</v>
      </c>
      <c r="J57" s="69"/>
      <c r="K57" s="69"/>
      <c r="L57" s="69"/>
      <c r="M57" s="69"/>
      <c r="N57" s="165"/>
      <c r="O57" s="165"/>
      <c r="AI57" s="69"/>
    </row>
    <row r="58" spans="5:52" x14ac:dyDescent="0.25">
      <c r="F58" s="278">
        <v>12</v>
      </c>
      <c r="G58" s="280" t="s">
        <v>355</v>
      </c>
      <c r="H58" s="165">
        <v>43873</v>
      </c>
      <c r="I58" s="69" t="s">
        <v>384</v>
      </c>
      <c r="J58" s="69"/>
      <c r="K58" s="69"/>
      <c r="L58" s="69"/>
      <c r="M58" s="69"/>
      <c r="N58" s="165"/>
      <c r="O58" s="165"/>
      <c r="AI58" s="69"/>
    </row>
    <row r="59" spans="5:52" x14ac:dyDescent="0.25">
      <c r="F59" s="278">
        <v>12</v>
      </c>
      <c r="G59" s="280" t="s">
        <v>355</v>
      </c>
      <c r="H59" s="259">
        <v>43874</v>
      </c>
      <c r="I59" s="69" t="s">
        <v>406</v>
      </c>
      <c r="J59" s="69"/>
      <c r="K59" s="69"/>
      <c r="L59" s="69"/>
      <c r="M59" s="69"/>
      <c r="N59" s="165"/>
      <c r="O59" s="165"/>
      <c r="AI59" s="69"/>
      <c r="AU59" s="69"/>
      <c r="AV59" s="69"/>
      <c r="AW59" s="69"/>
      <c r="AX59" s="69"/>
      <c r="AY59" s="69"/>
      <c r="AZ59" s="69"/>
    </row>
    <row r="60" spans="5:52" x14ac:dyDescent="0.25">
      <c r="G60" s="285">
        <v>15</v>
      </c>
      <c r="H60" s="280" t="s">
        <v>355</v>
      </c>
      <c r="I60" s="259">
        <v>43879</v>
      </c>
      <c r="J60" s="69" t="s">
        <v>403</v>
      </c>
      <c r="K60" s="69"/>
      <c r="L60" s="69"/>
      <c r="M60" s="69"/>
      <c r="N60" s="165"/>
      <c r="O60" s="165"/>
      <c r="AI60" s="69"/>
    </row>
    <row r="61" spans="5:52" x14ac:dyDescent="0.25">
      <c r="G61" s="278">
        <v>15</v>
      </c>
      <c r="H61" s="280" t="s">
        <v>355</v>
      </c>
      <c r="I61" s="259">
        <v>43880</v>
      </c>
      <c r="J61" s="69" t="s">
        <v>402</v>
      </c>
      <c r="M61" s="69"/>
      <c r="N61" s="69"/>
      <c r="O61" s="69"/>
      <c r="P61" s="69"/>
      <c r="Q61" s="165"/>
      <c r="AI61" s="69"/>
    </row>
    <row r="62" spans="5:52" x14ac:dyDescent="0.25">
      <c r="E62" s="165"/>
      <c r="F62" s="165"/>
      <c r="G62" s="69"/>
      <c r="H62" s="69"/>
      <c r="I62" s="69"/>
      <c r="J62" s="69"/>
      <c r="K62" s="69"/>
      <c r="L62" s="69"/>
      <c r="M62" s="69"/>
      <c r="N62" s="276">
        <v>35</v>
      </c>
      <c r="O62" s="280" t="s">
        <v>355</v>
      </c>
      <c r="P62" s="214">
        <v>43882</v>
      </c>
      <c r="Q62" t="s">
        <v>208</v>
      </c>
    </row>
    <row r="63" spans="5:52" x14ac:dyDescent="0.25">
      <c r="E63" s="165"/>
      <c r="F63" s="165"/>
      <c r="G63" s="69"/>
      <c r="H63" s="69"/>
      <c r="I63" s="69"/>
      <c r="J63" s="69"/>
      <c r="K63" s="69"/>
      <c r="L63" s="69"/>
      <c r="M63" s="69"/>
      <c r="N63" s="278">
        <v>35</v>
      </c>
      <c r="O63" s="280" t="s">
        <v>355</v>
      </c>
      <c r="P63" s="260">
        <v>43883</v>
      </c>
      <c r="Q63" t="s">
        <v>228</v>
      </c>
    </row>
    <row r="64" spans="5:52" x14ac:dyDescent="0.25">
      <c r="E64" s="165"/>
      <c r="F64" s="165"/>
      <c r="G64" s="69"/>
      <c r="H64" s="69"/>
      <c r="I64" s="69"/>
      <c r="J64" s="69"/>
      <c r="K64" s="69"/>
      <c r="L64" s="69"/>
      <c r="M64" s="69"/>
      <c r="N64" s="278">
        <v>35</v>
      </c>
      <c r="O64" s="280" t="s">
        <v>355</v>
      </c>
      <c r="P64" s="214">
        <v>43884</v>
      </c>
      <c r="Q64" t="s">
        <v>209</v>
      </c>
      <c r="AJ64" s="69"/>
      <c r="AK64" s="69"/>
      <c r="AL64" s="69"/>
      <c r="AM64" s="69"/>
      <c r="AN64" s="69"/>
    </row>
    <row r="65" spans="4:46" x14ac:dyDescent="0.25">
      <c r="E65" s="165"/>
      <c r="F65" s="165"/>
      <c r="G65" s="69"/>
      <c r="H65" s="69"/>
      <c r="I65" s="69"/>
      <c r="J65" s="69"/>
      <c r="K65" s="69"/>
      <c r="L65" s="69"/>
      <c r="M65" s="69"/>
      <c r="N65" s="278">
        <v>35</v>
      </c>
      <c r="O65" s="280" t="s">
        <v>355</v>
      </c>
      <c r="P65" s="259">
        <v>43884</v>
      </c>
      <c r="Q65" t="s">
        <v>404</v>
      </c>
      <c r="AJ65" s="69"/>
      <c r="AK65" s="69"/>
      <c r="AL65" s="69"/>
      <c r="AM65" s="69"/>
      <c r="AN65" s="69"/>
    </row>
    <row r="66" spans="4:46" x14ac:dyDescent="0.25">
      <c r="E66" s="165"/>
      <c r="F66" s="165"/>
      <c r="G66" s="69"/>
      <c r="H66" s="69"/>
      <c r="I66" s="69"/>
      <c r="J66" s="69"/>
      <c r="K66" s="69"/>
      <c r="L66" s="69"/>
      <c r="M66" s="69"/>
      <c r="N66" s="278">
        <v>35</v>
      </c>
      <c r="O66" s="280" t="s">
        <v>355</v>
      </c>
      <c r="P66" s="259">
        <v>43884</v>
      </c>
      <c r="Q66" t="s">
        <v>405</v>
      </c>
      <c r="AJ66" s="69"/>
      <c r="AK66" s="69"/>
      <c r="AL66" s="69"/>
      <c r="AM66" s="69"/>
      <c r="AN66" s="69"/>
    </row>
    <row r="67" spans="4:46" x14ac:dyDescent="0.25">
      <c r="D67" s="214"/>
      <c r="N67" s="278">
        <v>53</v>
      </c>
      <c r="O67" s="280" t="s">
        <v>355</v>
      </c>
      <c r="P67" s="259">
        <v>43885</v>
      </c>
      <c r="Q67" t="s">
        <v>196</v>
      </c>
    </row>
    <row r="68" spans="4:46" x14ac:dyDescent="0.25">
      <c r="N68" s="278">
        <v>57</v>
      </c>
      <c r="O68" s="280" t="s">
        <v>355</v>
      </c>
      <c r="P68" s="165">
        <v>43886</v>
      </c>
      <c r="Q68" t="s">
        <v>210</v>
      </c>
    </row>
    <row r="69" spans="4:46" x14ac:dyDescent="0.25">
      <c r="N69" s="278">
        <v>57</v>
      </c>
      <c r="O69" s="280" t="s">
        <v>355</v>
      </c>
      <c r="P69" s="259">
        <v>43886</v>
      </c>
      <c r="Q69" t="s">
        <v>211</v>
      </c>
      <c r="S69" s="69"/>
      <c r="T69" s="69"/>
      <c r="AO69" s="69"/>
      <c r="AP69" s="69"/>
    </row>
    <row r="70" spans="4:46" x14ac:dyDescent="0.25">
      <c r="N70" s="278">
        <v>57</v>
      </c>
      <c r="O70" s="280" t="s">
        <v>355</v>
      </c>
      <c r="P70" s="259">
        <v>43886</v>
      </c>
      <c r="Q70" t="s">
        <v>271</v>
      </c>
      <c r="AO70" s="69"/>
      <c r="AP70" s="69"/>
    </row>
    <row r="71" spans="4:46" x14ac:dyDescent="0.25">
      <c r="N71" s="278">
        <v>57</v>
      </c>
      <c r="O71" s="280" t="s">
        <v>355</v>
      </c>
      <c r="P71" s="165">
        <v>43886</v>
      </c>
      <c r="Q71" t="s">
        <v>212</v>
      </c>
      <c r="AO71" s="69"/>
      <c r="AP71" s="69"/>
    </row>
    <row r="72" spans="4:46" x14ac:dyDescent="0.25">
      <c r="N72" s="276">
        <v>60</v>
      </c>
      <c r="O72" s="280" t="s">
        <v>355</v>
      </c>
      <c r="P72" s="259">
        <v>43887</v>
      </c>
      <c r="Q72" t="s">
        <v>408</v>
      </c>
      <c r="AO72" s="69"/>
      <c r="AP72" s="69"/>
    </row>
    <row r="73" spans="4:46" x14ac:dyDescent="0.25">
      <c r="N73" s="278">
        <v>60</v>
      </c>
      <c r="O73" s="280" t="s">
        <v>355</v>
      </c>
      <c r="P73" s="259">
        <v>43887</v>
      </c>
      <c r="Q73" t="s">
        <v>409</v>
      </c>
      <c r="AO73" s="69"/>
      <c r="AP73" s="69"/>
    </row>
    <row r="74" spans="4:46" x14ac:dyDescent="0.25">
      <c r="N74" s="278">
        <v>60</v>
      </c>
      <c r="O74" s="280" t="s">
        <v>355</v>
      </c>
      <c r="P74" s="259">
        <v>43887</v>
      </c>
      <c r="Q74" t="s">
        <v>407</v>
      </c>
      <c r="AO74" s="69"/>
      <c r="AP74" s="69"/>
    </row>
    <row r="75" spans="4:46" x14ac:dyDescent="0.25">
      <c r="N75" s="278">
        <v>60</v>
      </c>
      <c r="O75" s="280" t="s">
        <v>355</v>
      </c>
      <c r="P75" s="259">
        <v>43888</v>
      </c>
      <c r="Q75" t="s">
        <v>267</v>
      </c>
      <c r="AO75" s="69"/>
      <c r="AP75" s="69"/>
    </row>
    <row r="76" spans="4:46" x14ac:dyDescent="0.25">
      <c r="N76" s="278">
        <v>60</v>
      </c>
      <c r="O76" s="280" t="s">
        <v>355</v>
      </c>
      <c r="P76" s="259">
        <v>43888</v>
      </c>
      <c r="Q76" t="s">
        <v>268</v>
      </c>
      <c r="AJ76" s="69"/>
      <c r="AK76" s="69"/>
      <c r="AL76" s="69"/>
      <c r="AM76" s="69"/>
      <c r="AN76" s="69"/>
    </row>
    <row r="77" spans="4:46" x14ac:dyDescent="0.25">
      <c r="N77" s="278">
        <v>63</v>
      </c>
      <c r="O77" s="280" t="s">
        <v>355</v>
      </c>
      <c r="P77" s="259">
        <v>43889</v>
      </c>
      <c r="Q77" t="s">
        <v>279</v>
      </c>
      <c r="AJ77" s="69"/>
      <c r="AK77" s="69"/>
      <c r="AL77" s="69"/>
      <c r="AM77" s="69"/>
      <c r="AN77" s="69"/>
    </row>
    <row r="78" spans="4:46" x14ac:dyDescent="0.25">
      <c r="N78" s="278">
        <v>63</v>
      </c>
      <c r="O78" s="280" t="s">
        <v>355</v>
      </c>
      <c r="P78" s="165">
        <v>43889</v>
      </c>
      <c r="Q78" t="s">
        <v>389</v>
      </c>
      <c r="AJ78" s="69"/>
      <c r="AK78" s="69"/>
      <c r="AL78" s="69"/>
      <c r="AM78" s="69"/>
      <c r="AN78" s="69"/>
    </row>
    <row r="79" spans="4:46" x14ac:dyDescent="0.25">
      <c r="O79" s="278">
        <v>68</v>
      </c>
      <c r="P79" s="279">
        <v>1</v>
      </c>
      <c r="Q79" s="158">
        <v>43890</v>
      </c>
      <c r="R79" s="159" t="s">
        <v>198</v>
      </c>
      <c r="S79" s="159"/>
      <c r="T79" s="159"/>
      <c r="U79" s="159"/>
      <c r="V79" s="158">
        <f>Q79+14</f>
        <v>43904</v>
      </c>
      <c r="AQ79" s="69"/>
      <c r="AR79" s="69"/>
      <c r="AS79" s="69"/>
      <c r="AT79" s="69"/>
    </row>
    <row r="80" spans="4:46" x14ac:dyDescent="0.25">
      <c r="O80" s="278">
        <v>68</v>
      </c>
      <c r="P80" s="280">
        <v>1</v>
      </c>
      <c r="Q80" s="259">
        <v>43890</v>
      </c>
      <c r="R80" s="69" t="s">
        <v>280</v>
      </c>
      <c r="S80" s="69"/>
      <c r="T80" s="165"/>
      <c r="AQ80" s="69"/>
      <c r="AR80" s="69"/>
      <c r="AS80" s="69"/>
      <c r="AT80" s="69"/>
    </row>
    <row r="81" spans="3:57" x14ac:dyDescent="0.25">
      <c r="E81" s="165"/>
      <c r="O81" s="278">
        <v>100</v>
      </c>
      <c r="P81" s="279">
        <v>6</v>
      </c>
      <c r="Q81" s="158">
        <v>43892</v>
      </c>
      <c r="R81" s="158" t="s">
        <v>175</v>
      </c>
      <c r="S81" s="158"/>
      <c r="T81" s="159"/>
      <c r="U81" s="159"/>
      <c r="V81" s="159"/>
      <c r="W81" s="158">
        <v>43906</v>
      </c>
      <c r="AO81" s="69"/>
      <c r="AP81" s="69"/>
      <c r="AQ81" s="69"/>
      <c r="AR81" s="69"/>
      <c r="AS81" s="69"/>
      <c r="AT81" s="69"/>
    </row>
    <row r="82" spans="3:57" x14ac:dyDescent="0.25">
      <c r="C82" s="69"/>
      <c r="D82" s="69"/>
      <c r="E82" s="165"/>
      <c r="F82" s="69"/>
      <c r="G82" s="69"/>
      <c r="H82" s="69"/>
      <c r="I82" s="69"/>
      <c r="J82" s="69"/>
      <c r="K82" s="69"/>
      <c r="L82" s="69"/>
      <c r="M82" s="69"/>
      <c r="N82" s="69"/>
      <c r="O82" s="278">
        <v>100</v>
      </c>
      <c r="P82" s="280">
        <v>6</v>
      </c>
      <c r="Q82" s="259">
        <v>43892</v>
      </c>
      <c r="R82" s="165" t="s">
        <v>281</v>
      </c>
      <c r="S82" s="165"/>
      <c r="T82" s="69"/>
      <c r="U82" s="165"/>
      <c r="V82" s="69"/>
      <c r="W82" s="69"/>
      <c r="Z82" s="69"/>
      <c r="AA82" s="69"/>
      <c r="AB82" s="69"/>
      <c r="AC82" s="69"/>
      <c r="AD82" s="69"/>
      <c r="AE82" s="69"/>
      <c r="AF82" s="69"/>
      <c r="AG82" s="69"/>
      <c r="AH82" s="69"/>
      <c r="AQ82" s="69"/>
      <c r="AR82" s="69"/>
      <c r="AS82" s="69"/>
      <c r="AT82" s="69"/>
    </row>
    <row r="83" spans="3:57" x14ac:dyDescent="0.25">
      <c r="C83" s="69"/>
      <c r="D83" s="69"/>
      <c r="E83" s="165"/>
      <c r="F83" s="69"/>
      <c r="G83" s="69"/>
      <c r="H83" s="69"/>
      <c r="I83" s="69"/>
      <c r="J83" s="69"/>
      <c r="K83" s="69"/>
      <c r="L83" s="69"/>
      <c r="M83" s="69"/>
      <c r="N83" s="69"/>
      <c r="O83" s="69"/>
      <c r="P83" s="276">
        <v>124</v>
      </c>
      <c r="Q83" s="280">
        <v>9</v>
      </c>
      <c r="R83" s="165">
        <v>43893</v>
      </c>
      <c r="S83" s="69" t="s">
        <v>222</v>
      </c>
      <c r="V83" s="69"/>
      <c r="W83" s="165"/>
      <c r="X83" s="69"/>
      <c r="Y83" s="69"/>
      <c r="Z83" s="69"/>
      <c r="AA83" s="69"/>
      <c r="AB83" s="69"/>
      <c r="AC83" s="69"/>
      <c r="AD83" s="69"/>
      <c r="AE83" s="69"/>
      <c r="AF83" s="69"/>
      <c r="AG83" s="69"/>
      <c r="AH83" s="69"/>
      <c r="AQ83" s="69"/>
      <c r="AR83" s="69"/>
      <c r="AS83" s="69"/>
      <c r="AT83" s="69"/>
    </row>
    <row r="84" spans="3:57" x14ac:dyDescent="0.25">
      <c r="E84" s="165"/>
      <c r="P84" s="278">
        <v>158</v>
      </c>
      <c r="Q84" s="280">
        <v>11</v>
      </c>
      <c r="R84" s="259">
        <v>43894</v>
      </c>
      <c r="S84" t="s">
        <v>199</v>
      </c>
      <c r="AQ84" s="69"/>
      <c r="AR84" s="69"/>
      <c r="AS84" s="69"/>
      <c r="AT84" s="69"/>
    </row>
    <row r="85" spans="3:57" x14ac:dyDescent="0.25">
      <c r="E85" s="165"/>
      <c r="P85" s="278">
        <v>158</v>
      </c>
      <c r="Q85" s="280">
        <v>11</v>
      </c>
      <c r="R85" s="259">
        <v>43894</v>
      </c>
      <c r="S85" t="s">
        <v>325</v>
      </c>
      <c r="AQ85" s="69"/>
      <c r="AR85" s="69"/>
      <c r="AS85" s="69"/>
      <c r="AT85" s="69"/>
    </row>
    <row r="86" spans="3:57" x14ac:dyDescent="0.25">
      <c r="E86" s="165"/>
      <c r="Q86" s="276">
        <v>221</v>
      </c>
      <c r="R86" s="280">
        <v>12</v>
      </c>
      <c r="S86" s="259">
        <v>43895</v>
      </c>
      <c r="T86" s="69" t="s">
        <v>326</v>
      </c>
      <c r="W86" s="165"/>
      <c r="AQ86" s="69"/>
      <c r="AR86" s="69"/>
      <c r="AS86" s="69"/>
      <c r="AT86" s="69"/>
    </row>
    <row r="87" spans="3:57" x14ac:dyDescent="0.25">
      <c r="E87" s="165"/>
      <c r="Q87" s="278">
        <v>221</v>
      </c>
      <c r="R87" s="280">
        <v>12</v>
      </c>
      <c r="S87" s="259">
        <v>43895</v>
      </c>
      <c r="T87" s="69" t="s">
        <v>276</v>
      </c>
      <c r="W87" s="165"/>
      <c r="AQ87" s="69"/>
      <c r="AR87" s="69"/>
      <c r="AS87" s="69"/>
      <c r="AT87" s="69"/>
    </row>
    <row r="88" spans="3:57" x14ac:dyDescent="0.25">
      <c r="E88" s="165"/>
      <c r="Q88" s="278">
        <v>319</v>
      </c>
      <c r="R88" s="279">
        <v>15</v>
      </c>
      <c r="S88" s="259">
        <v>43896</v>
      </c>
      <c r="T88" s="69" t="s">
        <v>235</v>
      </c>
      <c r="W88" s="165"/>
      <c r="AI88" s="69"/>
      <c r="AQ88" s="69"/>
      <c r="AR88" s="69"/>
      <c r="AS88" s="69"/>
      <c r="AT88" s="69"/>
      <c r="AU88" s="69"/>
      <c r="AV88" s="69"/>
      <c r="AW88" s="69"/>
      <c r="AX88" s="69"/>
      <c r="AY88" s="69"/>
      <c r="AZ88" s="69"/>
    </row>
    <row r="89" spans="3:57" x14ac:dyDescent="0.25">
      <c r="C89" s="69"/>
      <c r="D89" s="69"/>
      <c r="E89" s="165"/>
      <c r="F89" s="69"/>
      <c r="G89" s="69"/>
      <c r="H89" s="69"/>
      <c r="I89" s="69"/>
      <c r="J89" s="69"/>
      <c r="K89" s="69"/>
      <c r="L89" s="69"/>
      <c r="M89" s="69"/>
      <c r="N89" s="69"/>
      <c r="O89" s="69"/>
      <c r="P89" s="69"/>
      <c r="Q89" s="278">
        <v>319</v>
      </c>
      <c r="R89" s="280">
        <v>15</v>
      </c>
      <c r="S89" s="165">
        <v>43896</v>
      </c>
      <c r="T89" s="69" t="s">
        <v>246</v>
      </c>
      <c r="W89" s="165"/>
      <c r="X89" s="69"/>
      <c r="Y89" s="69"/>
      <c r="Z89" s="69"/>
      <c r="AA89" s="69"/>
      <c r="AB89" s="69"/>
      <c r="AC89" s="69"/>
      <c r="AD89" s="69"/>
      <c r="AE89" s="69"/>
      <c r="AF89" s="69"/>
      <c r="AG89" s="69"/>
      <c r="AH89" s="69"/>
      <c r="AI89" s="69"/>
      <c r="AO89" s="69"/>
      <c r="AP89" s="69"/>
      <c r="AU89" s="69"/>
      <c r="AV89" s="69"/>
      <c r="AW89" s="69"/>
      <c r="AX89" s="69"/>
      <c r="AY89" s="69"/>
      <c r="AZ89" s="69"/>
    </row>
    <row r="90" spans="3:57" x14ac:dyDescent="0.25">
      <c r="C90" s="69"/>
      <c r="D90" s="69"/>
      <c r="E90" s="165"/>
      <c r="F90" s="69"/>
      <c r="G90" s="69"/>
      <c r="H90" s="69"/>
      <c r="I90" s="69"/>
      <c r="J90" s="69"/>
      <c r="K90" s="69"/>
      <c r="L90" s="69"/>
      <c r="M90" s="69"/>
      <c r="N90" s="69"/>
      <c r="O90" s="69"/>
      <c r="P90" s="69"/>
      <c r="Q90" s="278">
        <v>319</v>
      </c>
      <c r="R90" s="280">
        <v>15</v>
      </c>
      <c r="S90" s="259">
        <v>43896</v>
      </c>
      <c r="T90" s="69" t="s">
        <v>283</v>
      </c>
      <c r="W90" s="165"/>
      <c r="X90" s="69"/>
      <c r="Y90" s="69"/>
      <c r="Z90" s="69"/>
      <c r="AA90" s="69"/>
      <c r="AB90" s="69"/>
      <c r="AC90" s="69"/>
      <c r="AD90" s="69"/>
      <c r="AE90" s="69"/>
      <c r="AF90" s="69"/>
      <c r="AG90" s="69"/>
      <c r="AH90" s="69"/>
      <c r="AO90" s="69"/>
      <c r="AP90" s="69"/>
      <c r="AU90" s="69"/>
      <c r="AV90" s="69"/>
      <c r="AW90" s="69"/>
      <c r="AX90" s="69"/>
      <c r="AY90" s="69"/>
      <c r="AZ90" s="69"/>
    </row>
    <row r="91" spans="3:57" x14ac:dyDescent="0.25">
      <c r="C91" s="69"/>
      <c r="D91" s="69"/>
      <c r="E91" s="165"/>
      <c r="F91" s="69"/>
      <c r="G91" s="69"/>
      <c r="H91" s="69"/>
      <c r="I91" s="69"/>
      <c r="J91" s="69"/>
      <c r="K91" s="69"/>
      <c r="L91" s="69"/>
      <c r="M91" s="69"/>
      <c r="N91" s="69"/>
      <c r="O91" s="69"/>
      <c r="P91" s="69"/>
      <c r="Q91" s="278">
        <v>319</v>
      </c>
      <c r="R91" s="280">
        <v>15</v>
      </c>
      <c r="S91" s="259">
        <v>43896</v>
      </c>
      <c r="T91" s="69" t="s">
        <v>284</v>
      </c>
      <c r="W91" s="165"/>
      <c r="X91" s="69"/>
      <c r="Y91" s="69"/>
      <c r="Z91" s="69"/>
      <c r="AA91" s="69"/>
      <c r="AB91" s="69"/>
      <c r="AC91" s="69"/>
      <c r="AD91" s="69"/>
      <c r="AE91" s="69"/>
      <c r="AF91" s="69"/>
      <c r="AG91" s="69"/>
      <c r="AH91" s="69"/>
      <c r="AU91" s="69"/>
      <c r="AV91" s="69"/>
      <c r="AW91" s="69"/>
      <c r="AX91" s="69"/>
      <c r="AY91" s="69"/>
      <c r="AZ91" s="69"/>
    </row>
    <row r="92" spans="3:57" x14ac:dyDescent="0.25">
      <c r="C92" s="69"/>
      <c r="D92" s="69"/>
      <c r="E92" s="165"/>
      <c r="F92" s="69"/>
      <c r="G92" s="69"/>
      <c r="H92" s="69"/>
      <c r="I92" s="69"/>
      <c r="J92" s="69"/>
      <c r="K92" s="69"/>
      <c r="L92" s="69"/>
      <c r="M92" s="69"/>
      <c r="N92" s="69"/>
      <c r="O92" s="69"/>
      <c r="P92" s="69"/>
      <c r="Q92" s="276">
        <v>435</v>
      </c>
      <c r="R92" s="280">
        <v>19</v>
      </c>
      <c r="S92" s="259">
        <v>43897</v>
      </c>
      <c r="T92" s="69" t="s">
        <v>270</v>
      </c>
      <c r="W92" s="165"/>
      <c r="X92" s="69"/>
      <c r="Y92" s="69"/>
      <c r="Z92" s="69"/>
      <c r="AA92" s="69"/>
      <c r="AB92" s="69"/>
      <c r="AC92" s="69"/>
      <c r="AD92" s="69"/>
      <c r="AE92" s="69"/>
      <c r="AF92" s="69"/>
      <c r="AG92" s="69"/>
      <c r="AH92" s="69"/>
      <c r="AU92" s="69"/>
      <c r="AV92" s="69"/>
      <c r="AW92" s="69"/>
      <c r="AX92" s="69"/>
      <c r="AY92" s="69"/>
      <c r="AZ92" s="69"/>
    </row>
    <row r="93" spans="3:57" x14ac:dyDescent="0.25">
      <c r="C93" s="69"/>
      <c r="D93" s="69"/>
      <c r="E93" s="165"/>
      <c r="F93" s="69"/>
      <c r="G93" s="69"/>
      <c r="H93" s="69"/>
      <c r="I93" s="69"/>
      <c r="J93" s="69"/>
      <c r="K93" s="69"/>
      <c r="L93" s="69"/>
      <c r="M93" s="69"/>
      <c r="N93" s="69"/>
      <c r="O93" s="69"/>
      <c r="P93" s="69"/>
      <c r="Q93" s="69"/>
      <c r="R93" s="278">
        <v>541</v>
      </c>
      <c r="S93" s="280">
        <v>22</v>
      </c>
      <c r="T93" s="259">
        <v>43898</v>
      </c>
      <c r="U93" s="165" t="s">
        <v>285</v>
      </c>
      <c r="V93" s="69"/>
      <c r="W93" s="69"/>
      <c r="X93" s="69"/>
      <c r="Y93" s="69"/>
      <c r="Z93" s="69"/>
      <c r="AA93" s="69"/>
      <c r="AB93" s="69"/>
      <c r="AC93" s="69"/>
      <c r="AD93" s="69"/>
      <c r="AE93" s="69"/>
      <c r="AF93" s="69"/>
      <c r="AG93" s="69"/>
      <c r="AH93" s="69"/>
      <c r="AU93" s="69"/>
      <c r="AV93" s="69"/>
      <c r="AW93" s="69"/>
      <c r="AX93" s="69"/>
      <c r="AY93" s="69"/>
      <c r="AZ93" s="69"/>
      <c r="BA93" s="69"/>
      <c r="BB93" s="69"/>
      <c r="BC93" s="69"/>
      <c r="BD93" s="69"/>
      <c r="BE93" s="69"/>
    </row>
    <row r="94" spans="3:57" x14ac:dyDescent="0.25">
      <c r="E94" s="165"/>
      <c r="R94" s="278">
        <v>704</v>
      </c>
      <c r="S94" s="280">
        <v>26</v>
      </c>
      <c r="T94" s="259">
        <v>43899</v>
      </c>
      <c r="U94" s="165" t="s">
        <v>351</v>
      </c>
      <c r="AU94" s="69"/>
      <c r="AV94" s="69"/>
      <c r="AW94" s="69"/>
      <c r="AX94" s="69"/>
      <c r="AY94" s="69"/>
      <c r="AZ94" s="69"/>
    </row>
    <row r="95" spans="3:57" x14ac:dyDescent="0.25">
      <c r="E95" s="165"/>
      <c r="R95" s="278">
        <v>704</v>
      </c>
      <c r="S95" s="280">
        <v>26</v>
      </c>
      <c r="T95" s="259">
        <v>43899</v>
      </c>
      <c r="U95" s="165" t="s">
        <v>327</v>
      </c>
      <c r="AI95" s="69"/>
      <c r="AU95" s="69"/>
      <c r="AV95" s="69"/>
      <c r="AW95" s="69"/>
      <c r="AX95" s="69"/>
      <c r="AY95" s="69"/>
      <c r="AZ95" s="69"/>
    </row>
    <row r="96" spans="3:57" x14ac:dyDescent="0.25">
      <c r="E96" s="165"/>
      <c r="R96" s="278">
        <v>704</v>
      </c>
      <c r="S96" s="280">
        <v>26</v>
      </c>
      <c r="T96" s="259">
        <v>43899</v>
      </c>
      <c r="U96" s="165" t="s">
        <v>213</v>
      </c>
      <c r="AI96" s="69"/>
      <c r="AU96" s="69"/>
      <c r="AV96" s="69"/>
      <c r="AW96" s="69"/>
      <c r="AX96" s="69"/>
      <c r="AY96" s="69"/>
      <c r="AZ96" s="69"/>
    </row>
    <row r="97" spans="3:63" x14ac:dyDescent="0.25">
      <c r="E97" s="165"/>
      <c r="R97" s="276">
        <v>994</v>
      </c>
      <c r="S97" s="279">
        <v>30</v>
      </c>
      <c r="T97" s="259">
        <v>43900</v>
      </c>
      <c r="U97" s="165" t="s">
        <v>286</v>
      </c>
      <c r="AI97" s="69"/>
      <c r="AU97" s="69"/>
      <c r="AV97" s="69"/>
      <c r="AW97" s="69"/>
      <c r="AX97" s="69"/>
      <c r="AY97" s="69"/>
      <c r="AZ97" s="69"/>
    </row>
    <row r="98" spans="3:63" x14ac:dyDescent="0.25">
      <c r="E98" s="165"/>
      <c r="R98" s="278">
        <v>994</v>
      </c>
      <c r="S98" s="280">
        <v>30</v>
      </c>
      <c r="T98" s="259">
        <v>43900</v>
      </c>
      <c r="U98" s="165" t="s">
        <v>214</v>
      </c>
      <c r="AI98" s="69"/>
    </row>
    <row r="99" spans="3:63" x14ac:dyDescent="0.25">
      <c r="E99" s="165"/>
      <c r="R99" s="165"/>
      <c r="S99" s="278">
        <v>1301</v>
      </c>
      <c r="T99" s="280">
        <v>38</v>
      </c>
      <c r="U99" s="260">
        <v>43901</v>
      </c>
      <c r="V99" s="69" t="s">
        <v>201</v>
      </c>
      <c r="AI99" s="69"/>
    </row>
    <row r="100" spans="3:63" x14ac:dyDescent="0.25">
      <c r="E100" s="165"/>
      <c r="R100" s="165"/>
      <c r="S100" s="278">
        <v>1301</v>
      </c>
      <c r="T100" s="280">
        <v>38</v>
      </c>
      <c r="U100" s="259">
        <v>43901</v>
      </c>
      <c r="V100" s="69" t="s">
        <v>245</v>
      </c>
      <c r="AJ100" s="69"/>
      <c r="AK100" s="69"/>
      <c r="AL100" s="69"/>
      <c r="AM100" s="69"/>
      <c r="AN100" s="69"/>
      <c r="AQ100" s="69"/>
      <c r="AR100" s="69"/>
      <c r="AS100" s="69"/>
      <c r="AT100" s="69"/>
    </row>
    <row r="101" spans="3:63" x14ac:dyDescent="0.25">
      <c r="E101" s="165"/>
      <c r="S101" s="278">
        <v>1301</v>
      </c>
      <c r="T101" s="280">
        <v>38</v>
      </c>
      <c r="U101" s="259">
        <v>43901</v>
      </c>
      <c r="V101" t="s">
        <v>219</v>
      </c>
      <c r="AJ101" s="69"/>
      <c r="AK101" s="69"/>
      <c r="AL101" s="69"/>
      <c r="AM101" s="69"/>
      <c r="AN101" s="69"/>
    </row>
    <row r="102" spans="3:63" x14ac:dyDescent="0.25">
      <c r="C102" s="69"/>
      <c r="D102" s="69"/>
      <c r="E102" s="165"/>
      <c r="F102" s="69"/>
      <c r="G102" s="69"/>
      <c r="H102" s="69"/>
      <c r="I102" s="69"/>
      <c r="J102" s="69"/>
      <c r="K102" s="69"/>
      <c r="L102" s="69"/>
      <c r="M102" s="69"/>
      <c r="N102" s="69"/>
      <c r="O102" s="69"/>
      <c r="P102" s="69"/>
      <c r="Q102" s="69"/>
      <c r="R102" s="165"/>
      <c r="S102" s="278">
        <v>1630</v>
      </c>
      <c r="T102" s="280">
        <v>41</v>
      </c>
      <c r="U102" s="165">
        <v>43902</v>
      </c>
      <c r="V102" s="69" t="s">
        <v>238</v>
      </c>
      <c r="W102" s="69"/>
      <c r="X102" s="69"/>
      <c r="Y102" s="69"/>
      <c r="Z102" s="69"/>
      <c r="AA102" s="69"/>
      <c r="AB102" s="69"/>
      <c r="AC102" s="69"/>
      <c r="AD102" s="69"/>
      <c r="AE102" s="69"/>
      <c r="AH102" s="69"/>
    </row>
    <row r="103" spans="3:63" x14ac:dyDescent="0.25">
      <c r="E103" s="165"/>
      <c r="S103" s="278">
        <v>1630</v>
      </c>
      <c r="T103" s="280">
        <v>41</v>
      </c>
      <c r="U103" s="259">
        <v>43902</v>
      </c>
      <c r="V103" t="s">
        <v>215</v>
      </c>
    </row>
    <row r="104" spans="3:63" x14ac:dyDescent="0.25">
      <c r="E104" s="165"/>
      <c r="S104" s="277">
        <v>2183</v>
      </c>
      <c r="T104" s="280">
        <v>48</v>
      </c>
      <c r="U104" s="158">
        <v>43903</v>
      </c>
      <c r="V104" s="159" t="s">
        <v>176</v>
      </c>
      <c r="W104" s="159"/>
      <c r="X104" s="159"/>
      <c r="Y104" s="159"/>
      <c r="Z104" s="159"/>
      <c r="AA104" s="159"/>
      <c r="AB104" s="159"/>
      <c r="AC104" s="159"/>
      <c r="AD104" s="159"/>
      <c r="AE104" s="159"/>
      <c r="AF104" s="159"/>
      <c r="AG104" s="159"/>
      <c r="AH104" s="159"/>
    </row>
    <row r="105" spans="3:63" x14ac:dyDescent="0.25">
      <c r="E105" s="165"/>
      <c r="S105" s="278">
        <v>2183</v>
      </c>
      <c r="T105" s="280">
        <v>48</v>
      </c>
      <c r="U105" s="259">
        <v>43903</v>
      </c>
      <c r="V105" t="s">
        <v>216</v>
      </c>
    </row>
    <row r="106" spans="3:63" x14ac:dyDescent="0.25">
      <c r="E106" s="165"/>
      <c r="S106" s="278">
        <v>2183</v>
      </c>
      <c r="T106" s="280">
        <v>48</v>
      </c>
      <c r="U106" s="259">
        <v>43903</v>
      </c>
      <c r="V106" t="s">
        <v>217</v>
      </c>
    </row>
    <row r="107" spans="3:63" x14ac:dyDescent="0.25">
      <c r="C107" s="69"/>
      <c r="D107" s="69"/>
      <c r="E107" s="165"/>
      <c r="F107" s="69"/>
      <c r="G107" s="69"/>
      <c r="H107" s="69"/>
      <c r="I107" s="69"/>
      <c r="J107" s="69"/>
      <c r="K107" s="69"/>
      <c r="L107" s="69"/>
      <c r="M107" s="69"/>
      <c r="N107" s="69"/>
      <c r="O107" s="69"/>
      <c r="P107" s="69"/>
      <c r="Q107" s="69"/>
      <c r="R107" s="69"/>
      <c r="S107" s="278">
        <v>2183</v>
      </c>
      <c r="T107" s="280">
        <v>48</v>
      </c>
      <c r="U107" s="165">
        <v>43903</v>
      </c>
      <c r="V107" s="69" t="s">
        <v>253</v>
      </c>
      <c r="W107" s="69"/>
      <c r="X107" s="69"/>
      <c r="Y107" s="69"/>
      <c r="Z107" s="69"/>
      <c r="AA107" s="69"/>
      <c r="AB107" s="69"/>
      <c r="AC107" s="69"/>
      <c r="AD107" s="69"/>
      <c r="AE107" s="69"/>
      <c r="AH107" s="69"/>
      <c r="AJ107" s="69"/>
      <c r="AK107" s="69"/>
      <c r="AL107" s="69"/>
      <c r="AM107" s="69"/>
      <c r="AN107" s="69"/>
    </row>
    <row r="108" spans="3:63" x14ac:dyDescent="0.25">
      <c r="D108" s="165"/>
      <c r="Q108" s="69"/>
      <c r="R108" s="165"/>
      <c r="S108" s="69"/>
      <c r="T108" s="278">
        <v>2771</v>
      </c>
      <c r="U108" s="279">
        <v>58</v>
      </c>
      <c r="V108" s="158">
        <v>43904</v>
      </c>
      <c r="W108" s="159" t="s">
        <v>171</v>
      </c>
      <c r="X108" s="159"/>
      <c r="Y108" s="158"/>
      <c r="Z108" s="158"/>
      <c r="AA108" s="159"/>
      <c r="AB108" s="158">
        <v>43918</v>
      </c>
      <c r="AI108" s="69"/>
      <c r="AJ108" s="69"/>
      <c r="AK108" s="69"/>
      <c r="AL108" s="69"/>
      <c r="AM108" s="69"/>
      <c r="AN108" s="69"/>
    </row>
    <row r="109" spans="3:63" x14ac:dyDescent="0.25">
      <c r="D109" s="69"/>
      <c r="E109" s="69"/>
      <c r="F109" s="165"/>
      <c r="G109" s="165"/>
      <c r="H109" s="165"/>
      <c r="I109" s="165"/>
      <c r="J109" s="165"/>
      <c r="K109" s="165"/>
      <c r="L109" s="165"/>
      <c r="M109" s="165"/>
      <c r="N109" s="165"/>
      <c r="O109" s="165"/>
      <c r="P109" s="69"/>
      <c r="Q109" s="69"/>
      <c r="U109" s="277">
        <v>4604</v>
      </c>
      <c r="V109" s="280">
        <v>95</v>
      </c>
      <c r="W109" s="158">
        <v>43906</v>
      </c>
      <c r="X109" s="159" t="s">
        <v>360</v>
      </c>
      <c r="Y109" s="159"/>
      <c r="Z109" s="159"/>
      <c r="AA109" s="159"/>
      <c r="AB109" s="159"/>
      <c r="AC109" s="159"/>
      <c r="AD109" s="159"/>
      <c r="AE109" s="159"/>
      <c r="AF109" s="159"/>
      <c r="AG109" s="159"/>
      <c r="AH109" s="159"/>
      <c r="AJ109" s="69"/>
      <c r="AK109" s="69"/>
      <c r="AL109" s="69"/>
      <c r="AM109" s="69"/>
      <c r="AN109" s="69"/>
      <c r="AU109" s="69"/>
      <c r="AV109" s="69"/>
      <c r="AW109" s="69"/>
      <c r="AX109" s="69"/>
      <c r="AY109" s="69"/>
      <c r="AZ109" s="69"/>
      <c r="BF109" s="69"/>
      <c r="BG109" s="69"/>
      <c r="BH109" s="69"/>
      <c r="BI109" s="69"/>
      <c r="BJ109" s="69"/>
      <c r="BK109" s="69"/>
    </row>
    <row r="110" spans="3:63" x14ac:dyDescent="0.25">
      <c r="D110" s="69"/>
      <c r="E110" s="69"/>
      <c r="F110" s="165"/>
      <c r="G110" s="165"/>
      <c r="H110" s="165"/>
      <c r="I110" s="165"/>
      <c r="J110" s="165"/>
      <c r="K110" s="165"/>
      <c r="L110" s="165"/>
      <c r="M110" s="165"/>
      <c r="N110" s="165"/>
      <c r="O110" s="165"/>
      <c r="P110" s="69"/>
      <c r="Q110" s="69"/>
      <c r="U110" s="278">
        <v>4604</v>
      </c>
      <c r="V110" s="280">
        <v>95</v>
      </c>
      <c r="W110" s="214">
        <v>43906</v>
      </c>
      <c r="X110" s="165" t="s">
        <v>508</v>
      </c>
      <c r="Y110" s="69"/>
      <c r="Z110" s="69"/>
      <c r="AA110" s="69"/>
      <c r="AB110" s="69"/>
      <c r="AC110" s="69"/>
      <c r="AD110" s="69"/>
      <c r="AE110" s="69"/>
      <c r="AF110" s="69"/>
      <c r="AG110" s="69"/>
      <c r="AH110" s="69"/>
      <c r="AJ110" s="69"/>
      <c r="AK110" s="69"/>
      <c r="AL110" s="69"/>
      <c r="AM110" s="69"/>
      <c r="AN110" s="69"/>
    </row>
    <row r="111" spans="3:63" x14ac:dyDescent="0.25">
      <c r="D111" s="69"/>
      <c r="E111" s="69"/>
      <c r="F111" s="69"/>
      <c r="G111" s="69"/>
      <c r="H111" s="69"/>
      <c r="I111" s="69"/>
      <c r="J111" s="69"/>
      <c r="K111" s="69"/>
      <c r="L111" s="69"/>
      <c r="M111" s="69"/>
      <c r="N111" s="69"/>
      <c r="O111" s="69"/>
      <c r="P111" s="165"/>
      <c r="Q111" s="69"/>
      <c r="R111" s="69"/>
      <c r="S111" s="69"/>
      <c r="T111" s="165"/>
      <c r="U111" s="278">
        <v>6357</v>
      </c>
      <c r="V111" s="279">
        <v>121</v>
      </c>
      <c r="W111" s="259">
        <v>43907</v>
      </c>
      <c r="X111" t="s">
        <v>200</v>
      </c>
      <c r="AJ111" s="69"/>
      <c r="AK111" s="69"/>
      <c r="AL111" s="69"/>
      <c r="AM111" s="69"/>
      <c r="AN111" s="69"/>
    </row>
    <row r="112" spans="3:63" x14ac:dyDescent="0.25">
      <c r="V112" s="277">
        <v>9317</v>
      </c>
      <c r="W112" s="280">
        <v>171</v>
      </c>
      <c r="X112" s="158">
        <v>43908</v>
      </c>
      <c r="Y112" s="159" t="s">
        <v>172</v>
      </c>
      <c r="Z112" s="158">
        <v>43922</v>
      </c>
      <c r="AJ112" s="69"/>
      <c r="AK112" s="69"/>
      <c r="AL112" s="69"/>
      <c r="AM112" s="69"/>
      <c r="AN112" s="69"/>
      <c r="BA112" s="69"/>
      <c r="BB112" s="69"/>
      <c r="BC112" s="69"/>
      <c r="BD112" s="69"/>
      <c r="BE112" s="69"/>
    </row>
    <row r="113" spans="3:58" x14ac:dyDescent="0.25">
      <c r="V113" s="278">
        <v>9317</v>
      </c>
      <c r="W113" s="280">
        <v>171</v>
      </c>
      <c r="X113" s="259">
        <v>43908</v>
      </c>
      <c r="Y113" s="69" t="s">
        <v>239</v>
      </c>
      <c r="Z113" s="165"/>
      <c r="AO113" s="69"/>
      <c r="AP113" s="69"/>
      <c r="AQ113" s="69"/>
      <c r="AR113" s="69"/>
      <c r="AS113" s="69"/>
      <c r="AT113" s="69"/>
      <c r="BA113" s="69"/>
      <c r="BB113" s="69"/>
      <c r="BC113" s="69"/>
      <c r="BD113" s="69"/>
      <c r="BE113" s="69"/>
    </row>
    <row r="114" spans="3:58" x14ac:dyDescent="0.25">
      <c r="V114" s="278">
        <v>9317</v>
      </c>
      <c r="W114" s="280">
        <v>171</v>
      </c>
      <c r="X114" s="259">
        <v>43908</v>
      </c>
      <c r="Y114" s="69" t="s">
        <v>399</v>
      </c>
      <c r="Z114" s="165"/>
      <c r="AO114" s="69"/>
      <c r="AP114" s="69"/>
      <c r="AQ114" s="69"/>
      <c r="AR114" s="69"/>
      <c r="AS114" s="69"/>
      <c r="AT114" s="69"/>
      <c r="BA114" s="69"/>
      <c r="BB114" s="69"/>
      <c r="BC114" s="69"/>
      <c r="BD114" s="69"/>
      <c r="BE114" s="69"/>
    </row>
    <row r="115" spans="3:58" x14ac:dyDescent="0.25">
      <c r="V115" s="278">
        <v>13898</v>
      </c>
      <c r="W115" s="279">
        <v>239</v>
      </c>
      <c r="X115" s="259">
        <v>43909</v>
      </c>
      <c r="Y115" s="69" t="s">
        <v>287</v>
      </c>
      <c r="Z115" s="165"/>
      <c r="AA115" s="69"/>
      <c r="AD115" s="69"/>
      <c r="AE115" s="69"/>
      <c r="AF115" s="69"/>
      <c r="AI115" s="69"/>
      <c r="AO115" s="69"/>
      <c r="AP115" s="69"/>
      <c r="BA115" s="69"/>
      <c r="BB115" s="69"/>
      <c r="BC115" s="69"/>
      <c r="BD115" s="69"/>
      <c r="BE115" s="69"/>
    </row>
    <row r="116" spans="3:58" x14ac:dyDescent="0.25">
      <c r="W116" s="277">
        <v>19551</v>
      </c>
      <c r="X116" s="280">
        <v>309</v>
      </c>
      <c r="Y116" s="158">
        <v>43910</v>
      </c>
      <c r="Z116" s="159" t="s">
        <v>173</v>
      </c>
      <c r="AA116" s="159"/>
      <c r="AB116" s="159"/>
      <c r="AC116" s="158">
        <v>43924</v>
      </c>
      <c r="BA116" s="69"/>
      <c r="BB116" s="69"/>
      <c r="BC116" s="69"/>
      <c r="BD116" s="69"/>
      <c r="BE116" s="69"/>
    </row>
    <row r="117" spans="3:58" x14ac:dyDescent="0.25">
      <c r="W117" s="69"/>
      <c r="X117" s="278">
        <v>33840</v>
      </c>
      <c r="Y117" s="279">
        <v>509</v>
      </c>
      <c r="Z117" s="259">
        <v>43912</v>
      </c>
      <c r="AA117" s="69" t="s">
        <v>398</v>
      </c>
      <c r="AB117" s="69"/>
      <c r="AC117" s="165"/>
      <c r="BA117" s="69"/>
      <c r="BB117" s="69"/>
      <c r="BC117" s="69"/>
      <c r="BD117" s="69"/>
      <c r="BE117" s="69"/>
    </row>
    <row r="118" spans="3:58" x14ac:dyDescent="0.25">
      <c r="X118" s="278">
        <v>44189</v>
      </c>
      <c r="Y118" s="280">
        <v>689</v>
      </c>
      <c r="Z118" s="259">
        <v>43913</v>
      </c>
      <c r="AA118" s="69" t="s">
        <v>323</v>
      </c>
      <c r="AB118" s="69"/>
      <c r="AC118" s="165"/>
      <c r="BA118" s="69"/>
      <c r="BB118" s="69"/>
      <c r="BC118" s="69"/>
      <c r="BD118" s="69"/>
      <c r="BE118" s="69"/>
    </row>
    <row r="119" spans="3:58" x14ac:dyDescent="0.25">
      <c r="X119" s="277">
        <v>55398</v>
      </c>
      <c r="Y119" s="279">
        <v>957</v>
      </c>
      <c r="Z119" s="158">
        <v>43914</v>
      </c>
      <c r="AA119" s="159" t="s">
        <v>174</v>
      </c>
      <c r="AB119" s="159"/>
      <c r="AC119" s="158">
        <v>43928</v>
      </c>
      <c r="AE119" s="69"/>
      <c r="AF119" s="69"/>
      <c r="BA119" s="69"/>
      <c r="BB119" s="69"/>
      <c r="BC119" s="69"/>
      <c r="BD119" s="69"/>
      <c r="BE119" s="69"/>
    </row>
    <row r="120" spans="3:58" x14ac:dyDescent="0.25">
      <c r="X120" s="278">
        <v>55398</v>
      </c>
      <c r="Y120" s="280">
        <v>957</v>
      </c>
      <c r="Z120" s="259">
        <v>43914</v>
      </c>
      <c r="AA120" t="s">
        <v>236</v>
      </c>
      <c r="AE120" s="69"/>
      <c r="AF120" s="69"/>
      <c r="BA120" s="69"/>
      <c r="BB120" s="69"/>
      <c r="BC120" s="69"/>
      <c r="BD120" s="69"/>
      <c r="BE120" s="69"/>
    </row>
    <row r="121" spans="3:58" x14ac:dyDescent="0.25">
      <c r="C121" s="69"/>
      <c r="D121" s="69"/>
      <c r="E121" s="69"/>
      <c r="F121" s="69"/>
      <c r="G121" s="69"/>
      <c r="H121" s="69"/>
      <c r="I121" s="69"/>
      <c r="J121" s="69"/>
      <c r="K121" s="69"/>
      <c r="L121" s="69"/>
      <c r="M121" s="69"/>
      <c r="N121" s="69"/>
      <c r="O121" s="69"/>
      <c r="P121" s="69"/>
      <c r="Q121" s="69"/>
      <c r="R121" s="69"/>
      <c r="S121" s="69"/>
      <c r="T121" s="69"/>
      <c r="U121" s="69"/>
      <c r="V121" s="69"/>
      <c r="W121" s="69"/>
      <c r="X121" s="278">
        <v>55398</v>
      </c>
      <c r="Y121" s="280">
        <v>957</v>
      </c>
      <c r="Z121" s="165">
        <v>43914</v>
      </c>
      <c r="AA121" s="69" t="s">
        <v>295</v>
      </c>
      <c r="AB121" s="69"/>
      <c r="AC121" s="69"/>
      <c r="AD121" s="69"/>
      <c r="AE121" s="69"/>
      <c r="AF121" s="69"/>
      <c r="AG121" s="69"/>
      <c r="AH121" s="69"/>
      <c r="BA121" s="69"/>
      <c r="BB121" s="69"/>
      <c r="BC121" s="69"/>
      <c r="BD121" s="69"/>
      <c r="BE121" s="69"/>
    </row>
    <row r="122" spans="3:58" x14ac:dyDescent="0.25">
      <c r="C122" s="69"/>
      <c r="D122" s="69"/>
      <c r="E122" s="69"/>
      <c r="F122" s="69"/>
      <c r="G122" s="69"/>
      <c r="H122" s="69"/>
      <c r="I122" s="69"/>
      <c r="J122" s="69"/>
      <c r="K122" s="69"/>
      <c r="L122" s="69"/>
      <c r="M122" s="69"/>
      <c r="N122" s="69"/>
      <c r="O122" s="69"/>
      <c r="P122" s="69"/>
      <c r="Q122" s="69"/>
      <c r="R122" s="69"/>
      <c r="S122" s="69"/>
      <c r="T122" s="69"/>
      <c r="U122" s="69"/>
      <c r="V122" s="69"/>
      <c r="W122" s="69"/>
      <c r="Y122" s="278">
        <v>68905</v>
      </c>
      <c r="Z122" s="280">
        <v>1260</v>
      </c>
      <c r="AA122" s="165">
        <v>43915</v>
      </c>
      <c r="AB122" s="69" t="s">
        <v>397</v>
      </c>
      <c r="AC122" s="69"/>
      <c r="AD122" s="69"/>
      <c r="AE122" s="69"/>
      <c r="AF122" s="69"/>
      <c r="AG122" s="69"/>
      <c r="AH122" s="69"/>
      <c r="AU122" s="69"/>
      <c r="AV122" s="69"/>
      <c r="AW122" s="69"/>
      <c r="AX122" s="69"/>
      <c r="AY122" s="69"/>
      <c r="AZ122" s="69"/>
      <c r="BA122" s="69"/>
      <c r="BB122" s="69"/>
      <c r="BC122" s="69"/>
      <c r="BD122" s="69"/>
      <c r="BE122" s="69"/>
    </row>
    <row r="123" spans="3:58" x14ac:dyDescent="0.25">
      <c r="C123" s="69"/>
      <c r="D123" s="69"/>
      <c r="E123" s="69"/>
      <c r="F123" s="69"/>
      <c r="G123" s="69"/>
      <c r="H123" s="69"/>
      <c r="I123" s="69"/>
      <c r="J123" s="69"/>
      <c r="K123" s="69"/>
      <c r="L123" s="69"/>
      <c r="M123" s="69"/>
      <c r="N123" s="69"/>
      <c r="O123" s="69"/>
      <c r="P123" s="69"/>
      <c r="Q123" s="69"/>
      <c r="R123" s="69"/>
      <c r="S123" s="69"/>
      <c r="T123" s="69"/>
      <c r="U123" s="69"/>
      <c r="V123" s="69"/>
      <c r="W123" s="69"/>
      <c r="X123" s="69"/>
      <c r="Y123" s="278">
        <v>105217</v>
      </c>
      <c r="Z123" s="280">
        <v>2110</v>
      </c>
      <c r="AA123" s="214">
        <v>43917</v>
      </c>
      <c r="AB123" s="214" t="s">
        <v>220</v>
      </c>
      <c r="AC123" s="69"/>
      <c r="AD123" s="69"/>
      <c r="AE123" s="69"/>
      <c r="AF123" s="69"/>
      <c r="AG123" s="69"/>
      <c r="AH123" s="69"/>
      <c r="AO123" s="69"/>
      <c r="AP123" s="69"/>
      <c r="AQ123" s="69"/>
      <c r="AR123" s="69"/>
      <c r="AS123" s="69"/>
      <c r="AT123" s="69"/>
      <c r="AU123" s="69"/>
      <c r="AV123" s="69"/>
      <c r="AW123" s="69"/>
      <c r="AX123" s="69"/>
      <c r="AY123" s="69"/>
      <c r="AZ123" s="69"/>
      <c r="BA123" s="69"/>
      <c r="BB123" s="69"/>
      <c r="BC123" s="69"/>
      <c r="BD123" s="69"/>
      <c r="BE123" s="69"/>
    </row>
    <row r="124" spans="3:58" x14ac:dyDescent="0.25">
      <c r="C124" s="69"/>
      <c r="D124" s="69"/>
      <c r="E124" s="69"/>
      <c r="F124" s="69"/>
      <c r="G124" s="69"/>
      <c r="H124" s="69"/>
      <c r="I124" s="69"/>
      <c r="J124" s="69"/>
      <c r="K124" s="69"/>
      <c r="L124" s="69"/>
      <c r="M124" s="69"/>
      <c r="N124" s="69"/>
      <c r="O124" s="69"/>
      <c r="P124" s="69"/>
      <c r="Q124" s="69"/>
      <c r="R124" s="69"/>
      <c r="S124" s="69"/>
      <c r="T124" s="69"/>
      <c r="U124" s="69"/>
      <c r="V124" s="69"/>
      <c r="W124" s="69"/>
      <c r="X124" s="69"/>
      <c r="Y124" s="278">
        <v>105217</v>
      </c>
      <c r="Z124" s="280">
        <v>2110</v>
      </c>
      <c r="AA124" s="259">
        <v>43917</v>
      </c>
      <c r="AB124" t="s">
        <v>247</v>
      </c>
      <c r="AC124" s="69"/>
      <c r="AD124" s="69"/>
      <c r="AE124" s="69"/>
      <c r="AF124" s="69"/>
      <c r="AG124" s="69"/>
      <c r="AH124" s="69"/>
      <c r="AO124" s="69"/>
      <c r="AP124" s="69"/>
      <c r="AQ124" s="69"/>
      <c r="AR124" s="69"/>
      <c r="AS124" s="69"/>
      <c r="AT124" s="69"/>
    </row>
    <row r="125" spans="3:58" x14ac:dyDescent="0.25">
      <c r="C125" s="69"/>
      <c r="D125" s="69"/>
      <c r="E125" s="69"/>
      <c r="F125" s="69"/>
      <c r="G125" s="69"/>
      <c r="H125" s="69"/>
      <c r="I125" s="69"/>
      <c r="J125" s="69"/>
      <c r="K125" s="69"/>
      <c r="L125" s="69"/>
      <c r="M125" s="69"/>
      <c r="N125" s="69"/>
      <c r="O125" s="69"/>
      <c r="P125" s="69"/>
      <c r="Q125" s="69"/>
      <c r="R125" s="69"/>
      <c r="S125" s="69"/>
      <c r="T125" s="69"/>
      <c r="U125" s="69"/>
      <c r="V125" s="69"/>
      <c r="W125" s="69"/>
      <c r="X125" s="69"/>
      <c r="Y125" s="278">
        <v>105217</v>
      </c>
      <c r="Z125" s="280">
        <v>2110</v>
      </c>
      <c r="AA125" s="259">
        <v>43917</v>
      </c>
      <c r="AB125" t="s">
        <v>275</v>
      </c>
      <c r="AC125" s="69"/>
      <c r="AD125" s="69"/>
      <c r="AE125" s="69"/>
      <c r="AF125" s="69"/>
      <c r="AG125" s="69"/>
      <c r="AH125" s="69"/>
      <c r="AJ125" s="69"/>
      <c r="AK125" s="69"/>
      <c r="AL125" s="69"/>
      <c r="AM125" s="69"/>
      <c r="AN125" s="69"/>
      <c r="AO125" s="69"/>
      <c r="AP125" s="69"/>
      <c r="AQ125" s="69"/>
      <c r="AR125" s="69"/>
      <c r="AS125" s="69"/>
      <c r="AT125" s="69"/>
    </row>
    <row r="126" spans="3:58" x14ac:dyDescent="0.25">
      <c r="C126" s="69"/>
      <c r="D126" s="69"/>
      <c r="E126" s="69"/>
      <c r="F126" s="69"/>
      <c r="G126" s="69"/>
      <c r="H126" s="69"/>
      <c r="I126" s="69"/>
      <c r="J126" s="69"/>
      <c r="K126" s="69"/>
      <c r="L126" s="69"/>
      <c r="M126" s="69"/>
      <c r="N126" s="69"/>
      <c r="O126" s="69"/>
      <c r="P126" s="69"/>
      <c r="Q126" s="69"/>
      <c r="R126" s="69"/>
      <c r="S126" s="69"/>
      <c r="T126" s="69"/>
      <c r="U126" s="69"/>
      <c r="V126" s="69"/>
      <c r="W126" s="69"/>
      <c r="X126" s="69"/>
      <c r="Y126" s="278">
        <v>105217</v>
      </c>
      <c r="Z126" s="280">
        <v>2110</v>
      </c>
      <c r="AA126" s="259">
        <v>43917</v>
      </c>
      <c r="AB126" t="s">
        <v>309</v>
      </c>
      <c r="AC126" s="69"/>
      <c r="AD126" s="69"/>
      <c r="AE126" s="69"/>
      <c r="AF126" s="69"/>
      <c r="AG126" s="69"/>
      <c r="AH126" s="69"/>
      <c r="AO126" s="69"/>
      <c r="AP126" s="69"/>
      <c r="AQ126" s="69"/>
      <c r="AR126" s="69"/>
      <c r="AS126" s="69"/>
      <c r="AT126" s="69"/>
    </row>
    <row r="127" spans="3:58" x14ac:dyDescent="0.25">
      <c r="C127" s="69"/>
      <c r="D127" s="69"/>
      <c r="E127" s="69"/>
      <c r="F127" s="69"/>
      <c r="G127" s="69"/>
      <c r="H127" s="69"/>
      <c r="I127" s="69"/>
      <c r="J127" s="69"/>
      <c r="K127" s="69"/>
      <c r="L127" s="69"/>
      <c r="M127" s="69"/>
      <c r="N127" s="69"/>
      <c r="O127" s="69"/>
      <c r="P127" s="69"/>
      <c r="Q127" s="69"/>
      <c r="R127" s="69"/>
      <c r="S127" s="69"/>
      <c r="T127" s="69"/>
      <c r="U127" s="69"/>
      <c r="V127" s="69"/>
      <c r="W127" s="69"/>
      <c r="X127" s="69"/>
      <c r="Y127" s="35"/>
      <c r="Z127" s="277">
        <v>124788</v>
      </c>
      <c r="AA127" s="284">
        <v>2754</v>
      </c>
      <c r="AB127" s="283">
        <v>43918</v>
      </c>
      <c r="AC127" s="69" t="s">
        <v>523</v>
      </c>
      <c r="AD127" s="69"/>
      <c r="AE127" s="69"/>
      <c r="AF127" s="69"/>
      <c r="AG127" s="69"/>
      <c r="AH127" s="69"/>
      <c r="AO127" s="69"/>
      <c r="AP127" s="69"/>
      <c r="AQ127" s="69"/>
      <c r="AR127" s="69"/>
      <c r="AS127" s="69"/>
      <c r="AT127" s="69"/>
    </row>
    <row r="128" spans="3:58" x14ac:dyDescent="0.25">
      <c r="X128" s="232"/>
      <c r="Y128" s="165"/>
      <c r="Z128" s="278">
        <v>124788</v>
      </c>
      <c r="AA128" s="280">
        <v>2754</v>
      </c>
      <c r="AB128" s="260">
        <v>43918</v>
      </c>
      <c r="AC128" t="s">
        <v>244</v>
      </c>
      <c r="AD128" s="69"/>
      <c r="AE128" s="69"/>
      <c r="AO128" s="69"/>
      <c r="AP128" s="69"/>
      <c r="AQ128" s="69"/>
      <c r="AR128" s="69"/>
      <c r="AS128" s="69"/>
      <c r="AT128" s="69"/>
      <c r="BF128" s="69"/>
    </row>
    <row r="129" spans="3:63" x14ac:dyDescent="0.25">
      <c r="X129" s="232"/>
      <c r="Y129" s="165"/>
      <c r="Z129" s="278">
        <v>144980</v>
      </c>
      <c r="AA129" s="280">
        <v>3251</v>
      </c>
      <c r="AB129" s="283">
        <v>43919</v>
      </c>
      <c r="AC129" t="s">
        <v>522</v>
      </c>
      <c r="AD129" s="69"/>
      <c r="AE129" s="69"/>
      <c r="AO129" s="69"/>
      <c r="AP129" s="69"/>
      <c r="AQ129" s="69"/>
      <c r="AR129" s="69"/>
      <c r="AS129" s="69"/>
      <c r="AT129" s="69"/>
      <c r="BF129" s="69"/>
    </row>
    <row r="130" spans="3:63" x14ac:dyDescent="0.25">
      <c r="Z130" s="278">
        <v>168177</v>
      </c>
      <c r="AA130" s="280">
        <v>4066</v>
      </c>
      <c r="AB130" s="283">
        <v>43920</v>
      </c>
      <c r="AC130" t="s">
        <v>521</v>
      </c>
      <c r="AD130" s="69"/>
      <c r="AE130" s="69"/>
      <c r="BF130" s="69"/>
      <c r="BG130" s="69"/>
      <c r="BH130" s="69"/>
      <c r="BI130" s="69"/>
      <c r="BJ130" s="69"/>
      <c r="BK130" s="69"/>
    </row>
    <row r="131" spans="3:63" x14ac:dyDescent="0.25">
      <c r="Z131" s="278">
        <v>168177</v>
      </c>
      <c r="AA131" s="280">
        <v>4066</v>
      </c>
      <c r="AB131" s="259">
        <v>43920</v>
      </c>
      <c r="AC131" t="s">
        <v>250</v>
      </c>
      <c r="AD131" s="69"/>
      <c r="AE131" s="69"/>
      <c r="BF131" s="69"/>
    </row>
    <row r="132" spans="3:63" x14ac:dyDescent="0.25">
      <c r="Z132" s="278">
        <v>168177</v>
      </c>
      <c r="AA132" s="280">
        <v>4066</v>
      </c>
      <c r="AB132" s="259">
        <v>43920</v>
      </c>
      <c r="AC132" t="s">
        <v>322</v>
      </c>
      <c r="AD132" s="69"/>
      <c r="AE132" s="69"/>
      <c r="AU132" s="69"/>
      <c r="AV132" s="69"/>
      <c r="AW132" s="69"/>
      <c r="AX132" s="69"/>
      <c r="AY132" s="69"/>
      <c r="AZ132" s="69"/>
      <c r="BF132" s="69"/>
    </row>
    <row r="133" spans="3:63" x14ac:dyDescent="0.25">
      <c r="Z133" s="278">
        <v>193353</v>
      </c>
      <c r="AA133" s="284">
        <v>5151</v>
      </c>
      <c r="AB133" s="283">
        <v>43921</v>
      </c>
      <c r="AC133" t="s">
        <v>524</v>
      </c>
      <c r="AD133" s="69"/>
      <c r="AE133" s="69"/>
      <c r="AU133" s="69"/>
      <c r="AV133" s="69"/>
      <c r="AW133" s="69"/>
      <c r="AX133" s="69"/>
      <c r="AY133" s="69"/>
      <c r="AZ133" s="69"/>
      <c r="BF133" s="69"/>
    </row>
    <row r="134" spans="3:63" x14ac:dyDescent="0.25">
      <c r="Z134" s="278">
        <v>220295</v>
      </c>
      <c r="AA134" s="280">
        <v>6394</v>
      </c>
      <c r="AB134" s="150">
        <v>43922</v>
      </c>
      <c r="AC134" t="s">
        <v>519</v>
      </c>
      <c r="AD134" s="69"/>
      <c r="AE134" s="69"/>
      <c r="AU134" s="69"/>
      <c r="AV134" s="69"/>
      <c r="AW134" s="69"/>
      <c r="AX134" s="69"/>
      <c r="AY134" s="69"/>
      <c r="AZ134" s="69"/>
      <c r="BF134" s="69"/>
    </row>
    <row r="135" spans="3:63" x14ac:dyDescent="0.25">
      <c r="Z135" s="278">
        <v>220295</v>
      </c>
      <c r="AA135" s="280">
        <v>6394</v>
      </c>
      <c r="AB135" s="311">
        <v>43922</v>
      </c>
      <c r="AC135" t="s">
        <v>520</v>
      </c>
      <c r="AD135" s="69"/>
      <c r="AE135" s="69"/>
      <c r="AU135" s="69"/>
      <c r="AV135" s="69"/>
      <c r="AW135" s="69"/>
      <c r="AX135" s="69"/>
      <c r="AY135" s="69"/>
      <c r="AZ135" s="69"/>
      <c r="BF135" s="69"/>
    </row>
    <row r="136" spans="3:63" x14ac:dyDescent="0.25">
      <c r="AA136" s="277">
        <v>250708</v>
      </c>
      <c r="AB136" s="280">
        <v>7576</v>
      </c>
      <c r="AC136" s="259">
        <v>43923</v>
      </c>
      <c r="AD136" s="69" t="s">
        <v>303</v>
      </c>
      <c r="AE136" s="69"/>
      <c r="AF136" s="69"/>
      <c r="AG136" s="69"/>
      <c r="AI136" s="69"/>
      <c r="AU136" s="69"/>
      <c r="AV136" s="69"/>
      <c r="AW136" s="69"/>
      <c r="AX136" s="69"/>
      <c r="AY136" s="69"/>
      <c r="AZ136" s="69"/>
      <c r="BF136" s="69"/>
    </row>
    <row r="137" spans="3:63" x14ac:dyDescent="0.25">
      <c r="AA137" s="278">
        <v>283477</v>
      </c>
      <c r="AB137" s="280">
        <v>8839</v>
      </c>
      <c r="AC137" s="158">
        <v>43924</v>
      </c>
      <c r="AD137" s="159" t="s">
        <v>221</v>
      </c>
      <c r="AE137" s="158">
        <v>43938</v>
      </c>
      <c r="AF137" s="69"/>
      <c r="AG137" s="69"/>
      <c r="AI137" s="69"/>
      <c r="AJ137" s="69"/>
      <c r="AK137" s="69"/>
      <c r="AL137" s="69"/>
      <c r="AM137" s="69"/>
      <c r="AN137" s="69"/>
      <c r="AU137" s="69"/>
      <c r="AV137" s="69"/>
      <c r="AW137" s="69"/>
      <c r="AX137" s="69"/>
      <c r="AY137" s="69"/>
      <c r="AZ137" s="69"/>
      <c r="BF137" s="69"/>
    </row>
    <row r="138" spans="3:63" s="69" customFormat="1" x14ac:dyDescent="0.25">
      <c r="AA138" s="278">
        <v>317994</v>
      </c>
      <c r="AB138" s="279">
        <v>10384</v>
      </c>
      <c r="AC138" s="259">
        <v>43925</v>
      </c>
      <c r="AD138" t="s">
        <v>223</v>
      </c>
      <c r="AE138"/>
      <c r="AF138"/>
      <c r="AG138"/>
      <c r="AJ138"/>
      <c r="AK138"/>
      <c r="AL138"/>
      <c r="AM138"/>
      <c r="AN138"/>
      <c r="AO138"/>
      <c r="AP138"/>
      <c r="AQ138"/>
      <c r="AR138"/>
      <c r="AS138"/>
      <c r="AT138"/>
      <c r="BA138"/>
      <c r="BB138"/>
      <c r="BC138"/>
      <c r="BD138"/>
      <c r="BE138"/>
      <c r="BG138"/>
      <c r="BH138"/>
      <c r="BI138"/>
      <c r="BJ138"/>
      <c r="BK138"/>
    </row>
    <row r="139" spans="3:63" x14ac:dyDescent="0.25">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278">
        <v>343747</v>
      </c>
      <c r="AB139" s="280">
        <v>11793</v>
      </c>
      <c r="AC139" s="283">
        <v>43926</v>
      </c>
      <c r="AD139" t="s">
        <v>525</v>
      </c>
      <c r="AH139" s="69"/>
      <c r="AI139" s="69"/>
      <c r="BF139" s="69"/>
    </row>
    <row r="140" spans="3:63" x14ac:dyDescent="0.25">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278">
        <v>343747</v>
      </c>
      <c r="AB140" s="280">
        <v>11793</v>
      </c>
      <c r="AC140" s="165">
        <v>43926</v>
      </c>
      <c r="AD140" t="s">
        <v>324</v>
      </c>
      <c r="AH140" s="69"/>
      <c r="AI140" s="69"/>
      <c r="AQ140" s="69"/>
      <c r="AR140" s="69"/>
      <c r="AS140" s="69"/>
      <c r="AT140" s="69"/>
      <c r="BA140" s="69"/>
      <c r="BB140" s="69"/>
      <c r="BC140" s="69"/>
      <c r="BD140" s="69"/>
      <c r="BE140" s="69"/>
    </row>
    <row r="141" spans="3:63" x14ac:dyDescent="0.25">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278">
        <v>375348</v>
      </c>
      <c r="AB141" s="280">
        <v>13298</v>
      </c>
      <c r="AC141" s="283">
        <v>43927</v>
      </c>
      <c r="AD141" t="s">
        <v>526</v>
      </c>
      <c r="AH141" s="69"/>
      <c r="AI141" s="69"/>
      <c r="AQ141" s="69"/>
      <c r="AR141" s="69"/>
      <c r="AS141" s="69"/>
      <c r="AT141" s="69"/>
    </row>
    <row r="142" spans="3:63" x14ac:dyDescent="0.25">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278">
        <v>441569</v>
      </c>
      <c r="AB142" s="280">
        <v>17691</v>
      </c>
      <c r="AC142" s="311">
        <v>43929</v>
      </c>
      <c r="AD142" t="s">
        <v>510</v>
      </c>
      <c r="AH142" s="69"/>
      <c r="AI142" s="69"/>
      <c r="AQ142" s="69"/>
      <c r="AR142" s="69"/>
      <c r="AS142" s="69"/>
      <c r="AT142" s="69"/>
    </row>
    <row r="143" spans="3:63" x14ac:dyDescent="0.25">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278">
        <v>441569</v>
      </c>
      <c r="AB143" s="280">
        <v>17691</v>
      </c>
      <c r="AC143" s="311">
        <v>43929</v>
      </c>
      <c r="AD143" t="s">
        <v>551</v>
      </c>
      <c r="AH143" s="69"/>
      <c r="AI143" s="69"/>
      <c r="AQ143" s="69"/>
      <c r="AR143" s="69"/>
      <c r="AS143" s="69"/>
      <c r="AT143" s="69"/>
    </row>
    <row r="144" spans="3:63" x14ac:dyDescent="0.25">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277">
        <v>509604</v>
      </c>
      <c r="AB144" s="280">
        <v>22038</v>
      </c>
      <c r="AC144" s="311">
        <v>43931</v>
      </c>
      <c r="AD144" t="s">
        <v>518</v>
      </c>
      <c r="AH144" s="69"/>
      <c r="AI144" s="69"/>
      <c r="AQ144" s="69"/>
      <c r="AR144" s="69"/>
      <c r="AS144" s="69"/>
      <c r="AT144" s="69"/>
    </row>
    <row r="145" spans="3:59" x14ac:dyDescent="0.25">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278">
        <v>539942</v>
      </c>
      <c r="AC145" s="280">
        <v>24062</v>
      </c>
      <c r="AD145" s="259">
        <v>43932</v>
      </c>
      <c r="AE145" t="s">
        <v>232</v>
      </c>
      <c r="AH145" s="69"/>
      <c r="AI145" s="69"/>
    </row>
    <row r="146" spans="3:59" x14ac:dyDescent="0.25">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278">
        <v>567708</v>
      </c>
      <c r="AC146" s="284">
        <v>25789</v>
      </c>
      <c r="AD146" s="283">
        <v>43933</v>
      </c>
      <c r="AE146" t="s">
        <v>527</v>
      </c>
      <c r="AH146" s="69"/>
      <c r="AI146" s="69"/>
    </row>
    <row r="147" spans="3:59" x14ac:dyDescent="0.25">
      <c r="AB147" s="278">
        <v>594693</v>
      </c>
      <c r="AC147" s="280">
        <v>27515</v>
      </c>
      <c r="AD147" s="259">
        <v>43934</v>
      </c>
      <c r="AE147" t="s">
        <v>224</v>
      </c>
    </row>
    <row r="148" spans="3:59" x14ac:dyDescent="0.25">
      <c r="AB148" s="278">
        <v>621953</v>
      </c>
      <c r="AC148" s="280">
        <v>30081</v>
      </c>
      <c r="AD148" s="214">
        <v>43935</v>
      </c>
      <c r="AE148" t="s">
        <v>248</v>
      </c>
    </row>
    <row r="149" spans="3:59" x14ac:dyDescent="0.25">
      <c r="AC149" s="278">
        <v>652474</v>
      </c>
      <c r="AD149" s="280">
        <v>32712</v>
      </c>
      <c r="AE149" s="259">
        <v>43936</v>
      </c>
      <c r="AF149" s="69" t="s">
        <v>249</v>
      </c>
      <c r="AO149" s="69"/>
      <c r="AP149" s="69"/>
      <c r="AQ149" s="69"/>
      <c r="AR149" s="69"/>
      <c r="AS149" s="69"/>
      <c r="AT149" s="69"/>
      <c r="AU149" s="69"/>
      <c r="AV149" s="69"/>
      <c r="AW149" s="69"/>
      <c r="AX149" s="69"/>
      <c r="AY149" s="69"/>
      <c r="AZ149" s="69"/>
    </row>
    <row r="150" spans="3:59" x14ac:dyDescent="0.25">
      <c r="AC150" s="278">
        <v>652474</v>
      </c>
      <c r="AD150" s="280">
        <v>32712</v>
      </c>
      <c r="AE150" s="259">
        <v>43936</v>
      </c>
      <c r="AF150" t="s">
        <v>254</v>
      </c>
      <c r="AU150" s="69"/>
      <c r="AV150" s="69"/>
      <c r="AW150" s="69"/>
      <c r="AX150" s="69"/>
      <c r="AY150" s="69"/>
      <c r="AZ150" s="69"/>
      <c r="BG150" s="69"/>
    </row>
    <row r="151" spans="3:59" x14ac:dyDescent="0.25">
      <c r="AC151" s="278">
        <v>652474</v>
      </c>
      <c r="AD151" s="280">
        <v>32712</v>
      </c>
      <c r="AE151" s="259">
        <v>43936</v>
      </c>
      <c r="AF151" t="s">
        <v>252</v>
      </c>
      <c r="AI151" s="69"/>
      <c r="AU151" s="69"/>
      <c r="AV151" s="69"/>
      <c r="AW151" s="69"/>
      <c r="AX151" s="69"/>
      <c r="AY151" s="69"/>
      <c r="AZ151" s="69"/>
      <c r="BG151" s="69"/>
    </row>
    <row r="152" spans="3:59" x14ac:dyDescent="0.25">
      <c r="AC152" s="278">
        <v>652474</v>
      </c>
      <c r="AD152" s="280">
        <v>32712</v>
      </c>
      <c r="AE152" s="214">
        <v>43936</v>
      </c>
      <c r="AF152" t="s">
        <v>320</v>
      </c>
      <c r="AH152" s="214">
        <f>AE152+14</f>
        <v>43950</v>
      </c>
      <c r="AI152" s="69"/>
      <c r="AU152" s="69"/>
      <c r="AV152" s="69"/>
      <c r="AW152" s="69"/>
      <c r="AX152" s="69"/>
      <c r="AY152" s="69"/>
      <c r="AZ152" s="69"/>
      <c r="BG152" s="69"/>
    </row>
    <row r="153" spans="3:59" x14ac:dyDescent="0.25">
      <c r="AC153" s="278">
        <v>682454</v>
      </c>
      <c r="AD153" s="280">
        <v>34905</v>
      </c>
      <c r="AE153" s="259">
        <v>43937</v>
      </c>
      <c r="AF153" t="s">
        <v>294</v>
      </c>
      <c r="AU153" s="69"/>
      <c r="AV153" s="69"/>
      <c r="AW153" s="69"/>
      <c r="AX153" s="69"/>
      <c r="AY153" s="69"/>
      <c r="AZ153" s="69"/>
      <c r="BG153" s="69"/>
    </row>
    <row r="154" spans="3:59" x14ac:dyDescent="0.25">
      <c r="AC154" s="278">
        <v>714822</v>
      </c>
      <c r="AD154" s="280">
        <v>37448</v>
      </c>
      <c r="AE154" s="283">
        <v>43938</v>
      </c>
      <c r="AF154" t="s">
        <v>528</v>
      </c>
      <c r="BG154" s="69"/>
    </row>
    <row r="155" spans="3:59" x14ac:dyDescent="0.25">
      <c r="AC155" s="278">
        <v>714822</v>
      </c>
      <c r="AD155" s="280">
        <v>37448</v>
      </c>
      <c r="AE155" s="259">
        <v>43938</v>
      </c>
      <c r="AF155" t="s">
        <v>251</v>
      </c>
      <c r="BG155" s="69"/>
    </row>
    <row r="156" spans="3:59" x14ac:dyDescent="0.25">
      <c r="AC156" s="278">
        <v>714822</v>
      </c>
      <c r="AD156" s="280">
        <v>37448</v>
      </c>
      <c r="AE156" s="259">
        <v>43938</v>
      </c>
      <c r="AF156" t="s">
        <v>352</v>
      </c>
      <c r="AJ156" s="69"/>
      <c r="AK156" s="69"/>
      <c r="AL156" s="69"/>
      <c r="AM156" s="69"/>
      <c r="AN156" s="69"/>
      <c r="AO156" s="69"/>
      <c r="AP156" s="69"/>
      <c r="AQ156" s="69"/>
      <c r="AR156" s="69"/>
      <c r="AS156" s="69"/>
      <c r="AT156" s="69"/>
      <c r="BF156" s="69"/>
      <c r="BG156" s="69"/>
    </row>
    <row r="157" spans="3:59" x14ac:dyDescent="0.25">
      <c r="AC157" s="278">
        <v>743901</v>
      </c>
      <c r="AD157" s="280">
        <v>39331</v>
      </c>
      <c r="AE157" s="283">
        <v>43939</v>
      </c>
      <c r="AF157" t="s">
        <v>529</v>
      </c>
      <c r="AJ157" s="69"/>
      <c r="AK157" s="69"/>
      <c r="AL157" s="69"/>
      <c r="AM157" s="69"/>
      <c r="AN157" s="69"/>
      <c r="AO157" s="69"/>
      <c r="AP157" s="69"/>
      <c r="AQ157" s="69"/>
      <c r="AR157" s="69"/>
      <c r="AS157" s="69"/>
      <c r="AT157" s="69"/>
      <c r="BG157" s="69"/>
    </row>
    <row r="158" spans="3:59" x14ac:dyDescent="0.25">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278">
        <v>743901</v>
      </c>
      <c r="AD158" s="280">
        <v>39331</v>
      </c>
      <c r="AE158" s="259">
        <v>43939</v>
      </c>
      <c r="AF158" s="69" t="s">
        <v>256</v>
      </c>
      <c r="AJ158" s="69"/>
      <c r="AK158" s="69"/>
      <c r="AL158" s="69"/>
      <c r="AM158" s="69"/>
      <c r="AN158" s="69"/>
      <c r="AU158" s="69"/>
      <c r="AV158" s="69"/>
      <c r="AW158" s="69"/>
      <c r="AX158" s="69"/>
      <c r="AY158" s="69"/>
      <c r="AZ158" s="69"/>
      <c r="BG158" s="69"/>
    </row>
    <row r="159" spans="3:59" x14ac:dyDescent="0.25">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278">
        <v>743901</v>
      </c>
      <c r="AD159" s="280">
        <v>39331</v>
      </c>
      <c r="AE159" s="259">
        <v>43939</v>
      </c>
      <c r="AF159" s="69" t="s">
        <v>361</v>
      </c>
      <c r="AJ159" s="69"/>
      <c r="AK159" s="69"/>
      <c r="AL159" s="69"/>
      <c r="AM159" s="69"/>
      <c r="AN159" s="69"/>
      <c r="BG159" s="69"/>
    </row>
    <row r="160" spans="3:59" x14ac:dyDescent="0.25">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D160" s="278">
        <v>770014</v>
      </c>
      <c r="AE160" s="280">
        <v>40901</v>
      </c>
      <c r="AF160" s="259">
        <v>43940</v>
      </c>
      <c r="AG160" s="47" t="s">
        <v>503</v>
      </c>
      <c r="AJ160" s="69"/>
      <c r="AK160" s="69"/>
      <c r="AL160" s="69"/>
      <c r="AM160" s="69"/>
      <c r="AN160" s="69"/>
      <c r="BG160" s="69"/>
    </row>
    <row r="161" spans="3:63" x14ac:dyDescent="0.25">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278">
        <v>798145</v>
      </c>
      <c r="AE161" s="280">
        <v>42853</v>
      </c>
      <c r="AF161" s="259">
        <v>43941</v>
      </c>
      <c r="AG161" s="69" t="s">
        <v>304</v>
      </c>
      <c r="AJ161" s="69"/>
      <c r="AK161" s="69"/>
      <c r="AL161" s="69"/>
      <c r="AM161" s="69"/>
      <c r="AN161" s="69"/>
      <c r="BA161" s="69"/>
      <c r="BB161" s="69"/>
      <c r="BC161" s="69"/>
      <c r="BD161" s="69"/>
      <c r="BE161" s="69"/>
      <c r="BG161" s="69"/>
    </row>
    <row r="162" spans="3:63" x14ac:dyDescent="0.25">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278">
        <v>798145</v>
      </c>
      <c r="AE162" s="280">
        <v>42853</v>
      </c>
      <c r="AF162" s="259">
        <v>43941</v>
      </c>
      <c r="AG162" s="69" t="s">
        <v>517</v>
      </c>
      <c r="AJ162" s="69"/>
      <c r="AK162" s="69"/>
      <c r="AL162" s="69"/>
      <c r="AM162" s="69"/>
      <c r="AN162" s="69"/>
      <c r="BG162" s="69"/>
    </row>
    <row r="163" spans="3:63" x14ac:dyDescent="0.25">
      <c r="AD163" s="278">
        <v>824229</v>
      </c>
      <c r="AE163" s="280">
        <v>45536</v>
      </c>
      <c r="AF163" s="214">
        <v>43942</v>
      </c>
      <c r="AG163" t="s">
        <v>293</v>
      </c>
      <c r="AH163" s="69"/>
      <c r="AI163" s="69"/>
      <c r="AJ163" s="69"/>
      <c r="AK163" s="69"/>
      <c r="AL163" s="69"/>
      <c r="AM163" s="69"/>
      <c r="AN163" s="69"/>
      <c r="BG163" s="69"/>
      <c r="BH163" s="69"/>
      <c r="BI163" s="69"/>
      <c r="BJ163" s="69"/>
      <c r="BK163" s="69"/>
    </row>
    <row r="164" spans="3:63" s="69" customFormat="1" x14ac:dyDescent="0.25">
      <c r="C164"/>
      <c r="D164"/>
      <c r="E164"/>
      <c r="F164"/>
      <c r="G164"/>
      <c r="H164"/>
      <c r="I164"/>
      <c r="J164"/>
      <c r="K164"/>
      <c r="L164"/>
      <c r="M164"/>
      <c r="N164"/>
      <c r="O164"/>
      <c r="P164"/>
      <c r="Q164"/>
      <c r="R164"/>
      <c r="S164"/>
      <c r="T164"/>
      <c r="U164"/>
      <c r="V164"/>
      <c r="W164"/>
      <c r="X164"/>
      <c r="Y164"/>
      <c r="Z164"/>
      <c r="AA164"/>
      <c r="AB164"/>
      <c r="AC164"/>
      <c r="AD164" s="278">
        <v>854385</v>
      </c>
      <c r="AE164" s="280">
        <v>47894</v>
      </c>
      <c r="AF164" s="214">
        <v>43943</v>
      </c>
      <c r="AG164" t="s">
        <v>290</v>
      </c>
      <c r="AH164"/>
      <c r="AI164"/>
      <c r="AJ164"/>
      <c r="AK164"/>
      <c r="AL164"/>
      <c r="AM164"/>
      <c r="AN164"/>
      <c r="AO164"/>
      <c r="AP164"/>
      <c r="AQ164"/>
      <c r="AR164"/>
      <c r="AS164"/>
      <c r="AT164"/>
      <c r="AU164"/>
      <c r="AV164"/>
      <c r="AW164"/>
      <c r="AX164"/>
      <c r="AY164"/>
      <c r="AZ164"/>
      <c r="BA164"/>
      <c r="BB164"/>
      <c r="BC164"/>
      <c r="BD164"/>
      <c r="BE164"/>
      <c r="BF164"/>
    </row>
    <row r="165" spans="3:63" x14ac:dyDescent="0.25">
      <c r="AD165" s="278">
        <v>854385</v>
      </c>
      <c r="AE165" s="280">
        <v>47894</v>
      </c>
      <c r="AF165" s="259">
        <v>43943</v>
      </c>
      <c r="AG165" s="69" t="s">
        <v>302</v>
      </c>
      <c r="AU165" s="69"/>
      <c r="AV165" s="69"/>
      <c r="AW165" s="69"/>
      <c r="AX165" s="69"/>
      <c r="AY165" s="69"/>
      <c r="AZ165" s="69"/>
      <c r="BH165" s="69"/>
      <c r="BI165" s="69"/>
      <c r="BJ165" s="69"/>
      <c r="BK165" s="69"/>
    </row>
    <row r="166" spans="3:63" x14ac:dyDescent="0.25">
      <c r="AD166" s="278">
        <v>854385</v>
      </c>
      <c r="AE166" s="280">
        <v>47894</v>
      </c>
      <c r="AF166" s="259">
        <v>43943</v>
      </c>
      <c r="AG166" t="s">
        <v>288</v>
      </c>
      <c r="AU166" s="69"/>
      <c r="AV166" s="69"/>
      <c r="AW166" s="69"/>
      <c r="AX166" s="69"/>
      <c r="AY166" s="69"/>
      <c r="AZ166" s="69"/>
      <c r="BH166" s="69"/>
      <c r="BI166" s="69"/>
      <c r="BJ166" s="69"/>
      <c r="BK166" s="69"/>
    </row>
    <row r="167" spans="3:63" x14ac:dyDescent="0.25">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278">
        <v>886274</v>
      </c>
      <c r="AF167" s="279">
        <v>50234</v>
      </c>
      <c r="AG167" s="259">
        <v>43944</v>
      </c>
      <c r="AH167" t="s">
        <v>291</v>
      </c>
      <c r="BH167" s="69"/>
      <c r="BI167" s="69"/>
      <c r="BJ167" s="69"/>
      <c r="BK167" s="69"/>
    </row>
    <row r="168" spans="3:63" x14ac:dyDescent="0.25">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278">
        <v>886274</v>
      </c>
      <c r="AF168" s="280">
        <v>50234</v>
      </c>
      <c r="AG168" s="259">
        <v>43944</v>
      </c>
      <c r="AH168" t="s">
        <v>292</v>
      </c>
      <c r="AK168" s="69"/>
      <c r="AL168" s="69"/>
      <c r="AM168" s="69"/>
      <c r="AN168" s="69"/>
      <c r="BH168" s="69"/>
      <c r="BI168" s="69"/>
      <c r="BJ168" s="69"/>
      <c r="BK168" s="69"/>
    </row>
    <row r="169" spans="3:63" x14ac:dyDescent="0.25">
      <c r="AE169" s="278">
        <v>886274</v>
      </c>
      <c r="AF169" s="280">
        <v>50234</v>
      </c>
      <c r="AG169" s="214">
        <v>43944</v>
      </c>
      <c r="AH169" t="s">
        <v>319</v>
      </c>
      <c r="AK169" s="69"/>
      <c r="AL169" s="69"/>
      <c r="AM169" s="69"/>
      <c r="AN169" s="69"/>
      <c r="BH169" s="69"/>
      <c r="BI169" s="69"/>
      <c r="BJ169" s="69"/>
      <c r="BK169" s="69"/>
    </row>
    <row r="170" spans="3:63" x14ac:dyDescent="0.25">
      <c r="AE170" s="278">
        <v>925232</v>
      </c>
      <c r="AF170" s="280">
        <v>52191</v>
      </c>
      <c r="AG170" s="259">
        <v>43945</v>
      </c>
      <c r="AH170" t="s">
        <v>305</v>
      </c>
      <c r="BH170" s="69"/>
      <c r="BI170" s="69"/>
      <c r="BJ170" s="69"/>
      <c r="BK170" s="69"/>
    </row>
    <row r="171" spans="3:63" x14ac:dyDescent="0.25">
      <c r="AE171" s="278">
        <v>925232</v>
      </c>
      <c r="AF171" s="280">
        <v>52191</v>
      </c>
      <c r="AG171" s="259">
        <v>43945</v>
      </c>
      <c r="AH171" t="s">
        <v>504</v>
      </c>
      <c r="BH171" s="69"/>
      <c r="BI171" s="69"/>
      <c r="BJ171" s="69"/>
      <c r="BK171" s="69"/>
    </row>
    <row r="172" spans="3:63" x14ac:dyDescent="0.25">
      <c r="AE172" s="278">
        <v>925232</v>
      </c>
      <c r="AF172" s="280">
        <v>52191</v>
      </c>
      <c r="AG172" s="214">
        <v>43945</v>
      </c>
      <c r="AH172" s="69" t="s">
        <v>310</v>
      </c>
      <c r="BA172" s="69"/>
      <c r="BB172" s="69"/>
      <c r="BC172" s="69"/>
      <c r="BD172" s="69"/>
      <c r="BE172" s="69"/>
      <c r="BH172" s="69"/>
      <c r="BI172" s="69"/>
      <c r="BJ172" s="69"/>
      <c r="BK172" s="69"/>
    </row>
    <row r="173" spans="3:63" x14ac:dyDescent="0.25">
      <c r="AE173" s="278">
        <v>925232</v>
      </c>
      <c r="AF173" s="280">
        <v>52191</v>
      </c>
      <c r="AG173" s="214">
        <v>43945</v>
      </c>
      <c r="AH173" s="69" t="s">
        <v>395</v>
      </c>
      <c r="BA173" s="69"/>
      <c r="BB173" s="69"/>
      <c r="BC173" s="69"/>
      <c r="BD173" s="69"/>
      <c r="BE173" s="69"/>
      <c r="BH173" s="69"/>
      <c r="BI173" s="69"/>
      <c r="BJ173" s="69"/>
      <c r="BK173" s="69"/>
    </row>
    <row r="174" spans="3:63" x14ac:dyDescent="0.25">
      <c r="AE174" s="278">
        <v>925232</v>
      </c>
      <c r="AF174" s="280">
        <v>52191</v>
      </c>
      <c r="AG174" s="214">
        <v>43945</v>
      </c>
      <c r="AH174" s="69" t="s">
        <v>414</v>
      </c>
      <c r="BA174" s="69"/>
      <c r="BB174" s="69"/>
      <c r="BC174" s="69"/>
      <c r="BD174" s="69"/>
      <c r="BE174" s="69"/>
      <c r="BH174" s="69"/>
      <c r="BI174" s="69"/>
      <c r="BJ174" s="69"/>
      <c r="BK174" s="69"/>
    </row>
    <row r="175" spans="3:63" x14ac:dyDescent="0.25">
      <c r="AE175" s="278">
        <v>960651</v>
      </c>
      <c r="AF175" s="280">
        <v>54191</v>
      </c>
      <c r="AG175" s="165">
        <v>43946</v>
      </c>
      <c r="AH175" s="69" t="s">
        <v>307</v>
      </c>
      <c r="AO175" s="69"/>
      <c r="AP175" s="69"/>
      <c r="AQ175" s="69"/>
      <c r="AR175" s="69"/>
      <c r="AS175" s="69"/>
      <c r="AT175" s="69"/>
      <c r="BA175" s="69"/>
      <c r="BB175" s="69"/>
      <c r="BC175" s="69"/>
      <c r="BD175" s="69"/>
      <c r="BE175" s="69"/>
      <c r="BH175" s="69"/>
      <c r="BI175" s="69"/>
      <c r="BJ175" s="69"/>
      <c r="BK175" s="69"/>
    </row>
    <row r="176" spans="3:63" x14ac:dyDescent="0.25">
      <c r="AE176" s="278">
        <v>960651</v>
      </c>
      <c r="AF176" s="280">
        <v>54191</v>
      </c>
      <c r="AG176" s="260">
        <v>43946</v>
      </c>
      <c r="AH176" s="69" t="s">
        <v>313</v>
      </c>
      <c r="AO176" s="69"/>
      <c r="AP176" s="69"/>
      <c r="AQ176" s="69"/>
      <c r="AR176" s="69"/>
      <c r="AS176" s="69"/>
      <c r="AT176" s="69"/>
      <c r="BA176" s="69"/>
      <c r="BB176" s="69"/>
      <c r="BC176" s="69"/>
      <c r="BD176" s="69"/>
      <c r="BE176" s="69"/>
      <c r="BH176" s="69"/>
      <c r="BI176" s="69"/>
      <c r="BJ176" s="69"/>
      <c r="BK176" s="69"/>
    </row>
    <row r="177" spans="3:63" x14ac:dyDescent="0.25">
      <c r="AE177" s="278">
        <v>960651</v>
      </c>
      <c r="AF177" s="280">
        <v>54191</v>
      </c>
      <c r="AG177" s="260">
        <v>43946</v>
      </c>
      <c r="AH177" s="69" t="s">
        <v>312</v>
      </c>
      <c r="AO177" s="69"/>
      <c r="AP177" s="69"/>
      <c r="AQ177" s="69"/>
      <c r="AR177" s="69"/>
      <c r="AS177" s="69"/>
      <c r="AT177" s="69"/>
      <c r="BF177" s="69"/>
      <c r="BG177" s="69"/>
      <c r="BH177" s="69"/>
      <c r="BI177" s="69"/>
      <c r="BJ177" s="69"/>
      <c r="BK177" s="69"/>
    </row>
    <row r="178" spans="3:63" x14ac:dyDescent="0.25">
      <c r="AF178" s="277">
        <v>1010356</v>
      </c>
      <c r="AG178" s="280">
        <v>56795</v>
      </c>
      <c r="AH178" s="260">
        <v>43948</v>
      </c>
      <c r="AI178" t="s">
        <v>311</v>
      </c>
      <c r="AO178" s="69"/>
      <c r="AP178" s="69"/>
      <c r="AQ178" s="69"/>
      <c r="AR178" s="69"/>
      <c r="AS178" s="69"/>
      <c r="AT178" s="69"/>
      <c r="BH178" s="69"/>
      <c r="BI178" s="69"/>
      <c r="BJ178" s="69"/>
      <c r="BK178" s="69"/>
    </row>
    <row r="179" spans="3:63" x14ac:dyDescent="0.25">
      <c r="AF179" s="278">
        <v>1010356</v>
      </c>
      <c r="AG179" s="280">
        <v>56795</v>
      </c>
      <c r="AH179" s="259">
        <v>43948</v>
      </c>
      <c r="AI179" s="69" t="s">
        <v>301</v>
      </c>
      <c r="AQ179" s="214"/>
      <c r="AR179" s="214"/>
      <c r="AS179" s="214"/>
      <c r="AT179" s="214"/>
      <c r="BH179" s="69"/>
      <c r="BI179" s="69"/>
      <c r="BJ179" s="69"/>
      <c r="BK179" s="69"/>
    </row>
    <row r="180" spans="3:63" x14ac:dyDescent="0.25">
      <c r="AE180" s="69"/>
      <c r="AF180" s="278">
        <v>1035765</v>
      </c>
      <c r="AG180" s="280">
        <v>59265</v>
      </c>
      <c r="AH180" s="189">
        <v>43949</v>
      </c>
      <c r="AI180" t="s">
        <v>530</v>
      </c>
      <c r="AK180" s="69"/>
      <c r="AL180" s="69"/>
      <c r="AM180" s="69"/>
      <c r="AN180" s="69"/>
      <c r="BH180" s="69"/>
      <c r="BI180" s="69"/>
      <c r="BJ180" s="69"/>
      <c r="BK180" s="69"/>
    </row>
    <row r="181" spans="3:63" x14ac:dyDescent="0.25">
      <c r="AF181" s="278">
        <v>1035765</v>
      </c>
      <c r="AG181" s="280">
        <v>59265</v>
      </c>
      <c r="AH181" s="259">
        <v>43949</v>
      </c>
      <c r="AI181" t="s">
        <v>308</v>
      </c>
      <c r="AJ181" s="69"/>
      <c r="AK181" s="69"/>
      <c r="BH181" s="69"/>
      <c r="BI181" s="69"/>
      <c r="BJ181" s="69"/>
      <c r="BK181" s="69"/>
    </row>
    <row r="182" spans="3:63" x14ac:dyDescent="0.25">
      <c r="AF182" s="278">
        <v>1035765</v>
      </c>
      <c r="AG182" s="280">
        <v>59265</v>
      </c>
      <c r="AH182" s="214">
        <v>43949</v>
      </c>
      <c r="AI182" t="s">
        <v>318</v>
      </c>
      <c r="BH182" s="69"/>
      <c r="BI182" s="69"/>
      <c r="BJ182" s="69"/>
      <c r="BK182" s="69"/>
    </row>
    <row r="183" spans="3:63" x14ac:dyDescent="0.25">
      <c r="AF183" s="278">
        <v>1064194</v>
      </c>
      <c r="AG183" s="280">
        <v>61655</v>
      </c>
      <c r="AH183" s="189">
        <v>43950</v>
      </c>
      <c r="AI183" t="s">
        <v>531</v>
      </c>
      <c r="BG183" s="69"/>
    </row>
    <row r="184" spans="3:63" x14ac:dyDescent="0.25">
      <c r="AF184" s="278">
        <v>1064194</v>
      </c>
      <c r="AG184" s="280">
        <v>61655</v>
      </c>
      <c r="AH184" s="259">
        <v>43950</v>
      </c>
      <c r="AI184" t="s">
        <v>516</v>
      </c>
      <c r="AU184" s="69"/>
      <c r="AV184" s="69"/>
      <c r="AW184" s="69"/>
      <c r="AX184" s="69"/>
      <c r="AY184" s="69"/>
      <c r="AZ184" s="69"/>
      <c r="BG184" s="69"/>
    </row>
    <row r="185" spans="3:63" x14ac:dyDescent="0.25">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c r="AE185" s="69"/>
      <c r="AF185" s="278">
        <v>1095023</v>
      </c>
      <c r="AG185" s="280">
        <v>63856</v>
      </c>
      <c r="AH185" s="259">
        <v>43951</v>
      </c>
      <c r="AI185" t="s">
        <v>314</v>
      </c>
      <c r="AL185" s="69"/>
      <c r="AM185" s="69"/>
      <c r="AN185" s="69"/>
      <c r="AU185" s="69"/>
      <c r="AV185" s="69"/>
      <c r="AW185" s="69"/>
      <c r="AX185" s="69"/>
      <c r="AY185" s="69"/>
      <c r="AZ185" s="69"/>
      <c r="BA185" s="69"/>
      <c r="BB185" s="69"/>
      <c r="BC185" s="69"/>
      <c r="BD185" s="69"/>
      <c r="BE185" s="69"/>
      <c r="BG185" s="69"/>
    </row>
    <row r="186" spans="3:63" x14ac:dyDescent="0.25">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c r="AD186" s="69"/>
      <c r="AE186" s="69"/>
      <c r="AF186" s="278">
        <v>1095023</v>
      </c>
      <c r="AG186" s="280">
        <v>63856</v>
      </c>
      <c r="AH186" s="259">
        <v>43951</v>
      </c>
      <c r="AI186" t="s">
        <v>315</v>
      </c>
      <c r="AJ186" s="69"/>
      <c r="AK186" s="69"/>
      <c r="AL186" s="69"/>
      <c r="AM186" s="69"/>
      <c r="AN186" s="69"/>
      <c r="AO186" s="69"/>
      <c r="AP186" s="69"/>
      <c r="AQ186" s="69"/>
      <c r="AR186" s="69"/>
      <c r="AS186" s="69"/>
      <c r="AT186" s="69"/>
      <c r="AU186" s="69"/>
      <c r="AV186" s="69"/>
      <c r="AW186" s="69"/>
      <c r="AX186" s="69"/>
      <c r="AY186" s="69"/>
      <c r="AZ186" s="69"/>
    </row>
    <row r="187" spans="3:63" x14ac:dyDescent="0.25">
      <c r="AF187" s="278">
        <v>1095023</v>
      </c>
      <c r="AG187" s="280">
        <v>63856</v>
      </c>
      <c r="AH187" s="214">
        <v>43951</v>
      </c>
      <c r="AI187" t="s">
        <v>317</v>
      </c>
      <c r="AJ187" s="69"/>
      <c r="AK187" s="69"/>
      <c r="AO187" s="69"/>
      <c r="AP187" s="69"/>
      <c r="AQ187" s="69"/>
      <c r="AR187" s="69"/>
      <c r="AS187" s="69"/>
      <c r="AT187" s="69"/>
      <c r="AU187" s="69"/>
      <c r="AV187" s="69"/>
      <c r="AW187" s="69"/>
      <c r="AX187" s="69"/>
      <c r="AY187" s="69"/>
      <c r="AZ187" s="69"/>
    </row>
    <row r="188" spans="3:63" x14ac:dyDescent="0.25">
      <c r="AF188" s="278">
        <v>1095023</v>
      </c>
      <c r="AG188" s="280">
        <v>63856</v>
      </c>
      <c r="AH188" s="165">
        <v>43951</v>
      </c>
      <c r="AI188" s="69" t="s">
        <v>316</v>
      </c>
      <c r="AU188" s="214"/>
      <c r="BF188" s="69"/>
    </row>
    <row r="189" spans="3:63" x14ac:dyDescent="0.25">
      <c r="AF189" s="278">
        <v>1095023</v>
      </c>
      <c r="AG189" s="280">
        <v>63856</v>
      </c>
      <c r="AH189" s="259">
        <v>43951</v>
      </c>
      <c r="AI189" s="69" t="s">
        <v>345</v>
      </c>
      <c r="BF189" s="69"/>
    </row>
    <row r="190" spans="3:63" x14ac:dyDescent="0.25">
      <c r="AF190" s="278">
        <v>1095023</v>
      </c>
      <c r="AG190" s="280">
        <v>63856</v>
      </c>
      <c r="AH190" s="214">
        <v>43951</v>
      </c>
      <c r="AI190" s="69" t="s">
        <v>337</v>
      </c>
      <c r="AJ190" s="69"/>
      <c r="AK190" s="69"/>
      <c r="BA190" s="69"/>
      <c r="BB190" s="69"/>
      <c r="BC190" s="69"/>
      <c r="BD190" s="69"/>
      <c r="BE190" s="69"/>
      <c r="BF190" s="69"/>
    </row>
    <row r="191" spans="3:63" x14ac:dyDescent="0.25">
      <c r="AF191" s="278">
        <v>1131030</v>
      </c>
      <c r="AG191" s="280">
        <v>65753</v>
      </c>
      <c r="AH191" s="214">
        <v>43952</v>
      </c>
      <c r="AI191" t="s">
        <v>321</v>
      </c>
      <c r="BF191" s="69"/>
    </row>
    <row r="192" spans="3:63" x14ac:dyDescent="0.25">
      <c r="AF192" s="278">
        <v>1131030</v>
      </c>
      <c r="AG192" s="280">
        <v>65753</v>
      </c>
      <c r="AH192" s="259">
        <v>43952</v>
      </c>
      <c r="AI192" t="s">
        <v>514</v>
      </c>
      <c r="BF192" s="69"/>
    </row>
    <row r="193" spans="3:63" x14ac:dyDescent="0.25">
      <c r="AF193" s="278">
        <v>1188122</v>
      </c>
      <c r="AG193" s="280">
        <v>68597</v>
      </c>
      <c r="AH193" s="214">
        <v>43954</v>
      </c>
      <c r="AI193" t="s">
        <v>515</v>
      </c>
      <c r="AJ193" s="69"/>
      <c r="AK193" s="69"/>
    </row>
    <row r="194" spans="3:63" x14ac:dyDescent="0.25">
      <c r="AF194" s="278">
        <v>1212835</v>
      </c>
      <c r="AG194" s="280">
        <v>69921</v>
      </c>
      <c r="AH194" s="259">
        <v>43955</v>
      </c>
      <c r="AI194" t="s">
        <v>513</v>
      </c>
      <c r="AJ194" s="69"/>
      <c r="AK194" s="69"/>
    </row>
    <row r="195" spans="3:63" x14ac:dyDescent="0.25">
      <c r="AF195" s="278">
        <v>1237633</v>
      </c>
      <c r="AG195" s="280">
        <v>72271</v>
      </c>
      <c r="AH195" s="214">
        <v>43956</v>
      </c>
      <c r="AI195" t="s">
        <v>331</v>
      </c>
      <c r="AJ195" s="69"/>
      <c r="AK195" s="69"/>
      <c r="AU195" s="69"/>
      <c r="AV195" s="69"/>
      <c r="AW195" s="69"/>
      <c r="AX195" s="69"/>
      <c r="AY195" s="69"/>
      <c r="AZ195" s="69"/>
    </row>
    <row r="196" spans="3:63" x14ac:dyDescent="0.25">
      <c r="AF196" s="278">
        <v>1237633</v>
      </c>
      <c r="AG196" s="280">
        <v>72271</v>
      </c>
      <c r="AH196" s="214">
        <v>43956</v>
      </c>
      <c r="AI196" t="s">
        <v>368</v>
      </c>
      <c r="AJ196" s="69"/>
      <c r="AK196" s="69"/>
      <c r="AU196" s="69"/>
      <c r="AV196" s="69"/>
      <c r="AW196" s="69"/>
      <c r="AX196" s="69"/>
      <c r="AY196" s="69"/>
      <c r="AZ196" s="69"/>
    </row>
    <row r="197" spans="3:63" x14ac:dyDescent="0.25">
      <c r="AF197" s="278">
        <v>1237633</v>
      </c>
      <c r="AG197" s="280">
        <v>72271</v>
      </c>
      <c r="AH197" s="214">
        <v>43956</v>
      </c>
      <c r="AI197" t="s">
        <v>330</v>
      </c>
    </row>
    <row r="198" spans="3:63" x14ac:dyDescent="0.25">
      <c r="AF198" s="278">
        <v>1237633</v>
      </c>
      <c r="AG198" s="280">
        <v>72271</v>
      </c>
      <c r="AH198" s="259">
        <v>43956</v>
      </c>
      <c r="AI198" t="s">
        <v>329</v>
      </c>
      <c r="BA198" s="69"/>
      <c r="BB198" s="69"/>
      <c r="BC198" s="69"/>
      <c r="BD198" s="69"/>
      <c r="BE198" s="69"/>
    </row>
    <row r="199" spans="3:63" x14ac:dyDescent="0.25">
      <c r="AG199" s="278">
        <v>1292623</v>
      </c>
      <c r="AH199" s="280">
        <v>76928</v>
      </c>
      <c r="AI199" s="259">
        <v>43958</v>
      </c>
      <c r="AJ199" t="s">
        <v>338</v>
      </c>
    </row>
    <row r="200" spans="3:63" x14ac:dyDescent="0.25">
      <c r="AG200" s="278">
        <v>1321785</v>
      </c>
      <c r="AH200" s="280">
        <v>78615</v>
      </c>
      <c r="AI200" s="214">
        <v>43959</v>
      </c>
      <c r="AJ200" t="s">
        <v>359</v>
      </c>
    </row>
    <row r="201" spans="3:63" x14ac:dyDescent="0.25">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278">
        <v>1321785</v>
      </c>
      <c r="AH201" s="280">
        <v>78615</v>
      </c>
      <c r="AI201" s="259">
        <v>43959</v>
      </c>
      <c r="AJ201" s="69" t="s">
        <v>335</v>
      </c>
      <c r="AK201" s="69"/>
      <c r="AL201" s="69"/>
      <c r="AM201" s="69"/>
      <c r="AN201" s="69"/>
      <c r="AO201" s="69"/>
      <c r="AP201" s="69"/>
      <c r="AQ201" s="69"/>
      <c r="AR201" s="69"/>
      <c r="AS201" s="69"/>
      <c r="AT201" s="69"/>
      <c r="BF201" s="69"/>
    </row>
    <row r="202" spans="3:63" s="69" customFormat="1" x14ac:dyDescent="0.25">
      <c r="AG202" s="278">
        <v>1321785</v>
      </c>
      <c r="AH202" s="280">
        <v>78615</v>
      </c>
      <c r="AI202" s="165">
        <v>43959</v>
      </c>
      <c r="AJ202" s="69" t="s">
        <v>332</v>
      </c>
      <c r="AK202"/>
      <c r="AL202"/>
      <c r="AU202"/>
      <c r="AV202"/>
      <c r="AW202"/>
      <c r="AX202"/>
      <c r="AY202"/>
      <c r="AZ202"/>
      <c r="BA202"/>
      <c r="BB202"/>
      <c r="BC202"/>
      <c r="BD202"/>
      <c r="BE202"/>
      <c r="BF202"/>
      <c r="BG202"/>
    </row>
    <row r="203" spans="3:63" s="69" customFormat="1" x14ac:dyDescent="0.25">
      <c r="C203"/>
      <c r="D203"/>
      <c r="E203"/>
      <c r="F203"/>
      <c r="G203"/>
      <c r="H203"/>
      <c r="I203"/>
      <c r="J203"/>
      <c r="K203"/>
      <c r="L203"/>
      <c r="M203"/>
      <c r="N203"/>
      <c r="O203"/>
      <c r="P203"/>
      <c r="Q203"/>
      <c r="R203"/>
      <c r="S203"/>
      <c r="T203"/>
      <c r="U203"/>
      <c r="V203"/>
      <c r="W203"/>
      <c r="X203"/>
      <c r="Y203"/>
      <c r="Z203"/>
      <c r="AA203"/>
      <c r="AB203"/>
      <c r="AC203"/>
      <c r="AD203"/>
      <c r="AE203"/>
      <c r="AF203"/>
      <c r="AG203" s="278">
        <v>1321785</v>
      </c>
      <c r="AH203" s="280">
        <v>78615</v>
      </c>
      <c r="AI203" s="214">
        <v>43959</v>
      </c>
      <c r="AJ203" s="69" t="s">
        <v>336</v>
      </c>
      <c r="AK203"/>
      <c r="AL203"/>
      <c r="AM203"/>
      <c r="AN203"/>
      <c r="AO203"/>
      <c r="AP203"/>
      <c r="AQ203"/>
      <c r="AR203"/>
      <c r="AS203"/>
      <c r="AT203"/>
      <c r="AU203"/>
      <c r="AV203"/>
      <c r="AW203"/>
      <c r="AX203"/>
      <c r="AY203"/>
      <c r="AZ203"/>
      <c r="BA203"/>
      <c r="BB203"/>
      <c r="BC203"/>
      <c r="BD203"/>
      <c r="BE203"/>
      <c r="BF203"/>
      <c r="BG203"/>
      <c r="BH203"/>
      <c r="BI203"/>
      <c r="BJ203"/>
      <c r="BK203"/>
    </row>
    <row r="204" spans="3:63" s="69" customFormat="1" x14ac:dyDescent="0.25">
      <c r="C204"/>
      <c r="R204" s="165"/>
      <c r="V204"/>
      <c r="W204"/>
      <c r="X204"/>
      <c r="Y204"/>
      <c r="Z204"/>
      <c r="AA204"/>
      <c r="AB204"/>
      <c r="AC204"/>
      <c r="AD204"/>
      <c r="AE204"/>
      <c r="AF204"/>
      <c r="AG204" s="278">
        <v>1321785</v>
      </c>
      <c r="AH204" s="280">
        <v>78615</v>
      </c>
      <c r="AI204" s="214">
        <v>43959</v>
      </c>
      <c r="AJ204" s="69" t="s">
        <v>342</v>
      </c>
      <c r="AK204"/>
      <c r="AL204"/>
      <c r="AM204"/>
      <c r="AN204"/>
      <c r="AO204"/>
      <c r="AP204"/>
      <c r="AQ204"/>
      <c r="AR204"/>
      <c r="AS204"/>
      <c r="AT204"/>
      <c r="AU204"/>
      <c r="AV204"/>
      <c r="AW204"/>
      <c r="AX204"/>
      <c r="AY204"/>
      <c r="AZ204"/>
      <c r="BA204"/>
      <c r="BB204"/>
      <c r="BC204"/>
      <c r="BD204"/>
      <c r="BE204"/>
      <c r="BF204"/>
      <c r="BG204"/>
      <c r="BH204"/>
      <c r="BI204"/>
      <c r="BJ204"/>
      <c r="BK204"/>
    </row>
    <row r="205" spans="3:63" s="69" customFormat="1" x14ac:dyDescent="0.25">
      <c r="C205"/>
      <c r="R205" s="165"/>
      <c r="V205"/>
      <c r="W205"/>
      <c r="X205"/>
      <c r="Y205"/>
      <c r="Z205"/>
      <c r="AA205"/>
      <c r="AB205"/>
      <c r="AC205"/>
      <c r="AD205"/>
      <c r="AE205"/>
      <c r="AF205"/>
      <c r="AG205" s="278">
        <v>1347309</v>
      </c>
      <c r="AH205" s="280">
        <v>80037</v>
      </c>
      <c r="AI205" s="214">
        <v>43960</v>
      </c>
      <c r="AJ205" s="69" t="s">
        <v>358</v>
      </c>
      <c r="AK205"/>
      <c r="AL205"/>
      <c r="AM205"/>
      <c r="AN205"/>
      <c r="AO205"/>
      <c r="AP205"/>
      <c r="AQ205"/>
      <c r="AR205"/>
      <c r="AS205"/>
      <c r="AT205"/>
      <c r="AU205"/>
      <c r="AV205"/>
      <c r="AW205"/>
      <c r="AX205"/>
      <c r="AY205"/>
      <c r="AZ205"/>
      <c r="BA205"/>
      <c r="BB205"/>
      <c r="BC205"/>
      <c r="BD205"/>
      <c r="BE205"/>
      <c r="BF205"/>
      <c r="BG205"/>
      <c r="BH205"/>
      <c r="BI205"/>
      <c r="BJ205"/>
      <c r="BK205"/>
    </row>
    <row r="206" spans="3:63" s="69" customFormat="1" x14ac:dyDescent="0.25">
      <c r="C206"/>
      <c r="R206" s="165"/>
      <c r="V206"/>
      <c r="W206"/>
      <c r="X206"/>
      <c r="Y206"/>
      <c r="Z206"/>
      <c r="AA206"/>
      <c r="AB206"/>
      <c r="AC206"/>
      <c r="AD206"/>
      <c r="AE206"/>
      <c r="AF206"/>
      <c r="AG206" s="278">
        <v>1347309</v>
      </c>
      <c r="AH206" s="280">
        <v>80037</v>
      </c>
      <c r="AI206" s="214">
        <v>43960</v>
      </c>
      <c r="AJ206" s="69" t="s">
        <v>333</v>
      </c>
      <c r="AK206"/>
      <c r="AL206"/>
      <c r="AM206"/>
      <c r="AN206"/>
      <c r="AO206"/>
      <c r="AP206"/>
      <c r="AQ206"/>
      <c r="AR206"/>
      <c r="AS206"/>
      <c r="AT206"/>
      <c r="AU206"/>
      <c r="AV206"/>
      <c r="AW206"/>
      <c r="AX206"/>
      <c r="AY206"/>
      <c r="AZ206"/>
      <c r="BA206"/>
      <c r="BB206"/>
      <c r="BC206"/>
      <c r="BD206"/>
      <c r="BE206"/>
      <c r="BG206"/>
      <c r="BH206"/>
      <c r="BI206"/>
      <c r="BJ206"/>
      <c r="BK206"/>
    </row>
    <row r="207" spans="3:63" s="69" customFormat="1" x14ac:dyDescent="0.25">
      <c r="R207" s="165"/>
      <c r="X207"/>
      <c r="Y207"/>
      <c r="Z207"/>
      <c r="AA207"/>
      <c r="AG207" s="278">
        <v>1347309</v>
      </c>
      <c r="AH207" s="280">
        <v>80037</v>
      </c>
      <c r="AI207" s="259">
        <v>43960</v>
      </c>
      <c r="AJ207" s="69" t="s">
        <v>341</v>
      </c>
      <c r="AK207"/>
      <c r="AL207"/>
      <c r="AU207"/>
      <c r="AV207"/>
      <c r="AW207"/>
      <c r="AX207"/>
      <c r="AY207"/>
      <c r="AZ207"/>
      <c r="BA207"/>
      <c r="BB207"/>
      <c r="BC207"/>
      <c r="BD207"/>
      <c r="BE207"/>
      <c r="BF207"/>
      <c r="BG207"/>
      <c r="BH207"/>
      <c r="BI207"/>
      <c r="BJ207"/>
      <c r="BK207"/>
    </row>
    <row r="208" spans="3:63" s="69" customFormat="1" x14ac:dyDescent="0.25">
      <c r="C208"/>
      <c r="D208"/>
      <c r="E208"/>
      <c r="F208"/>
      <c r="G208"/>
      <c r="H208"/>
      <c r="I208"/>
      <c r="J208"/>
      <c r="K208"/>
      <c r="L208"/>
      <c r="M208"/>
      <c r="N208"/>
      <c r="O208"/>
      <c r="P208"/>
      <c r="Q208"/>
      <c r="R208"/>
      <c r="S208"/>
      <c r="T208"/>
      <c r="U208"/>
      <c r="V208"/>
      <c r="W208"/>
      <c r="X208"/>
      <c r="Y208"/>
      <c r="Z208"/>
      <c r="AA208"/>
      <c r="AB208"/>
      <c r="AC208"/>
      <c r="AD208"/>
      <c r="AE208"/>
      <c r="AF208"/>
      <c r="AG208" s="278">
        <v>1347309</v>
      </c>
      <c r="AH208" s="280">
        <v>80037</v>
      </c>
      <c r="AI208" s="214">
        <v>43960</v>
      </c>
      <c r="AJ208" s="69" t="s">
        <v>334</v>
      </c>
      <c r="AK208"/>
      <c r="AL208"/>
      <c r="AM208"/>
      <c r="AN208"/>
      <c r="AO208"/>
      <c r="AP208"/>
      <c r="AQ208"/>
      <c r="AR208"/>
      <c r="AS208"/>
      <c r="AT208"/>
      <c r="AU208"/>
      <c r="AV208"/>
      <c r="AW208"/>
      <c r="AX208"/>
      <c r="AY208"/>
      <c r="AZ208"/>
      <c r="BA208"/>
      <c r="BB208"/>
      <c r="BC208"/>
      <c r="BD208"/>
      <c r="BE208"/>
      <c r="BF208"/>
      <c r="BG208"/>
      <c r="BH208"/>
      <c r="BI208"/>
      <c r="BJ208"/>
      <c r="BK208"/>
    </row>
    <row r="209" spans="3:63" s="69" customFormat="1" x14ac:dyDescent="0.25">
      <c r="C209"/>
      <c r="D209"/>
      <c r="E209"/>
      <c r="F209"/>
      <c r="G209"/>
      <c r="H209"/>
      <c r="I209"/>
      <c r="J209"/>
      <c r="K209"/>
      <c r="L209"/>
      <c r="M209"/>
      <c r="N209"/>
      <c r="O209"/>
      <c r="P209"/>
      <c r="Q209"/>
      <c r="R209"/>
      <c r="S209"/>
      <c r="T209"/>
      <c r="U209"/>
      <c r="V209"/>
      <c r="W209"/>
      <c r="X209"/>
      <c r="Y209"/>
      <c r="Z209"/>
      <c r="AA209"/>
      <c r="AB209"/>
      <c r="AC209"/>
      <c r="AD209"/>
      <c r="AE209"/>
      <c r="AF209"/>
      <c r="AG209" s="278">
        <v>1367638</v>
      </c>
      <c r="AH209" s="280">
        <v>80787</v>
      </c>
      <c r="AI209" s="214">
        <v>43961</v>
      </c>
      <c r="AJ209" s="69" t="s">
        <v>339</v>
      </c>
      <c r="AK209"/>
      <c r="AL209"/>
      <c r="AM209"/>
      <c r="AN209"/>
      <c r="AO209"/>
      <c r="AP209"/>
      <c r="AQ209"/>
      <c r="AR209"/>
      <c r="AS209"/>
      <c r="AT209"/>
      <c r="AU209"/>
      <c r="AV209"/>
      <c r="AW209"/>
      <c r="AX209"/>
      <c r="AY209"/>
      <c r="AZ209"/>
      <c r="BA209"/>
      <c r="BB209"/>
      <c r="BC209"/>
      <c r="BD209"/>
      <c r="BE209"/>
      <c r="BF209"/>
      <c r="BG209"/>
      <c r="BH209"/>
      <c r="BI209"/>
      <c r="BJ209"/>
      <c r="BK209"/>
    </row>
    <row r="210" spans="3:63" s="69" customFormat="1" x14ac:dyDescent="0.25">
      <c r="C210"/>
      <c r="D210"/>
      <c r="E210"/>
      <c r="F210"/>
      <c r="G210"/>
      <c r="H210"/>
      <c r="I210"/>
      <c r="J210"/>
      <c r="K210"/>
      <c r="L210"/>
      <c r="M210"/>
      <c r="N210"/>
      <c r="O210"/>
      <c r="P210"/>
      <c r="Q210"/>
      <c r="R210"/>
      <c r="S210"/>
      <c r="T210"/>
      <c r="U210"/>
      <c r="V210"/>
      <c r="W210"/>
      <c r="X210"/>
      <c r="Y210"/>
      <c r="Z210"/>
      <c r="AA210"/>
      <c r="AB210"/>
      <c r="AC210"/>
      <c r="AD210"/>
      <c r="AE210"/>
      <c r="AF210"/>
      <c r="AG210" s="278">
        <v>1367638</v>
      </c>
      <c r="AH210" s="280">
        <v>80787</v>
      </c>
      <c r="AI210" s="259">
        <v>43961</v>
      </c>
      <c r="AJ210" s="69" t="s">
        <v>340</v>
      </c>
      <c r="AK210"/>
      <c r="AL210"/>
      <c r="AM210"/>
      <c r="AN210"/>
      <c r="AO210"/>
      <c r="AP210"/>
      <c r="AQ210"/>
      <c r="AR210"/>
      <c r="AS210"/>
      <c r="AT210"/>
      <c r="BA210"/>
      <c r="BB210"/>
      <c r="BC210"/>
      <c r="BD210"/>
      <c r="BE210"/>
      <c r="BF210"/>
      <c r="BG210"/>
      <c r="BH210"/>
      <c r="BI210"/>
      <c r="BJ210"/>
      <c r="BK210"/>
    </row>
    <row r="211" spans="3:63" s="69" customFormat="1" x14ac:dyDescent="0.25">
      <c r="C211"/>
      <c r="D211"/>
      <c r="E211"/>
      <c r="F211"/>
      <c r="G211"/>
      <c r="H211"/>
      <c r="I211"/>
      <c r="J211"/>
      <c r="K211"/>
      <c r="L211"/>
      <c r="M211"/>
      <c r="N211"/>
      <c r="O211"/>
      <c r="P211"/>
      <c r="Q211"/>
      <c r="R211"/>
      <c r="S211"/>
      <c r="T211"/>
      <c r="U211"/>
      <c r="V211"/>
      <c r="W211"/>
      <c r="X211"/>
      <c r="Y211"/>
      <c r="Z211"/>
      <c r="AA211"/>
      <c r="AB211"/>
      <c r="AC211"/>
      <c r="AD211"/>
      <c r="AE211"/>
      <c r="AF211"/>
      <c r="AG211" s="278">
        <v>1385834</v>
      </c>
      <c r="AH211" s="280">
        <v>81795</v>
      </c>
      <c r="AI211" s="214">
        <v>43962</v>
      </c>
      <c r="AJ211" s="69" t="s">
        <v>343</v>
      </c>
      <c r="AK211"/>
      <c r="AL211"/>
      <c r="AM211"/>
      <c r="AN211"/>
      <c r="AO211"/>
      <c r="AP211"/>
      <c r="AQ211"/>
      <c r="AR211"/>
      <c r="AS211"/>
      <c r="AT211"/>
      <c r="BA211"/>
      <c r="BB211"/>
      <c r="BC211"/>
      <c r="BD211"/>
      <c r="BE211"/>
      <c r="BF211"/>
      <c r="BH211"/>
      <c r="BI211"/>
      <c r="BJ211"/>
      <c r="BK211"/>
    </row>
    <row r="212" spans="3:63" s="69" customFormat="1" x14ac:dyDescent="0.25">
      <c r="C212"/>
      <c r="D212"/>
      <c r="E212"/>
      <c r="F212"/>
      <c r="G212"/>
      <c r="H212"/>
      <c r="I212"/>
      <c r="J212"/>
      <c r="K212"/>
      <c r="L212"/>
      <c r="M212"/>
      <c r="N212"/>
      <c r="O212"/>
      <c r="P212"/>
      <c r="Q212"/>
      <c r="R212"/>
      <c r="S212"/>
      <c r="T212"/>
      <c r="U212"/>
      <c r="V212"/>
      <c r="W212"/>
      <c r="X212"/>
      <c r="Y212"/>
      <c r="Z212"/>
      <c r="AA212"/>
      <c r="AB212"/>
      <c r="AC212"/>
      <c r="AD212"/>
      <c r="AE212"/>
      <c r="AF212"/>
      <c r="AG212" s="278">
        <v>1385834</v>
      </c>
      <c r="AH212" s="280">
        <v>81795</v>
      </c>
      <c r="AI212" s="259">
        <v>43962</v>
      </c>
      <c r="AJ212" s="69" t="s">
        <v>344</v>
      </c>
      <c r="AK212"/>
      <c r="AL212"/>
      <c r="AM212"/>
      <c r="AN212"/>
      <c r="AO212"/>
      <c r="AP212"/>
      <c r="AQ212"/>
      <c r="AR212"/>
      <c r="AS212"/>
      <c r="AT212"/>
      <c r="AU212"/>
      <c r="AV212"/>
      <c r="AW212"/>
      <c r="AX212"/>
      <c r="AY212"/>
      <c r="AZ212"/>
      <c r="BA212"/>
      <c r="BB212"/>
      <c r="BC212"/>
      <c r="BD212"/>
      <c r="BE212"/>
      <c r="BF212"/>
      <c r="BH212"/>
      <c r="BI212"/>
      <c r="BJ212"/>
      <c r="BK212"/>
    </row>
    <row r="213" spans="3:63" s="69" customFormat="1" x14ac:dyDescent="0.25">
      <c r="C213"/>
      <c r="D213"/>
      <c r="E213"/>
      <c r="F213"/>
      <c r="G213"/>
      <c r="H213"/>
      <c r="I213"/>
      <c r="J213"/>
      <c r="K213"/>
      <c r="L213"/>
      <c r="M213"/>
      <c r="N213"/>
      <c r="O213"/>
      <c r="P213"/>
      <c r="Q213"/>
      <c r="R213"/>
      <c r="S213"/>
      <c r="T213"/>
      <c r="U213"/>
      <c r="V213"/>
      <c r="W213"/>
      <c r="X213"/>
      <c r="Y213"/>
      <c r="Z213"/>
      <c r="AA213"/>
      <c r="AB213"/>
      <c r="AC213"/>
      <c r="AD213"/>
      <c r="AE213"/>
      <c r="AF213"/>
      <c r="AG213" s="278">
        <v>1385834</v>
      </c>
      <c r="AH213" s="280">
        <v>81795</v>
      </c>
      <c r="AI213" s="259">
        <v>43962</v>
      </c>
      <c r="AJ213" s="69" t="s">
        <v>547</v>
      </c>
      <c r="AK213"/>
      <c r="AL213"/>
      <c r="AM213"/>
      <c r="AN213"/>
      <c r="AO213"/>
      <c r="AP213"/>
      <c r="AQ213"/>
      <c r="AR213"/>
      <c r="AS213"/>
      <c r="AT213"/>
      <c r="AU213"/>
      <c r="AV213"/>
      <c r="AW213"/>
      <c r="AX213"/>
      <c r="AY213"/>
      <c r="AZ213"/>
      <c r="BA213"/>
      <c r="BB213"/>
      <c r="BC213"/>
      <c r="BD213"/>
      <c r="BE213"/>
      <c r="BF213"/>
      <c r="BG213"/>
      <c r="BH213"/>
      <c r="BI213"/>
      <c r="BJ213"/>
      <c r="BK213"/>
    </row>
    <row r="214" spans="3:63" s="69" customFormat="1" x14ac:dyDescent="0.25">
      <c r="C214"/>
      <c r="D214"/>
      <c r="E214"/>
      <c r="F214"/>
      <c r="G214"/>
      <c r="H214"/>
      <c r="I214"/>
      <c r="J214"/>
      <c r="K214"/>
      <c r="L214"/>
      <c r="M214"/>
      <c r="N214"/>
      <c r="O214"/>
      <c r="P214"/>
      <c r="Q214"/>
      <c r="R214"/>
      <c r="S214"/>
      <c r="T214"/>
      <c r="U214"/>
      <c r="V214"/>
      <c r="W214"/>
      <c r="X214"/>
      <c r="Y214"/>
      <c r="Z214"/>
      <c r="AA214"/>
      <c r="AB214"/>
      <c r="AC214"/>
      <c r="AD214"/>
      <c r="AE214"/>
      <c r="AF214"/>
      <c r="AG214" s="278">
        <v>1385834</v>
      </c>
      <c r="AH214" s="280">
        <v>81795</v>
      </c>
      <c r="AI214" s="165">
        <v>43962</v>
      </c>
      <c r="AJ214" s="69" t="s">
        <v>349</v>
      </c>
      <c r="AK214"/>
      <c r="AL214"/>
      <c r="AM214"/>
      <c r="AN214"/>
      <c r="AO214"/>
      <c r="AP214"/>
      <c r="AQ214"/>
      <c r="AR214"/>
      <c r="AS214"/>
      <c r="AT214"/>
      <c r="AU214"/>
      <c r="AV214"/>
      <c r="AW214"/>
      <c r="AX214"/>
      <c r="AY214"/>
      <c r="AZ214"/>
      <c r="BG214"/>
      <c r="BH214"/>
      <c r="BI214"/>
      <c r="BJ214"/>
      <c r="BK214"/>
    </row>
    <row r="215" spans="3:63" s="69" customFormat="1" x14ac:dyDescent="0.25">
      <c r="AG215" s="278">
        <v>1385834</v>
      </c>
      <c r="AH215" s="280">
        <v>81795</v>
      </c>
      <c r="AI215" s="165">
        <v>43962</v>
      </c>
      <c r="AJ215" s="69" t="s">
        <v>347</v>
      </c>
      <c r="AU215"/>
      <c r="AV215"/>
      <c r="AW215"/>
      <c r="AX215"/>
      <c r="AY215"/>
      <c r="AZ215"/>
      <c r="BF215"/>
      <c r="BH215"/>
      <c r="BI215"/>
      <c r="BJ215"/>
      <c r="BK215"/>
    </row>
    <row r="216" spans="3:63" s="69" customFormat="1" x14ac:dyDescent="0.25">
      <c r="AG216" s="278">
        <v>1385834</v>
      </c>
      <c r="AH216" s="280">
        <v>81795</v>
      </c>
      <c r="AI216" s="259">
        <v>43962</v>
      </c>
      <c r="AJ216" s="69" t="s">
        <v>348</v>
      </c>
      <c r="BF216"/>
      <c r="BH216"/>
      <c r="BI216"/>
      <c r="BJ216"/>
      <c r="BK216"/>
    </row>
    <row r="217" spans="3:63" s="69" customFormat="1" x14ac:dyDescent="0.25">
      <c r="C217"/>
      <c r="D217"/>
      <c r="E217"/>
      <c r="F217"/>
      <c r="G217"/>
      <c r="H217"/>
      <c r="I217"/>
      <c r="J217"/>
      <c r="K217"/>
      <c r="L217"/>
      <c r="M217"/>
      <c r="N217"/>
      <c r="O217"/>
      <c r="P217"/>
      <c r="Q217"/>
      <c r="R217"/>
      <c r="S217"/>
      <c r="T217"/>
      <c r="U217"/>
      <c r="V217"/>
      <c r="W217"/>
      <c r="X217"/>
      <c r="Y217"/>
      <c r="Z217"/>
      <c r="AA217"/>
      <c r="AB217"/>
      <c r="AC217"/>
      <c r="AD217"/>
      <c r="AE217"/>
      <c r="AF217"/>
      <c r="AG217" s="278">
        <v>1408636</v>
      </c>
      <c r="AH217" s="280">
        <v>83425</v>
      </c>
      <c r="AI217" s="259">
        <v>43963</v>
      </c>
      <c r="AJ217" t="s">
        <v>346</v>
      </c>
      <c r="AK217"/>
      <c r="AL217"/>
      <c r="AM217"/>
      <c r="AN217"/>
      <c r="AO217"/>
      <c r="AP217"/>
      <c r="AQ217"/>
      <c r="AR217"/>
      <c r="AS217"/>
      <c r="AT217"/>
      <c r="AU217"/>
      <c r="AV217"/>
      <c r="AW217"/>
      <c r="AX217"/>
      <c r="AY217"/>
      <c r="AZ217"/>
      <c r="BF217"/>
      <c r="BH217"/>
      <c r="BI217"/>
      <c r="BJ217"/>
      <c r="BK217"/>
    </row>
    <row r="218" spans="3:63" x14ac:dyDescent="0.25">
      <c r="AG218" s="278">
        <v>1430347</v>
      </c>
      <c r="AH218" s="280">
        <v>85197</v>
      </c>
      <c r="AI218" s="259">
        <v>43964</v>
      </c>
      <c r="AJ218" t="s">
        <v>350</v>
      </c>
      <c r="BG218" s="69"/>
    </row>
    <row r="219" spans="3:63" x14ac:dyDescent="0.25">
      <c r="AG219" s="278">
        <v>1430347</v>
      </c>
      <c r="AH219" s="280">
        <v>85197</v>
      </c>
      <c r="AI219" s="214">
        <v>43964</v>
      </c>
      <c r="AJ219" t="s">
        <v>362</v>
      </c>
      <c r="AK219" s="214">
        <f>AI219+14</f>
        <v>43978</v>
      </c>
      <c r="BG219" s="69"/>
    </row>
    <row r="220" spans="3:63" x14ac:dyDescent="0.25">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c r="AD220" s="69"/>
      <c r="AE220" s="69"/>
      <c r="AF220" s="69"/>
      <c r="AG220" s="278">
        <v>1484285</v>
      </c>
      <c r="AH220" s="280">
        <v>88507</v>
      </c>
      <c r="AI220" s="214">
        <v>43966</v>
      </c>
      <c r="AJ220" t="s">
        <v>363</v>
      </c>
      <c r="AK220" s="69"/>
      <c r="AL220" s="69"/>
      <c r="AM220" s="69"/>
      <c r="AN220" s="69"/>
      <c r="AO220" s="69"/>
      <c r="AP220" s="69"/>
      <c r="AQ220" s="69"/>
      <c r="AR220" s="69"/>
      <c r="AS220" s="69"/>
      <c r="AT220" s="69"/>
    </row>
    <row r="221" spans="3:63" x14ac:dyDescent="0.25">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c r="AD221" s="69"/>
      <c r="AE221" s="69"/>
      <c r="AF221" s="69"/>
      <c r="AG221" s="278">
        <v>1484285</v>
      </c>
      <c r="AH221" s="280">
        <v>88507</v>
      </c>
      <c r="AI221" s="165">
        <v>43966</v>
      </c>
      <c r="AJ221" s="69" t="s">
        <v>364</v>
      </c>
      <c r="AL221" s="69"/>
      <c r="AM221" s="69"/>
      <c r="AN221" s="69"/>
      <c r="AO221" s="69"/>
      <c r="AP221" s="69"/>
      <c r="AQ221" s="69"/>
      <c r="AR221" s="69"/>
      <c r="AS221" s="69"/>
      <c r="AT221" s="69"/>
    </row>
    <row r="222" spans="3:63" x14ac:dyDescent="0.25">
      <c r="AG222" s="278">
        <v>1484285</v>
      </c>
      <c r="AH222" s="280">
        <v>88507</v>
      </c>
      <c r="AI222" s="259">
        <v>43966</v>
      </c>
      <c r="AJ222" s="69" t="s">
        <v>365</v>
      </c>
    </row>
    <row r="223" spans="3:63" s="69" customFormat="1" x14ac:dyDescent="0.25">
      <c r="C223"/>
      <c r="D223"/>
      <c r="E223"/>
      <c r="F223"/>
      <c r="G223"/>
      <c r="H223"/>
      <c r="I223"/>
      <c r="J223"/>
      <c r="K223"/>
      <c r="L223"/>
      <c r="M223"/>
      <c r="N223"/>
      <c r="O223"/>
      <c r="P223"/>
      <c r="Q223"/>
      <c r="R223"/>
      <c r="S223"/>
      <c r="T223"/>
      <c r="U223"/>
      <c r="V223"/>
      <c r="W223"/>
      <c r="X223"/>
      <c r="Y223"/>
      <c r="Z223"/>
      <c r="AA223"/>
      <c r="AB223"/>
      <c r="AC223"/>
      <c r="AD223"/>
      <c r="AE223"/>
      <c r="AF223"/>
      <c r="AG223" s="278">
        <v>1507773</v>
      </c>
      <c r="AH223" s="280">
        <v>90113</v>
      </c>
      <c r="AI223" s="259">
        <v>43967</v>
      </c>
      <c r="AJ223" s="69" t="s">
        <v>366</v>
      </c>
      <c r="AK223"/>
      <c r="AL223"/>
      <c r="AM223"/>
      <c r="AN223"/>
      <c r="AO223"/>
      <c r="AP223"/>
      <c r="AQ223"/>
      <c r="AR223"/>
      <c r="AS223"/>
      <c r="AT223"/>
      <c r="AU223"/>
      <c r="AV223"/>
      <c r="AW223"/>
      <c r="AX223"/>
      <c r="AY223"/>
      <c r="AZ223"/>
      <c r="BF223"/>
      <c r="BG223"/>
    </row>
    <row r="224" spans="3:63" x14ac:dyDescent="0.25">
      <c r="AG224" s="278">
        <v>1507773</v>
      </c>
      <c r="AH224" s="280">
        <v>90113</v>
      </c>
      <c r="AI224" s="165">
        <v>43967</v>
      </c>
      <c r="AJ224" s="69" t="s">
        <v>383</v>
      </c>
      <c r="AU224" s="69"/>
      <c r="AV224" s="69"/>
      <c r="AW224" s="69"/>
      <c r="AX224" s="69"/>
      <c r="AY224" s="69"/>
      <c r="AZ224" s="69"/>
      <c r="BA224" s="69"/>
      <c r="BB224" s="69"/>
      <c r="BC224" s="69"/>
      <c r="BD224" s="69"/>
      <c r="BE224" s="69"/>
      <c r="BG224" s="69"/>
    </row>
    <row r="225" spans="3:63" x14ac:dyDescent="0.25">
      <c r="AG225" s="278">
        <v>1527664</v>
      </c>
      <c r="AH225" s="280">
        <v>90978</v>
      </c>
      <c r="AI225" s="214">
        <v>43968</v>
      </c>
      <c r="AJ225" t="s">
        <v>373</v>
      </c>
      <c r="AU225" s="69"/>
      <c r="AV225" s="69"/>
      <c r="AW225" s="69"/>
      <c r="AX225" s="69"/>
      <c r="AY225" s="69"/>
      <c r="AZ225" s="69"/>
    </row>
    <row r="226" spans="3:63" x14ac:dyDescent="0.25">
      <c r="AG226" s="278">
        <v>1527664</v>
      </c>
      <c r="AH226" s="280">
        <v>90978</v>
      </c>
      <c r="AI226" s="259">
        <v>43968</v>
      </c>
      <c r="AJ226" t="s">
        <v>367</v>
      </c>
      <c r="BH226" s="69"/>
      <c r="BI226" s="69"/>
      <c r="BJ226" s="69"/>
      <c r="BK226" s="69"/>
    </row>
    <row r="227" spans="3:63" x14ac:dyDescent="0.25">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c r="AD227" s="69"/>
      <c r="AE227" s="69"/>
      <c r="AF227" s="69"/>
      <c r="AG227" s="69"/>
      <c r="AH227" s="278">
        <v>1570583</v>
      </c>
      <c r="AI227" s="280">
        <v>93533</v>
      </c>
      <c r="AJ227" s="259">
        <v>43970</v>
      </c>
      <c r="AK227" t="s">
        <v>371</v>
      </c>
      <c r="AL227" s="69"/>
      <c r="AM227" s="69"/>
      <c r="AN227" s="69"/>
      <c r="AO227" s="69"/>
      <c r="AP227" s="69"/>
      <c r="AQ227" s="69"/>
      <c r="AR227" s="69"/>
      <c r="AS227" s="69"/>
      <c r="AT227" s="69"/>
      <c r="BH227" s="69"/>
      <c r="BI227" s="69"/>
      <c r="BJ227" s="69"/>
      <c r="BK227" s="69"/>
    </row>
    <row r="228" spans="3:63" x14ac:dyDescent="0.25">
      <c r="AH228" s="278">
        <v>1570583</v>
      </c>
      <c r="AI228" s="280">
        <v>93533</v>
      </c>
      <c r="AJ228" s="214">
        <v>43970</v>
      </c>
      <c r="AK228" t="s">
        <v>374</v>
      </c>
    </row>
    <row r="229" spans="3:63" x14ac:dyDescent="0.25">
      <c r="AH229" s="278">
        <v>1570583</v>
      </c>
      <c r="AI229" s="280">
        <v>93533</v>
      </c>
      <c r="AJ229" s="259">
        <v>43970</v>
      </c>
      <c r="AK229" t="s">
        <v>369</v>
      </c>
      <c r="AU229" s="69"/>
      <c r="AV229" s="69"/>
      <c r="AW229" s="69"/>
      <c r="AX229" s="69"/>
      <c r="AY229" s="69"/>
      <c r="AZ229" s="69"/>
    </row>
    <row r="230" spans="3:63" x14ac:dyDescent="0.25">
      <c r="AH230" s="278">
        <v>1570583</v>
      </c>
      <c r="AI230" s="280">
        <v>93533</v>
      </c>
      <c r="AJ230" s="259">
        <v>43970</v>
      </c>
      <c r="AK230" t="s">
        <v>372</v>
      </c>
      <c r="AU230" s="69"/>
      <c r="AV230" s="69"/>
      <c r="AW230" s="69"/>
      <c r="AX230" s="69"/>
      <c r="AY230" s="69"/>
      <c r="AZ230" s="69"/>
      <c r="BF230" s="69"/>
      <c r="BG230" s="69"/>
      <c r="BH230" s="69"/>
      <c r="BI230" s="69"/>
      <c r="BJ230" s="69"/>
      <c r="BK230" s="69"/>
    </row>
    <row r="231" spans="3:63" x14ac:dyDescent="0.25">
      <c r="AH231" s="278">
        <v>1570583</v>
      </c>
      <c r="AI231" s="280">
        <v>93533</v>
      </c>
      <c r="AJ231" s="214">
        <v>43970</v>
      </c>
      <c r="AK231" t="s">
        <v>375</v>
      </c>
      <c r="BF231" s="69"/>
      <c r="BG231" s="69"/>
    </row>
    <row r="232" spans="3:63" x14ac:dyDescent="0.25">
      <c r="AH232" s="278">
        <v>1570583</v>
      </c>
      <c r="AI232" s="280">
        <v>93533</v>
      </c>
      <c r="AJ232" s="214">
        <v>43970</v>
      </c>
      <c r="AK232" t="s">
        <v>370</v>
      </c>
      <c r="BF232" s="69"/>
      <c r="BH232" s="69"/>
      <c r="BI232" s="69"/>
      <c r="BJ232" s="69"/>
      <c r="BK232" s="69"/>
    </row>
    <row r="233" spans="3:63" x14ac:dyDescent="0.25">
      <c r="AH233" s="278">
        <v>1570583</v>
      </c>
      <c r="AI233" s="280">
        <v>93533</v>
      </c>
      <c r="AJ233" s="214">
        <v>43970</v>
      </c>
      <c r="AK233" t="s">
        <v>387</v>
      </c>
      <c r="BF233" s="69"/>
      <c r="BH233" s="69"/>
      <c r="BI233" s="69"/>
      <c r="BJ233" s="69"/>
      <c r="BK233" s="69"/>
    </row>
    <row r="234" spans="3:63" x14ac:dyDescent="0.25">
      <c r="AH234" s="278">
        <v>1570583</v>
      </c>
      <c r="AI234" s="280">
        <v>93533</v>
      </c>
      <c r="AJ234" s="214">
        <v>43970</v>
      </c>
      <c r="AK234" t="s">
        <v>391</v>
      </c>
    </row>
    <row r="235" spans="3:63" x14ac:dyDescent="0.25">
      <c r="AH235" s="278">
        <v>1591991</v>
      </c>
      <c r="AI235" s="280">
        <v>94994</v>
      </c>
      <c r="AJ235" s="214">
        <v>43971</v>
      </c>
      <c r="AK235" t="s">
        <v>376</v>
      </c>
    </row>
    <row r="236" spans="3:63" s="69" customFormat="1" x14ac:dyDescent="0.25">
      <c r="C236"/>
      <c r="D236"/>
      <c r="E236"/>
      <c r="F236"/>
      <c r="G236"/>
      <c r="H236"/>
      <c r="I236"/>
      <c r="J236"/>
      <c r="K236"/>
      <c r="L236"/>
      <c r="M236"/>
      <c r="N236"/>
      <c r="O236"/>
      <c r="P236"/>
      <c r="Q236"/>
      <c r="R236"/>
      <c r="S236"/>
      <c r="T236"/>
      <c r="U236"/>
      <c r="V236"/>
      <c r="W236"/>
      <c r="X236"/>
      <c r="Y236"/>
      <c r="Z236"/>
      <c r="AA236"/>
      <c r="AB236"/>
      <c r="AC236"/>
      <c r="AD236"/>
      <c r="AE236"/>
      <c r="AF236"/>
      <c r="AG236"/>
      <c r="AH236" s="278">
        <v>1591991</v>
      </c>
      <c r="AI236" s="280">
        <v>94994</v>
      </c>
      <c r="AJ236" s="214">
        <v>43971</v>
      </c>
      <c r="AK236" t="s">
        <v>396</v>
      </c>
      <c r="AL236"/>
      <c r="AM236"/>
      <c r="AN236"/>
      <c r="AO236"/>
      <c r="AP236"/>
      <c r="AQ236"/>
      <c r="AR236"/>
      <c r="AS236"/>
      <c r="AT236"/>
      <c r="BF236"/>
      <c r="BG236"/>
      <c r="BH236"/>
      <c r="BI236"/>
      <c r="BJ236"/>
      <c r="BK236"/>
    </row>
    <row r="237" spans="3:63" s="69" customFormat="1" x14ac:dyDescent="0.25">
      <c r="C237"/>
      <c r="D237"/>
      <c r="E237"/>
      <c r="F237"/>
      <c r="G237"/>
      <c r="H237"/>
      <c r="I237"/>
      <c r="J237"/>
      <c r="K237"/>
      <c r="L237"/>
      <c r="M237"/>
      <c r="N237"/>
      <c r="O237"/>
      <c r="P237"/>
      <c r="Q237"/>
      <c r="R237"/>
      <c r="S237"/>
      <c r="T237"/>
      <c r="U237"/>
      <c r="V237"/>
      <c r="W237"/>
      <c r="X237"/>
      <c r="Y237"/>
      <c r="Z237"/>
      <c r="AA237"/>
      <c r="AB237"/>
      <c r="AC237"/>
      <c r="AD237"/>
      <c r="AE237"/>
      <c r="AF237"/>
      <c r="AG237"/>
      <c r="AH237" s="278">
        <v>1591991</v>
      </c>
      <c r="AI237" s="280">
        <v>94994</v>
      </c>
      <c r="AJ237" s="214">
        <v>43971</v>
      </c>
      <c r="AK237" t="s">
        <v>422</v>
      </c>
      <c r="AL237"/>
      <c r="AM237"/>
      <c r="AN237"/>
      <c r="AO237"/>
      <c r="AP237"/>
      <c r="AQ237"/>
      <c r="AR237"/>
      <c r="AS237"/>
      <c r="AT237"/>
      <c r="AU237"/>
      <c r="AV237"/>
      <c r="AW237"/>
      <c r="AX237"/>
      <c r="AY237"/>
      <c r="AZ237"/>
      <c r="BF237"/>
      <c r="BG237"/>
      <c r="BH237"/>
      <c r="BI237"/>
      <c r="BJ237"/>
      <c r="BK237"/>
    </row>
    <row r="238" spans="3:63" s="69" customFormat="1" x14ac:dyDescent="0.25">
      <c r="C238"/>
      <c r="D238"/>
      <c r="E238"/>
      <c r="F238"/>
      <c r="G238"/>
      <c r="H238"/>
      <c r="I238"/>
      <c r="J238"/>
      <c r="K238"/>
      <c r="L238"/>
      <c r="M238"/>
      <c r="N238"/>
      <c r="O238"/>
      <c r="P238"/>
      <c r="Q238"/>
      <c r="R238"/>
      <c r="S238"/>
      <c r="T238"/>
      <c r="U238"/>
      <c r="V238"/>
      <c r="W238"/>
      <c r="X238"/>
      <c r="Y238"/>
      <c r="Z238"/>
      <c r="AA238"/>
      <c r="AB238"/>
      <c r="AC238"/>
      <c r="AD238"/>
      <c r="AE238"/>
      <c r="AF238"/>
      <c r="AG238"/>
      <c r="AH238" s="278">
        <v>1620902</v>
      </c>
      <c r="AI238" s="280">
        <v>96354</v>
      </c>
      <c r="AJ238" s="214">
        <v>43972</v>
      </c>
      <c r="AK238" t="s">
        <v>377</v>
      </c>
      <c r="AL238"/>
      <c r="AM238"/>
      <c r="AN238"/>
      <c r="AO238"/>
      <c r="AP238"/>
      <c r="AQ238"/>
      <c r="AR238"/>
      <c r="AS238"/>
      <c r="AT238"/>
      <c r="AU238"/>
      <c r="AV238"/>
      <c r="AW238"/>
      <c r="AX238"/>
      <c r="AY238"/>
      <c r="AZ238"/>
      <c r="BA238"/>
      <c r="BB238"/>
      <c r="BC238"/>
      <c r="BD238"/>
      <c r="BE238"/>
      <c r="BF238"/>
      <c r="BG238"/>
      <c r="BH238"/>
      <c r="BI238"/>
      <c r="BJ238"/>
      <c r="BK238"/>
    </row>
    <row r="239" spans="3:63" x14ac:dyDescent="0.25">
      <c r="AH239" s="278">
        <v>1620902</v>
      </c>
      <c r="AI239" s="280">
        <v>96354</v>
      </c>
      <c r="AJ239" s="259">
        <v>43972</v>
      </c>
      <c r="AK239" t="s">
        <v>390</v>
      </c>
      <c r="BF239" s="69"/>
      <c r="BH239" s="69"/>
      <c r="BI239" s="69"/>
      <c r="BJ239" s="69"/>
      <c r="BK239" s="69"/>
    </row>
    <row r="240" spans="3:63" x14ac:dyDescent="0.25">
      <c r="AH240" s="278">
        <v>1620902</v>
      </c>
      <c r="AI240" s="280">
        <v>96354</v>
      </c>
      <c r="AJ240" s="259">
        <v>43972</v>
      </c>
      <c r="AK240" t="s">
        <v>380</v>
      </c>
      <c r="BF240" s="69"/>
    </row>
    <row r="241" spans="3:63" x14ac:dyDescent="0.25">
      <c r="AH241" s="278">
        <v>1620902</v>
      </c>
      <c r="AI241" s="280">
        <v>96354</v>
      </c>
      <c r="AJ241" s="214">
        <v>43972</v>
      </c>
      <c r="AK241" t="s">
        <v>379</v>
      </c>
    </row>
    <row r="242" spans="3:63" x14ac:dyDescent="0.25">
      <c r="AH242" s="278">
        <v>1620902</v>
      </c>
      <c r="AI242" s="280">
        <v>96354</v>
      </c>
      <c r="AJ242" s="259">
        <v>43972</v>
      </c>
      <c r="AK242" t="s">
        <v>378</v>
      </c>
    </row>
    <row r="243" spans="3:63" x14ac:dyDescent="0.25">
      <c r="AH243" s="278">
        <v>1620902</v>
      </c>
      <c r="AI243" s="280">
        <v>96354</v>
      </c>
      <c r="AJ243" s="259">
        <v>43972</v>
      </c>
      <c r="AK243" t="s">
        <v>421</v>
      </c>
      <c r="BA243" s="69"/>
      <c r="BB243" s="69"/>
      <c r="BC243" s="69"/>
      <c r="BD243" s="69"/>
      <c r="BE243" s="69"/>
      <c r="BG243" s="69"/>
    </row>
    <row r="244" spans="3:63" x14ac:dyDescent="0.25">
      <c r="AH244" s="278">
        <v>1620902</v>
      </c>
      <c r="AI244" s="280">
        <v>96354</v>
      </c>
      <c r="AJ244" s="259">
        <v>43972</v>
      </c>
      <c r="AK244" t="s">
        <v>423</v>
      </c>
      <c r="BG244" s="69"/>
    </row>
    <row r="245" spans="3:63" x14ac:dyDescent="0.25">
      <c r="AH245" s="278">
        <v>1645094</v>
      </c>
      <c r="AI245" s="280">
        <v>97647</v>
      </c>
      <c r="AJ245" s="165">
        <v>43973</v>
      </c>
      <c r="AK245" t="s">
        <v>388</v>
      </c>
      <c r="BG245" s="69"/>
    </row>
    <row r="246" spans="3:63" x14ac:dyDescent="0.25">
      <c r="AH246" s="278">
        <v>1645094</v>
      </c>
      <c r="AI246" s="280">
        <v>97647</v>
      </c>
      <c r="AJ246" s="165">
        <v>43973</v>
      </c>
      <c r="AK246" t="s">
        <v>394</v>
      </c>
    </row>
    <row r="247" spans="3:63" x14ac:dyDescent="0.25">
      <c r="AH247" s="278">
        <v>1645094</v>
      </c>
      <c r="AI247" s="280">
        <v>97647</v>
      </c>
      <c r="AJ247" s="165">
        <v>43973</v>
      </c>
      <c r="AK247" t="s">
        <v>507</v>
      </c>
    </row>
    <row r="248" spans="3:63" x14ac:dyDescent="0.25">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c r="AA248" s="69"/>
      <c r="AB248" s="69"/>
      <c r="AC248" s="69"/>
      <c r="AD248" s="69"/>
      <c r="AE248" s="69"/>
      <c r="AF248" s="69"/>
      <c r="AG248" s="69"/>
      <c r="AH248" s="278">
        <v>1645094</v>
      </c>
      <c r="AI248" s="280">
        <v>97647</v>
      </c>
      <c r="AJ248" s="259">
        <v>43973</v>
      </c>
      <c r="AK248" t="s">
        <v>386</v>
      </c>
      <c r="AL248" s="69"/>
      <c r="AM248" s="69"/>
      <c r="AN248" s="69"/>
      <c r="AO248" s="69"/>
      <c r="AP248" s="69"/>
      <c r="AQ248" s="69"/>
      <c r="AR248" s="69"/>
      <c r="AS248" s="69"/>
      <c r="AT248" s="69"/>
    </row>
    <row r="249" spans="3:63" x14ac:dyDescent="0.25">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c r="AA249" s="69"/>
      <c r="AB249" s="69"/>
      <c r="AC249" s="69"/>
      <c r="AD249" s="69"/>
      <c r="AE249" s="69"/>
      <c r="AF249" s="69"/>
      <c r="AG249" s="69"/>
      <c r="AH249" s="278">
        <v>1644899</v>
      </c>
      <c r="AI249" s="280">
        <v>98678</v>
      </c>
      <c r="AJ249" s="165">
        <v>43974</v>
      </c>
      <c r="AK249" s="69" t="s">
        <v>392</v>
      </c>
      <c r="AL249" s="69"/>
      <c r="AM249" s="69"/>
      <c r="AN249" s="69"/>
      <c r="AO249" s="69"/>
      <c r="AP249" s="69"/>
      <c r="AQ249" s="69"/>
      <c r="AR249" s="69"/>
      <c r="AS249" s="69"/>
      <c r="AT249" s="69"/>
    </row>
    <row r="250" spans="3:63" x14ac:dyDescent="0.25">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c r="AA250" s="69"/>
      <c r="AB250" s="69"/>
      <c r="AC250" s="69"/>
      <c r="AD250" s="69"/>
      <c r="AE250" s="69"/>
      <c r="AF250" s="69"/>
      <c r="AG250" s="69"/>
      <c r="AH250" s="278">
        <v>1644899</v>
      </c>
      <c r="AI250" s="280">
        <v>98678</v>
      </c>
      <c r="AJ250" s="165">
        <v>43974</v>
      </c>
      <c r="AK250" s="69" t="s">
        <v>415</v>
      </c>
      <c r="AL250" s="69"/>
      <c r="AM250" s="69"/>
      <c r="AN250" s="69"/>
      <c r="AO250" s="69"/>
      <c r="AP250" s="69"/>
      <c r="AQ250" s="69"/>
      <c r="AR250" s="69"/>
      <c r="AS250" s="69"/>
      <c r="AT250" s="69"/>
    </row>
    <row r="251" spans="3:63" x14ac:dyDescent="0.25">
      <c r="AH251" s="278">
        <v>1686436</v>
      </c>
      <c r="AI251" s="280">
        <v>99293</v>
      </c>
      <c r="AJ251" s="165">
        <v>43975</v>
      </c>
      <c r="AK251" s="69" t="s">
        <v>419</v>
      </c>
    </row>
    <row r="252" spans="3:63" s="69" customFormat="1" x14ac:dyDescent="0.25">
      <c r="C252"/>
      <c r="D252"/>
      <c r="E252"/>
      <c r="F252"/>
      <c r="G252"/>
      <c r="H252"/>
      <c r="I252"/>
      <c r="J252"/>
      <c r="K252"/>
      <c r="L252"/>
      <c r="M252"/>
      <c r="N252"/>
      <c r="O252"/>
      <c r="P252"/>
      <c r="Q252"/>
      <c r="R252"/>
      <c r="S252"/>
      <c r="T252"/>
      <c r="U252"/>
      <c r="V252"/>
      <c r="W252"/>
      <c r="X252"/>
      <c r="Y252"/>
      <c r="Z252"/>
      <c r="AA252"/>
      <c r="AB252"/>
      <c r="AC252"/>
      <c r="AD252"/>
      <c r="AE252"/>
      <c r="AF252"/>
      <c r="AG252"/>
      <c r="AH252" s="278">
        <v>1686436</v>
      </c>
      <c r="AI252" s="280">
        <v>99293</v>
      </c>
      <c r="AJ252" s="165">
        <v>43975</v>
      </c>
      <c r="AK252" s="69" t="s">
        <v>393</v>
      </c>
      <c r="AL252"/>
      <c r="AM252"/>
      <c r="AN252"/>
      <c r="AO252"/>
      <c r="AP252"/>
      <c r="AQ252"/>
      <c r="AR252"/>
      <c r="AS252"/>
      <c r="AT252"/>
      <c r="AU252"/>
      <c r="AV252"/>
      <c r="AW252"/>
      <c r="AX252"/>
      <c r="AY252"/>
      <c r="AZ252"/>
      <c r="BA252"/>
      <c r="BB252"/>
      <c r="BC252"/>
      <c r="BD252"/>
      <c r="BE252"/>
    </row>
    <row r="253" spans="3:63" x14ac:dyDescent="0.25">
      <c r="AH253" s="278">
        <v>1706226</v>
      </c>
      <c r="AI253" s="280">
        <v>99798</v>
      </c>
      <c r="AJ253" s="214">
        <v>43976</v>
      </c>
      <c r="AK253" s="69" t="s">
        <v>411</v>
      </c>
      <c r="BF253" s="69"/>
      <c r="BG253" s="69"/>
      <c r="BH253" s="69"/>
      <c r="BI253" s="69"/>
      <c r="BJ253" s="69"/>
      <c r="BK253" s="69"/>
    </row>
    <row r="254" spans="3:63" x14ac:dyDescent="0.25">
      <c r="AH254" s="278">
        <v>1706226</v>
      </c>
      <c r="AI254" s="280">
        <v>99798</v>
      </c>
      <c r="AJ254" s="259">
        <v>43976</v>
      </c>
      <c r="AK254" s="69" t="s">
        <v>413</v>
      </c>
    </row>
    <row r="255" spans="3:63" s="69" customFormat="1" x14ac:dyDescent="0.25">
      <c r="C255"/>
      <c r="D255"/>
      <c r="E255"/>
      <c r="F255"/>
      <c r="G255"/>
      <c r="H255"/>
      <c r="I255"/>
      <c r="J255"/>
      <c r="K255"/>
      <c r="L255"/>
      <c r="M255"/>
      <c r="N255"/>
      <c r="O255"/>
      <c r="P255"/>
      <c r="Q255"/>
      <c r="R255"/>
      <c r="S255"/>
      <c r="T255"/>
      <c r="U255"/>
      <c r="V255"/>
      <c r="W255"/>
      <c r="X255"/>
      <c r="Y255"/>
      <c r="Z255"/>
      <c r="AA255"/>
      <c r="AB255"/>
      <c r="AC255"/>
      <c r="AD255"/>
      <c r="AE255"/>
      <c r="AF255"/>
      <c r="AG255"/>
      <c r="AH255" s="278">
        <v>1706226</v>
      </c>
      <c r="AI255" s="280">
        <v>99798</v>
      </c>
      <c r="AJ255" s="259">
        <v>43976</v>
      </c>
      <c r="AK255" s="69" t="s">
        <v>410</v>
      </c>
      <c r="AM255"/>
      <c r="AN255"/>
      <c r="AO255"/>
      <c r="AP255"/>
      <c r="AQ255"/>
      <c r="AR255"/>
      <c r="AS255"/>
      <c r="AT255"/>
      <c r="AU255"/>
      <c r="AV255"/>
      <c r="AW255"/>
      <c r="AX255"/>
      <c r="AY255"/>
      <c r="AZ255"/>
      <c r="BA255"/>
      <c r="BB255"/>
      <c r="BC255"/>
      <c r="BD255"/>
      <c r="BE255"/>
      <c r="BF255"/>
      <c r="BG255"/>
      <c r="BH255"/>
      <c r="BI255"/>
      <c r="BJ255"/>
      <c r="BK255"/>
    </row>
    <row r="256" spans="3:63" s="69" customFormat="1" x14ac:dyDescent="0.25">
      <c r="C256"/>
      <c r="D256"/>
      <c r="E256"/>
      <c r="F256"/>
      <c r="G256"/>
      <c r="H256"/>
      <c r="I256"/>
      <c r="J256"/>
      <c r="K256"/>
      <c r="L256"/>
      <c r="M256"/>
      <c r="N256"/>
      <c r="O256"/>
      <c r="P256"/>
      <c r="Q256"/>
      <c r="R256"/>
      <c r="S256"/>
      <c r="T256"/>
      <c r="U256"/>
      <c r="V256"/>
      <c r="W256"/>
      <c r="X256"/>
      <c r="Y256"/>
      <c r="Z256"/>
      <c r="AA256"/>
      <c r="AB256"/>
      <c r="AC256"/>
      <c r="AD256"/>
      <c r="AE256"/>
      <c r="AF256"/>
      <c r="AG256"/>
      <c r="AH256" s="278">
        <v>1706226</v>
      </c>
      <c r="AI256" s="280">
        <v>99798</v>
      </c>
      <c r="AJ256" s="259">
        <v>43976</v>
      </c>
      <c r="AK256" s="69" t="s">
        <v>412</v>
      </c>
      <c r="AL256"/>
      <c r="AM256"/>
      <c r="AN256"/>
      <c r="AO256"/>
      <c r="AP256"/>
      <c r="AQ256"/>
      <c r="AR256"/>
      <c r="AS256"/>
      <c r="AT256"/>
      <c r="AU256"/>
      <c r="AV256"/>
      <c r="AW256"/>
      <c r="AX256"/>
      <c r="AY256"/>
      <c r="AZ256"/>
      <c r="BA256"/>
      <c r="BB256"/>
      <c r="BC256"/>
      <c r="BD256"/>
      <c r="BE256"/>
      <c r="BF256"/>
      <c r="BG256"/>
      <c r="BH256"/>
      <c r="BI256"/>
      <c r="BJ256"/>
      <c r="BK256"/>
    </row>
    <row r="257" spans="3:63" x14ac:dyDescent="0.25">
      <c r="AH257" s="278">
        <v>1706226</v>
      </c>
      <c r="AI257" s="280">
        <v>99798</v>
      </c>
      <c r="AJ257" s="259">
        <v>43976</v>
      </c>
      <c r="AK257" s="69" t="s">
        <v>417</v>
      </c>
      <c r="AU257" s="69"/>
      <c r="AV257" s="69"/>
      <c r="AW257" s="69"/>
      <c r="AX257" s="69"/>
      <c r="AY257" s="69"/>
      <c r="AZ257" s="69"/>
      <c r="BA257" s="69"/>
      <c r="BB257" s="69"/>
      <c r="BC257" s="69"/>
      <c r="BD257" s="69"/>
      <c r="BE257" s="69"/>
    </row>
    <row r="258" spans="3:63" x14ac:dyDescent="0.25">
      <c r="AH258" s="278">
        <v>1706226</v>
      </c>
      <c r="AI258" s="280">
        <v>99798</v>
      </c>
      <c r="AJ258" s="214">
        <v>43976</v>
      </c>
      <c r="AK258" s="69" t="s">
        <v>418</v>
      </c>
      <c r="AU258" s="69"/>
      <c r="AV258" s="69"/>
      <c r="AW258" s="69"/>
      <c r="AX258" s="69"/>
      <c r="AY258" s="69"/>
      <c r="AZ258" s="69"/>
      <c r="BA258" s="69"/>
      <c r="BB258" s="69"/>
      <c r="BC258" s="69"/>
      <c r="BD258" s="69"/>
      <c r="BE258" s="69"/>
    </row>
    <row r="259" spans="3:63" s="69" customFormat="1" x14ac:dyDescent="0.25">
      <c r="C259"/>
      <c r="D259"/>
      <c r="E259"/>
      <c r="F259"/>
      <c r="G259"/>
      <c r="H259"/>
      <c r="I259"/>
      <c r="J259"/>
      <c r="K259"/>
      <c r="L259"/>
      <c r="M259"/>
      <c r="N259"/>
      <c r="O259"/>
      <c r="P259"/>
      <c r="Q259"/>
      <c r="R259"/>
      <c r="S259"/>
      <c r="T259"/>
      <c r="U259"/>
      <c r="V259"/>
      <c r="W259"/>
      <c r="X259"/>
      <c r="Y259"/>
      <c r="Z259"/>
      <c r="AA259"/>
      <c r="AB259"/>
      <c r="AC259"/>
      <c r="AD259"/>
      <c r="AE259"/>
      <c r="AF259"/>
      <c r="AG259"/>
      <c r="AH259" s="278">
        <v>1706226</v>
      </c>
      <c r="AI259" s="280">
        <v>99798</v>
      </c>
      <c r="AJ259" s="260">
        <v>43976</v>
      </c>
      <c r="AK259" s="69" t="s">
        <v>420</v>
      </c>
      <c r="AL259" s="247"/>
      <c r="AM259"/>
      <c r="AN259"/>
      <c r="AO259"/>
      <c r="AP259"/>
      <c r="AQ259"/>
      <c r="AR259"/>
      <c r="AS259"/>
      <c r="AT259"/>
    </row>
    <row r="260" spans="3:63" x14ac:dyDescent="0.25">
      <c r="AH260" s="278">
        <v>1725275</v>
      </c>
      <c r="AI260" s="279">
        <v>100572</v>
      </c>
      <c r="AJ260" s="189">
        <v>43977</v>
      </c>
      <c r="AK260" s="69" t="s">
        <v>564</v>
      </c>
    </row>
    <row r="261" spans="3:63" s="69" customFormat="1" x14ac:dyDescent="0.25">
      <c r="C261"/>
      <c r="D261"/>
      <c r="E261"/>
      <c r="F261"/>
      <c r="G261"/>
      <c r="H261"/>
      <c r="I261"/>
      <c r="J261"/>
      <c r="K261"/>
      <c r="L261"/>
      <c r="M261"/>
      <c r="N261"/>
      <c r="O261"/>
      <c r="P261"/>
      <c r="Q261"/>
      <c r="R261"/>
      <c r="S261"/>
      <c r="T261"/>
      <c r="U261"/>
      <c r="V261"/>
      <c r="W261"/>
      <c r="X261"/>
      <c r="Y261"/>
      <c r="Z261"/>
      <c r="AA261"/>
      <c r="AB261"/>
      <c r="AC261"/>
      <c r="AD261"/>
      <c r="AE261"/>
      <c r="AF261"/>
      <c r="AG261"/>
      <c r="AH261" s="278">
        <v>1725275</v>
      </c>
      <c r="AI261" s="280">
        <v>100572</v>
      </c>
      <c r="AJ261" s="259">
        <v>43977</v>
      </c>
      <c r="AK261" s="47" t="s">
        <v>505</v>
      </c>
      <c r="AL261"/>
      <c r="AM261"/>
      <c r="AN261"/>
      <c r="AO261"/>
      <c r="AP261"/>
      <c r="AQ261"/>
      <c r="AR261"/>
      <c r="AS261"/>
      <c r="AT261"/>
      <c r="AU261"/>
      <c r="AV261"/>
      <c r="AW261"/>
      <c r="AX261"/>
      <c r="AY261"/>
      <c r="AZ261"/>
      <c r="BA261"/>
      <c r="BB261"/>
      <c r="BC261"/>
      <c r="BD261"/>
      <c r="BE261"/>
      <c r="BF261"/>
      <c r="BG261"/>
      <c r="BH261"/>
      <c r="BI261"/>
      <c r="BJ261"/>
      <c r="BK261"/>
    </row>
    <row r="262" spans="3:63" s="69" customFormat="1" x14ac:dyDescent="0.25">
      <c r="C262"/>
      <c r="D262"/>
      <c r="E262"/>
      <c r="F262"/>
      <c r="G262"/>
      <c r="H262"/>
      <c r="I262"/>
      <c r="J262"/>
      <c r="K262"/>
      <c r="L262"/>
      <c r="M262"/>
      <c r="N262"/>
      <c r="O262"/>
      <c r="P262"/>
      <c r="Q262"/>
      <c r="R262"/>
      <c r="S262"/>
      <c r="T262"/>
      <c r="U262"/>
      <c r="V262"/>
      <c r="W262"/>
      <c r="X262"/>
      <c r="Y262"/>
      <c r="Z262"/>
      <c r="AA262"/>
      <c r="AB262"/>
      <c r="AC262"/>
      <c r="AD262"/>
      <c r="AE262"/>
      <c r="AF262"/>
      <c r="AG262"/>
      <c r="AH262" s="278">
        <v>1725275</v>
      </c>
      <c r="AI262" s="280">
        <v>100572</v>
      </c>
      <c r="AJ262" s="259">
        <v>43977</v>
      </c>
      <c r="AK262" s="47" t="s">
        <v>424</v>
      </c>
      <c r="AL262"/>
      <c r="AM262"/>
      <c r="AN262"/>
      <c r="AO262"/>
      <c r="AP262"/>
      <c r="AQ262"/>
      <c r="AR262"/>
      <c r="AS262"/>
      <c r="AT262"/>
      <c r="AU262"/>
      <c r="AV262"/>
      <c r="AW262"/>
      <c r="AX262"/>
      <c r="AY262"/>
      <c r="AZ262"/>
      <c r="BA262"/>
      <c r="BB262"/>
      <c r="BC262"/>
      <c r="BD262"/>
      <c r="BE262"/>
      <c r="BF262"/>
      <c r="BG262"/>
      <c r="BH262"/>
      <c r="BI262"/>
      <c r="BJ262"/>
      <c r="BK262"/>
    </row>
    <row r="263" spans="3:63" s="69" customFormat="1" x14ac:dyDescent="0.25">
      <c r="C263"/>
      <c r="D263"/>
      <c r="E263"/>
      <c r="F263"/>
      <c r="G263"/>
      <c r="H263"/>
      <c r="I263"/>
      <c r="J263"/>
      <c r="K263"/>
      <c r="L263"/>
      <c r="M263"/>
      <c r="N263"/>
      <c r="O263"/>
      <c r="P263"/>
      <c r="Q263"/>
      <c r="R263"/>
      <c r="S263"/>
      <c r="T263"/>
      <c r="U263"/>
      <c r="V263"/>
      <c r="W263"/>
      <c r="X263"/>
      <c r="Y263"/>
      <c r="Z263"/>
      <c r="AA263"/>
      <c r="AB263"/>
      <c r="AC263"/>
      <c r="AD263"/>
      <c r="AE263"/>
      <c r="AF263"/>
      <c r="AG263"/>
      <c r="AH263" s="278">
        <v>1745803</v>
      </c>
      <c r="AI263" s="287">
        <v>102107</v>
      </c>
      <c r="AJ263" s="259">
        <v>43978</v>
      </c>
      <c r="AK263" s="47" t="s">
        <v>416</v>
      </c>
      <c r="AL263"/>
      <c r="AM263"/>
      <c r="AN263"/>
      <c r="AO263"/>
      <c r="AP263"/>
      <c r="AQ263"/>
      <c r="AR263"/>
      <c r="AS263"/>
      <c r="AT263"/>
      <c r="AU263"/>
      <c r="AV263"/>
      <c r="AW263"/>
      <c r="AX263"/>
      <c r="AY263"/>
      <c r="AZ263"/>
      <c r="BA263"/>
      <c r="BB263"/>
      <c r="BC263"/>
      <c r="BD263"/>
      <c r="BE263"/>
      <c r="BF263"/>
      <c r="BG263"/>
      <c r="BH263"/>
      <c r="BI263"/>
      <c r="BJ263"/>
      <c r="BK263"/>
    </row>
    <row r="264" spans="3:63" x14ac:dyDescent="0.25">
      <c r="AH264" s="278">
        <v>1745803</v>
      </c>
      <c r="AI264" s="287">
        <v>102107</v>
      </c>
      <c r="AJ264" s="259">
        <v>43978</v>
      </c>
      <c r="AK264" s="47" t="s">
        <v>506</v>
      </c>
    </row>
    <row r="265" spans="3:63" x14ac:dyDescent="0.25">
      <c r="AH265" s="288">
        <v>1768461</v>
      </c>
      <c r="AI265" s="287">
        <v>103330</v>
      </c>
      <c r="AJ265" s="259">
        <v>43979</v>
      </c>
      <c r="AK265" s="47" t="s">
        <v>425</v>
      </c>
    </row>
    <row r="266" spans="3:63" x14ac:dyDescent="0.25">
      <c r="AH266" s="288">
        <v>1768461</v>
      </c>
      <c r="AI266" s="287">
        <v>103330</v>
      </c>
      <c r="AJ266" s="259">
        <v>43979</v>
      </c>
      <c r="AK266" s="47" t="s">
        <v>575</v>
      </c>
    </row>
    <row r="267" spans="3:63" x14ac:dyDescent="0.25">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c r="AA267" s="69"/>
      <c r="AB267" s="69"/>
      <c r="AC267" s="69"/>
      <c r="AD267" s="69"/>
      <c r="AE267" s="69"/>
      <c r="AF267" s="69"/>
      <c r="AG267" s="69"/>
      <c r="AH267" s="69"/>
      <c r="AI267" s="288">
        <v>1793530</v>
      </c>
      <c r="AJ267" s="287">
        <v>104542</v>
      </c>
      <c r="AK267" s="259">
        <v>43980</v>
      </c>
      <c r="AL267" s="47" t="s">
        <v>533</v>
      </c>
      <c r="AM267" s="69"/>
      <c r="AN267" s="69"/>
      <c r="AO267" s="69"/>
      <c r="AP267" s="69"/>
      <c r="AQ267" s="69"/>
      <c r="AR267" s="69"/>
      <c r="AS267" s="69"/>
      <c r="AT267" s="69"/>
    </row>
    <row r="268" spans="3:63" x14ac:dyDescent="0.25">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c r="AA268" s="69"/>
      <c r="AB268" s="69"/>
      <c r="AC268" s="69"/>
      <c r="AD268" s="69"/>
      <c r="AE268" s="69"/>
      <c r="AF268" s="69"/>
      <c r="AG268" s="69"/>
      <c r="AH268" s="69"/>
      <c r="AI268" s="288">
        <v>1793530</v>
      </c>
      <c r="AJ268" s="287">
        <v>104542</v>
      </c>
      <c r="AK268" s="165">
        <v>43980</v>
      </c>
      <c r="AL268" s="69" t="s">
        <v>512</v>
      </c>
      <c r="AM268" s="69"/>
      <c r="AN268" s="69"/>
      <c r="AO268" s="69"/>
      <c r="AP268" s="69"/>
      <c r="AQ268" s="69"/>
      <c r="AR268" s="69"/>
      <c r="AS268" s="69"/>
      <c r="AT268" s="69"/>
    </row>
    <row r="269" spans="3:63" x14ac:dyDescent="0.25">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c r="AA269" s="69"/>
      <c r="AB269" s="69"/>
      <c r="AC269" s="69"/>
      <c r="AD269" s="69"/>
      <c r="AE269" s="69"/>
      <c r="AF269" s="69"/>
      <c r="AG269" s="69"/>
      <c r="AH269" s="69"/>
      <c r="AI269" s="288">
        <v>1793530</v>
      </c>
      <c r="AJ269" s="287">
        <v>104542</v>
      </c>
      <c r="AK269" s="259">
        <v>43980</v>
      </c>
      <c r="AL269" s="69" t="s">
        <v>532</v>
      </c>
      <c r="AM269" s="69"/>
      <c r="AN269" s="69"/>
      <c r="AO269" s="69"/>
      <c r="AP269" s="69"/>
      <c r="AQ269" s="69"/>
      <c r="AR269" s="69"/>
      <c r="AS269" s="69"/>
      <c r="AT269" s="69"/>
    </row>
    <row r="270" spans="3:63" x14ac:dyDescent="0.25">
      <c r="AI270" s="288">
        <v>1837170</v>
      </c>
      <c r="AJ270" s="287">
        <v>106195</v>
      </c>
      <c r="AK270" s="259">
        <v>43982</v>
      </c>
      <c r="AL270" s="69" t="s">
        <v>537</v>
      </c>
    </row>
    <row r="271" spans="3:63" s="69" customFormat="1" x14ac:dyDescent="0.25">
      <c r="C271"/>
      <c r="D271"/>
      <c r="E271"/>
      <c r="F271"/>
      <c r="G271"/>
      <c r="H271"/>
      <c r="I271"/>
      <c r="J271"/>
      <c r="K271"/>
      <c r="L271"/>
      <c r="M271"/>
      <c r="N271"/>
      <c r="O271"/>
      <c r="P271"/>
      <c r="Q271"/>
      <c r="R271"/>
      <c r="S271"/>
      <c r="T271"/>
      <c r="U271"/>
      <c r="V271"/>
      <c r="W271"/>
      <c r="X271"/>
      <c r="Y271"/>
      <c r="Z271"/>
      <c r="AA271"/>
      <c r="AB271"/>
      <c r="AC271"/>
      <c r="AD271"/>
      <c r="AE271"/>
      <c r="AF271"/>
      <c r="AG271"/>
      <c r="AH271"/>
      <c r="AI271" s="288">
        <v>1859323</v>
      </c>
      <c r="AJ271" s="287">
        <v>106925</v>
      </c>
      <c r="AK271" s="214">
        <v>43983</v>
      </c>
      <c r="AL271" s="69" t="s">
        <v>536</v>
      </c>
      <c r="AM271"/>
      <c r="AN271"/>
      <c r="AO271"/>
      <c r="AP271"/>
      <c r="AQ271"/>
      <c r="AR271"/>
      <c r="AS271"/>
      <c r="AT271"/>
      <c r="AU271"/>
      <c r="AV271"/>
      <c r="AW271"/>
      <c r="AX271"/>
      <c r="AY271"/>
      <c r="AZ271"/>
      <c r="BA271"/>
      <c r="BB271"/>
      <c r="BC271"/>
      <c r="BD271"/>
      <c r="BE271"/>
      <c r="BF271"/>
      <c r="BG271"/>
      <c r="BH271"/>
      <c r="BI271"/>
      <c r="BJ271"/>
      <c r="BK271"/>
    </row>
    <row r="272" spans="3:63" s="69" customFormat="1" x14ac:dyDescent="0.25">
      <c r="C272"/>
      <c r="D272"/>
      <c r="E272"/>
      <c r="F272"/>
      <c r="G272"/>
      <c r="H272"/>
      <c r="I272"/>
      <c r="J272"/>
      <c r="K272"/>
      <c r="L272"/>
      <c r="M272"/>
      <c r="N272"/>
      <c r="O272"/>
      <c r="P272"/>
      <c r="Q272"/>
      <c r="R272"/>
      <c r="S272"/>
      <c r="T272"/>
      <c r="U272"/>
      <c r="V272"/>
      <c r="W272"/>
      <c r="X272"/>
      <c r="Y272"/>
      <c r="Z272"/>
      <c r="AA272"/>
      <c r="AB272"/>
      <c r="AC272"/>
      <c r="AD272"/>
      <c r="AE272"/>
      <c r="AF272"/>
      <c r="AG272"/>
      <c r="AH272"/>
      <c r="AI272" s="288">
        <v>1859323</v>
      </c>
      <c r="AJ272" s="287">
        <v>106925</v>
      </c>
      <c r="AK272" s="214">
        <v>43983</v>
      </c>
      <c r="AL272" s="69" t="s">
        <v>539</v>
      </c>
      <c r="AM272"/>
      <c r="AN272"/>
      <c r="AO272"/>
      <c r="AP272"/>
      <c r="AQ272"/>
      <c r="AR272"/>
      <c r="AS272"/>
      <c r="AT272"/>
      <c r="AU272"/>
      <c r="AV272"/>
      <c r="AW272"/>
      <c r="AX272"/>
      <c r="AY272"/>
      <c r="AZ272"/>
      <c r="BA272"/>
      <c r="BB272"/>
      <c r="BC272"/>
      <c r="BD272"/>
      <c r="BE272"/>
      <c r="BF272"/>
      <c r="BG272"/>
      <c r="BH272"/>
      <c r="BI272"/>
      <c r="BJ272"/>
      <c r="BK272"/>
    </row>
    <row r="273" spans="3:63" x14ac:dyDescent="0.25">
      <c r="AI273" s="288">
        <v>1881205</v>
      </c>
      <c r="AJ273" s="287">
        <v>108059</v>
      </c>
      <c r="AK273" s="260">
        <v>43984</v>
      </c>
      <c r="AL273" s="69" t="s">
        <v>540</v>
      </c>
      <c r="BF273" s="69"/>
      <c r="BG273" s="69"/>
      <c r="BH273" s="69"/>
      <c r="BI273" s="69"/>
      <c r="BJ273" s="69"/>
      <c r="BK273" s="69"/>
    </row>
    <row r="274" spans="3:63" x14ac:dyDescent="0.25">
      <c r="AI274" s="288">
        <v>1940315</v>
      </c>
      <c r="AJ274" s="287">
        <v>110415</v>
      </c>
      <c r="AK274" s="165">
        <v>43986</v>
      </c>
      <c r="AL274" s="69" t="s">
        <v>559</v>
      </c>
      <c r="AM274" s="69"/>
      <c r="AN274" s="69"/>
      <c r="AO274" s="69"/>
      <c r="BF274" s="69"/>
      <c r="BG274" s="69"/>
      <c r="BH274" s="69"/>
      <c r="BI274" s="69"/>
      <c r="BJ274" s="69"/>
      <c r="BK274" s="69"/>
    </row>
    <row r="275" spans="3:63" x14ac:dyDescent="0.25">
      <c r="AI275" s="288">
        <v>1965708</v>
      </c>
      <c r="AJ275" s="287">
        <v>111390</v>
      </c>
      <c r="AK275" s="259">
        <v>43987</v>
      </c>
      <c r="AL275" s="69" t="s">
        <v>569</v>
      </c>
      <c r="BF275" s="69"/>
      <c r="BG275" s="69"/>
      <c r="BH275" s="69"/>
      <c r="BI275" s="69"/>
      <c r="BJ275" s="69"/>
      <c r="BK275" s="69"/>
    </row>
    <row r="276" spans="3:63" x14ac:dyDescent="0.25">
      <c r="AI276" s="288">
        <v>1965708</v>
      </c>
      <c r="AJ276" s="287">
        <v>111390</v>
      </c>
      <c r="AK276" s="259">
        <v>43987</v>
      </c>
      <c r="AL276" t="s">
        <v>565</v>
      </c>
    </row>
    <row r="277" spans="3:63" x14ac:dyDescent="0.25">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c r="AA277" s="69"/>
      <c r="AB277" s="69"/>
      <c r="AC277" s="69"/>
      <c r="AD277" s="69"/>
      <c r="AE277" s="69"/>
      <c r="AF277" s="69"/>
      <c r="AG277" s="69"/>
      <c r="AH277" s="69"/>
      <c r="AI277" s="288">
        <v>1965708</v>
      </c>
      <c r="AJ277" s="287">
        <v>111390</v>
      </c>
      <c r="AK277" s="214">
        <v>43987</v>
      </c>
      <c r="AL277" s="69" t="s">
        <v>563</v>
      </c>
      <c r="AP277" s="69"/>
      <c r="AQ277" s="69"/>
      <c r="AR277" s="69"/>
      <c r="AS277" s="69"/>
      <c r="AT277" s="69"/>
      <c r="AU277" s="69"/>
      <c r="AV277" s="69"/>
      <c r="AW277" s="69"/>
      <c r="AX277" s="69"/>
      <c r="AY277" s="69"/>
      <c r="AZ277" s="69"/>
      <c r="BA277" s="69"/>
      <c r="BB277" s="69"/>
      <c r="BC277" s="69"/>
      <c r="BD277" s="69"/>
      <c r="BE277" s="69"/>
    </row>
    <row r="278" spans="3:63" x14ac:dyDescent="0.25">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c r="AA278" s="69"/>
      <c r="AB278" s="69"/>
      <c r="AC278" s="69"/>
      <c r="AD278" s="69"/>
      <c r="AE278" s="69"/>
      <c r="AF278" s="69"/>
      <c r="AG278" s="69"/>
      <c r="AH278" s="69"/>
      <c r="AI278" s="277">
        <v>2007449</v>
      </c>
      <c r="AJ278" s="287">
        <v>112469</v>
      </c>
      <c r="AK278" s="214">
        <v>43989</v>
      </c>
      <c r="AL278" s="69" t="s">
        <v>560</v>
      </c>
      <c r="AP278" s="69"/>
      <c r="AQ278" s="69"/>
      <c r="AR278" s="69"/>
      <c r="AS278" s="69"/>
      <c r="AT278" s="69"/>
      <c r="AU278" s="69"/>
      <c r="AV278" s="69"/>
      <c r="AW278" s="69"/>
      <c r="AX278" s="69"/>
      <c r="AY278" s="69"/>
      <c r="AZ278" s="69"/>
      <c r="BA278" s="69"/>
      <c r="BB278" s="69"/>
      <c r="BC278" s="69"/>
      <c r="BD278" s="69"/>
      <c r="BE278" s="69"/>
    </row>
    <row r="279" spans="3:63" x14ac:dyDescent="0.25">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c r="AA279" s="69"/>
      <c r="AB279" s="69"/>
      <c r="AC279" s="69"/>
      <c r="AD279" s="69"/>
      <c r="AE279" s="69"/>
      <c r="AF279" s="69"/>
      <c r="AG279" s="69"/>
      <c r="AH279" s="69"/>
      <c r="AI279" s="288">
        <v>2026493</v>
      </c>
      <c r="AJ279" s="287">
        <v>113055</v>
      </c>
      <c r="AK279" s="260">
        <v>43990</v>
      </c>
      <c r="AL279" s="69" t="s">
        <v>562</v>
      </c>
      <c r="AP279" s="69"/>
      <c r="AQ279" s="69"/>
      <c r="AR279" s="69"/>
      <c r="AS279" s="69"/>
      <c r="AT279" s="69"/>
      <c r="AU279" s="69"/>
      <c r="AV279" s="69"/>
      <c r="AW279" s="69"/>
      <c r="AX279" s="69"/>
      <c r="AY279" s="69"/>
      <c r="AZ279" s="69"/>
      <c r="BA279" s="69"/>
      <c r="BB279" s="69"/>
      <c r="BC279" s="69"/>
      <c r="BD279" s="69"/>
      <c r="BE279" s="69"/>
    </row>
    <row r="280" spans="3:63" x14ac:dyDescent="0.25">
      <c r="AJ280" s="288">
        <v>2045549</v>
      </c>
      <c r="AK280" s="287">
        <v>114148</v>
      </c>
      <c r="AL280" s="260">
        <v>43991</v>
      </c>
      <c r="AM280" t="s">
        <v>561</v>
      </c>
    </row>
    <row r="281" spans="3:63" x14ac:dyDescent="0.25">
      <c r="AJ281" s="288">
        <v>2066558</v>
      </c>
      <c r="AK281" s="287">
        <v>115130</v>
      </c>
      <c r="AL281" s="165">
        <v>43992</v>
      </c>
      <c r="AM281" t="s">
        <v>579</v>
      </c>
    </row>
    <row r="282" spans="3:63" x14ac:dyDescent="0.25">
      <c r="AJ282" s="288">
        <v>2089701</v>
      </c>
      <c r="AK282" s="287">
        <v>116034</v>
      </c>
      <c r="AL282" s="189">
        <v>43993</v>
      </c>
      <c r="AM282" t="s">
        <v>571</v>
      </c>
    </row>
    <row r="283" spans="3:63" x14ac:dyDescent="0.25">
      <c r="AJ283" s="288">
        <v>2089701</v>
      </c>
      <c r="AK283" s="287">
        <v>116034</v>
      </c>
      <c r="AL283" s="259">
        <v>43993</v>
      </c>
      <c r="AM283" t="s">
        <v>567</v>
      </c>
    </row>
    <row r="284" spans="3:63" x14ac:dyDescent="0.25">
      <c r="AJ284" s="288">
        <v>2116922</v>
      </c>
      <c r="AK284" s="287">
        <v>116825</v>
      </c>
      <c r="AL284" s="189">
        <v>43994</v>
      </c>
      <c r="AM284" t="s">
        <v>572</v>
      </c>
    </row>
    <row r="285" spans="3:63" x14ac:dyDescent="0.25">
      <c r="AJ285" s="288">
        <v>2116922</v>
      </c>
      <c r="AK285" s="287">
        <v>116825</v>
      </c>
      <c r="AL285" s="214">
        <v>43994</v>
      </c>
      <c r="AM285" t="s">
        <v>566</v>
      </c>
    </row>
    <row r="286" spans="3:63" x14ac:dyDescent="0.25">
      <c r="AJ286" s="288">
        <v>2142224</v>
      </c>
      <c r="AK286" s="287">
        <v>117527</v>
      </c>
      <c r="AL286" s="259">
        <v>43995</v>
      </c>
      <c r="AM286" t="s">
        <v>568</v>
      </c>
    </row>
    <row r="287" spans="3:63" x14ac:dyDescent="0.25">
      <c r="AJ287" s="288">
        <v>2182950</v>
      </c>
      <c r="AK287" s="287">
        <v>118283</v>
      </c>
      <c r="AL287" s="165">
        <v>43997</v>
      </c>
      <c r="AM287" s="69" t="s">
        <v>574</v>
      </c>
      <c r="AN287" s="69"/>
      <c r="AO287" s="69"/>
    </row>
    <row r="288" spans="3:63" x14ac:dyDescent="0.25">
      <c r="AJ288" s="288">
        <v>2182950</v>
      </c>
      <c r="AK288" s="287">
        <v>118283</v>
      </c>
      <c r="AL288" s="259">
        <v>43997</v>
      </c>
      <c r="AM288" s="47" t="s">
        <v>576</v>
      </c>
      <c r="AN288" s="69"/>
      <c r="AO288" s="69"/>
    </row>
    <row r="289" spans="1:41" x14ac:dyDescent="0.25">
      <c r="AJ289" s="288">
        <v>2208400</v>
      </c>
      <c r="AK289" s="287">
        <v>119132</v>
      </c>
      <c r="AL289" s="165">
        <v>43998</v>
      </c>
      <c r="AM289" s="69" t="s">
        <v>570</v>
      </c>
    </row>
    <row r="290" spans="1:41" x14ac:dyDescent="0.25">
      <c r="AJ290" s="288">
        <v>2208400</v>
      </c>
      <c r="AK290" s="287">
        <v>119132</v>
      </c>
      <c r="AL290" s="214">
        <v>43998</v>
      </c>
      <c r="AM290" s="47" t="s">
        <v>573</v>
      </c>
    </row>
    <row r="291" spans="1:41" x14ac:dyDescent="0.25">
      <c r="AJ291" s="288">
        <v>2208400</v>
      </c>
      <c r="AK291" s="287">
        <v>119132</v>
      </c>
      <c r="AL291" s="259">
        <v>43998</v>
      </c>
      <c r="AM291" s="47" t="s">
        <v>577</v>
      </c>
    </row>
    <row r="292" spans="1:41" x14ac:dyDescent="0.25">
      <c r="AJ292" s="288">
        <v>2263651</v>
      </c>
      <c r="AK292" s="287">
        <v>120688</v>
      </c>
      <c r="AL292" s="259">
        <v>44000</v>
      </c>
      <c r="AM292" s="47" t="s">
        <v>578</v>
      </c>
    </row>
    <row r="293" spans="1:41" s="69" customFormat="1" x14ac:dyDescent="0.25">
      <c r="AJ293" s="288">
        <v>2356657</v>
      </c>
      <c r="AK293" s="287">
        <v>122247</v>
      </c>
      <c r="AL293" s="259">
        <v>44003</v>
      </c>
      <c r="AM293" s="47" t="s">
        <v>580</v>
      </c>
      <c r="AN293"/>
      <c r="AO293"/>
    </row>
    <row r="294" spans="1:41" s="69" customFormat="1" x14ac:dyDescent="0.25">
      <c r="AK294" s="288">
        <v>2552956</v>
      </c>
      <c r="AL294" s="287">
        <v>127640</v>
      </c>
      <c r="AM294" s="214">
        <v>44008</v>
      </c>
      <c r="AN294" t="s">
        <v>631</v>
      </c>
    </row>
    <row r="295" spans="1:41" s="69" customFormat="1" x14ac:dyDescent="0.25">
      <c r="AK295" s="288">
        <v>2596537</v>
      </c>
      <c r="AL295" s="287">
        <v>128152</v>
      </c>
      <c r="AM295" s="214">
        <v>44009</v>
      </c>
      <c r="AN295" t="s">
        <v>630</v>
      </c>
    </row>
    <row r="299" spans="1:41" x14ac:dyDescent="0.25">
      <c r="A299" s="4" t="s">
        <v>188</v>
      </c>
      <c r="B299" s="218">
        <v>330565500</v>
      </c>
    </row>
    <row r="300" spans="1:41" x14ac:dyDescent="0.25">
      <c r="A300" s="4"/>
      <c r="B300" s="286"/>
    </row>
    <row r="301" spans="1:41" x14ac:dyDescent="0.25">
      <c r="A301" s="4"/>
      <c r="B301" s="286"/>
    </row>
    <row r="302" spans="1:41" x14ac:dyDescent="0.25">
      <c r="A302" s="57" t="s">
        <v>381</v>
      </c>
      <c r="B302" s="281">
        <v>1.4E-2</v>
      </c>
    </row>
    <row r="303" spans="1:41" s="69" customFormat="1" x14ac:dyDescent="0.25">
      <c r="A303" s="62"/>
      <c r="B303" s="169"/>
      <c r="C303" s="69" t="s">
        <v>299</v>
      </c>
    </row>
    <row r="304" spans="1:41" s="69" customFormat="1" x14ac:dyDescent="0.25">
      <c r="A304" s="62"/>
      <c r="B304" s="169"/>
    </row>
    <row r="305" spans="1:67" x14ac:dyDescent="0.25">
      <c r="A305" s="4" t="s">
        <v>112</v>
      </c>
      <c r="B305" s="155">
        <f>B302/B313</f>
        <v>0.2772277227722772</v>
      </c>
      <c r="C305" t="s">
        <v>382</v>
      </c>
      <c r="D305" s="69"/>
      <c r="E305" s="69"/>
      <c r="G305" s="69"/>
      <c r="H305" s="69"/>
      <c r="I305" s="69"/>
      <c r="J305" s="69"/>
      <c r="K305" s="69"/>
      <c r="L305" s="69"/>
      <c r="M305" s="69"/>
      <c r="N305" s="69"/>
      <c r="O305" s="69"/>
      <c r="P305" s="69"/>
      <c r="Q305" s="69"/>
      <c r="R305" s="69"/>
      <c r="S305" s="165"/>
      <c r="T305" s="69"/>
      <c r="U305" s="165"/>
      <c r="X305" s="195"/>
      <c r="Y305" s="16"/>
    </row>
    <row r="306" spans="1:67" x14ac:dyDescent="0.25">
      <c r="A306" s="37" t="s">
        <v>114</v>
      </c>
      <c r="B306" s="114">
        <v>7.0000000000000007E-2</v>
      </c>
      <c r="C306" s="242"/>
      <c r="D306" s="69"/>
      <c r="E306" s="69"/>
      <c r="F306" s="69"/>
      <c r="G306" s="69"/>
      <c r="H306" s="69"/>
      <c r="I306" s="69"/>
      <c r="J306" s="69"/>
      <c r="K306" s="69"/>
      <c r="L306" s="69"/>
      <c r="M306" s="69"/>
      <c r="N306" s="69"/>
      <c r="O306" s="69"/>
      <c r="P306" s="69"/>
      <c r="Q306" s="69"/>
      <c r="R306" s="69"/>
      <c r="S306" s="69"/>
      <c r="T306" s="165"/>
      <c r="U306" s="165"/>
      <c r="V306" s="69"/>
      <c r="W306" s="69"/>
      <c r="X306" s="16"/>
      <c r="Y306" s="16"/>
    </row>
    <row r="307" spans="1:67" x14ac:dyDescent="0.25">
      <c r="A307" s="4" t="s">
        <v>177</v>
      </c>
      <c r="B307" s="243">
        <v>2.4</v>
      </c>
      <c r="C307" s="64">
        <f>(B299/1000)*B307</f>
        <v>793357.2</v>
      </c>
      <c r="D307" s="69"/>
      <c r="E307" s="69"/>
      <c r="F307" s="69"/>
      <c r="G307" s="69"/>
      <c r="H307" s="69"/>
      <c r="I307" s="69"/>
      <c r="J307" s="69"/>
      <c r="K307" s="69"/>
      <c r="L307" s="69"/>
      <c r="M307" s="69"/>
      <c r="N307" s="69"/>
      <c r="O307" s="69"/>
      <c r="P307" s="69"/>
      <c r="Q307" s="69"/>
      <c r="R307" s="69"/>
      <c r="S307" s="69"/>
      <c r="T307" s="69"/>
      <c r="U307" s="69"/>
      <c r="V307" s="69"/>
      <c r="W307" s="69"/>
      <c r="X307" s="16"/>
      <c r="Y307" s="16"/>
      <c r="AA307" s="120"/>
    </row>
    <row r="308" spans="1:67" x14ac:dyDescent="0.25">
      <c r="A308" s="37" t="s">
        <v>178</v>
      </c>
      <c r="B308" s="244">
        <v>34.700000000000003</v>
      </c>
      <c r="C308" s="61">
        <f>(B299/100000)*B308</f>
        <v>114706.22850000001</v>
      </c>
      <c r="D308" s="69"/>
      <c r="E308" s="69"/>
      <c r="F308" s="69"/>
      <c r="G308" s="69"/>
      <c r="H308" s="69"/>
      <c r="I308" s="69"/>
      <c r="J308" s="69"/>
      <c r="K308" s="69"/>
      <c r="L308" s="69"/>
      <c r="M308" s="69"/>
      <c r="N308" s="69"/>
      <c r="O308" s="69"/>
      <c r="P308" s="69"/>
      <c r="Q308" s="69"/>
      <c r="R308" s="69"/>
      <c r="S308" s="69"/>
      <c r="T308" s="69"/>
      <c r="U308" s="69"/>
      <c r="V308" s="150"/>
      <c r="W308" s="69"/>
    </row>
    <row r="309" spans="1:67" x14ac:dyDescent="0.25">
      <c r="A309" s="41"/>
      <c r="B309" s="275"/>
      <c r="C309" s="10"/>
      <c r="D309" s="69"/>
      <c r="E309" s="69"/>
      <c r="F309" s="69"/>
      <c r="G309" s="69"/>
      <c r="H309" s="69"/>
      <c r="I309" s="69"/>
      <c r="J309" s="69"/>
      <c r="K309" s="69"/>
      <c r="L309" s="69"/>
      <c r="M309" s="69"/>
      <c r="N309" s="69"/>
      <c r="O309" s="69"/>
      <c r="P309" s="69"/>
      <c r="Q309" s="69"/>
      <c r="R309" s="69"/>
      <c r="S309" s="69"/>
      <c r="T309" s="69"/>
      <c r="U309" s="69"/>
      <c r="V309" s="150"/>
      <c r="W309" s="69"/>
    </row>
    <row r="310" spans="1:67" x14ac:dyDescent="0.25">
      <c r="A310" s="4" t="s">
        <v>73</v>
      </c>
      <c r="B310" s="112">
        <v>0.81</v>
      </c>
      <c r="C310" s="2"/>
      <c r="D310" s="69"/>
      <c r="E310" s="69"/>
      <c r="F310" s="69"/>
      <c r="G310" s="69"/>
      <c r="H310" s="69"/>
      <c r="I310" s="69"/>
      <c r="J310" s="69"/>
      <c r="K310" s="69"/>
      <c r="L310" s="69"/>
      <c r="M310" s="69"/>
      <c r="N310" s="69"/>
      <c r="O310" s="69"/>
      <c r="P310" s="69"/>
      <c r="Q310" s="69"/>
      <c r="R310" s="69"/>
      <c r="S310" s="69"/>
      <c r="T310" s="69"/>
      <c r="U310" s="69"/>
      <c r="Z310" s="214"/>
      <c r="AC310" s="247"/>
    </row>
    <row r="311" spans="1:67" x14ac:dyDescent="0.25">
      <c r="A311" s="41" t="s">
        <v>74</v>
      </c>
      <c r="B311" s="113">
        <v>0.14000000000000001</v>
      </c>
      <c r="C311" s="2"/>
      <c r="D311" s="69"/>
      <c r="E311" s="69"/>
      <c r="F311" s="69"/>
      <c r="G311" s="69"/>
      <c r="H311" s="69"/>
      <c r="I311" s="69"/>
      <c r="J311" s="69"/>
      <c r="K311" s="69"/>
      <c r="L311" s="69"/>
      <c r="M311" s="69"/>
      <c r="N311" s="69"/>
      <c r="O311" s="69"/>
      <c r="P311" s="69"/>
      <c r="Q311" s="69"/>
      <c r="R311" s="69"/>
      <c r="S311" s="69"/>
      <c r="T311" s="69"/>
      <c r="U311" s="47"/>
      <c r="V311" s="69"/>
      <c r="W311" s="165"/>
      <c r="AC311" s="214"/>
      <c r="AV311" s="247"/>
      <c r="AW311" s="247"/>
      <c r="AX311" s="247"/>
      <c r="AY311" s="247"/>
      <c r="AZ311" s="247"/>
    </row>
    <row r="312" spans="1:67" x14ac:dyDescent="0.25">
      <c r="A312" s="37" t="s">
        <v>108</v>
      </c>
      <c r="B312" s="114">
        <v>0.05</v>
      </c>
      <c r="C312" s="2"/>
      <c r="D312" s="209" t="s">
        <v>167</v>
      </c>
      <c r="T312" s="16"/>
      <c r="U312" s="16"/>
      <c r="V312" s="251"/>
      <c r="W312" s="16"/>
      <c r="AE312" s="2"/>
      <c r="AJ312" s="214"/>
      <c r="AK312" s="214"/>
      <c r="BA312" s="175"/>
      <c r="BB312" s="175"/>
      <c r="BC312" s="175"/>
      <c r="BD312" s="175"/>
      <c r="BE312" s="175"/>
      <c r="BF312" s="175"/>
      <c r="BG312" s="175"/>
      <c r="BH312" s="175"/>
      <c r="BI312" s="175"/>
      <c r="BJ312" s="175"/>
    </row>
    <row r="313" spans="1:67" x14ac:dyDescent="0.25">
      <c r="A313" s="37" t="s">
        <v>113</v>
      </c>
      <c r="B313" s="65">
        <v>5.0500000000000003E-2</v>
      </c>
      <c r="C313" s="2"/>
      <c r="D313" s="179" t="s">
        <v>159</v>
      </c>
      <c r="U313" s="16"/>
      <c r="V313" s="16"/>
      <c r="W313" s="16"/>
      <c r="AI313" s="214"/>
      <c r="AJ313" s="214"/>
      <c r="AV313" s="176"/>
      <c r="AW313" s="176"/>
      <c r="AX313" s="176"/>
      <c r="AY313" s="176"/>
      <c r="AZ313" s="176"/>
    </row>
    <row r="314" spans="1:67" x14ac:dyDescent="0.25">
      <c r="A314" s="153" t="s">
        <v>297</v>
      </c>
      <c r="B314" s="154">
        <v>43851</v>
      </c>
      <c r="C314" s="2"/>
      <c r="D314" s="248">
        <f>(BA317-P317)/(LOG(BA318/P318)/LOG(2))</f>
        <v>33.368421052631582</v>
      </c>
      <c r="E314" s="175"/>
      <c r="L314" s="214"/>
      <c r="M314" s="214"/>
      <c r="N314" s="214"/>
      <c r="S314" s="16"/>
      <c r="T314" s="16"/>
      <c r="U314" s="16"/>
      <c r="V314" s="16"/>
      <c r="W314" s="16"/>
      <c r="AC314" t="s">
        <v>328</v>
      </c>
      <c r="AK314" s="214"/>
      <c r="AL314" s="214"/>
    </row>
    <row r="315" spans="1:67" x14ac:dyDescent="0.25">
      <c r="A315" s="16"/>
      <c r="B315" s="50" t="s">
        <v>54</v>
      </c>
      <c r="C315" s="10"/>
      <c r="D315" s="16"/>
      <c r="E315" s="16"/>
      <c r="F315" s="16"/>
      <c r="G315" s="16"/>
      <c r="H315" s="16"/>
      <c r="I315" s="16"/>
      <c r="J315" s="16"/>
      <c r="K315" s="16"/>
      <c r="L315" s="16"/>
      <c r="M315" s="16"/>
      <c r="N315" s="16"/>
      <c r="O315" s="16"/>
      <c r="Q315" s="16"/>
      <c r="R315" s="16"/>
      <c r="S315" s="16"/>
      <c r="T315" s="16"/>
      <c r="U315" s="16"/>
      <c r="V315" s="16"/>
      <c r="W315" s="16"/>
      <c r="X315" s="16"/>
      <c r="Y315" s="16"/>
      <c r="Z315" s="16"/>
      <c r="AA315" s="16"/>
      <c r="AB315" s="16"/>
      <c r="AC315" s="16"/>
      <c r="AD315" s="16"/>
      <c r="AE315" s="16"/>
      <c r="AF315" s="16" t="s">
        <v>289</v>
      </c>
      <c r="AG315" s="16"/>
      <c r="AH315" s="16"/>
      <c r="AI315" s="16"/>
      <c r="AJ315" s="16"/>
      <c r="AK315" s="16"/>
      <c r="AL315" s="16" t="s">
        <v>582</v>
      </c>
      <c r="AM315" s="16"/>
      <c r="AN315" s="16"/>
      <c r="AO315" s="16"/>
      <c r="AP315" s="16"/>
      <c r="AQ315" s="16"/>
      <c r="AR315" s="16"/>
      <c r="AS315" s="16"/>
      <c r="AT315" s="16"/>
      <c r="AU315" s="16"/>
      <c r="BL315" s="152"/>
    </row>
    <row r="316" spans="1:67" x14ac:dyDescent="0.25">
      <c r="A316" s="53" t="s">
        <v>41</v>
      </c>
      <c r="B316" s="189">
        <v>43882</v>
      </c>
      <c r="C316" s="189">
        <v>43890</v>
      </c>
      <c r="D316" s="189">
        <v>43893</v>
      </c>
      <c r="E316" s="189">
        <v>43895</v>
      </c>
      <c r="F316" s="189">
        <v>43904</v>
      </c>
      <c r="G316" s="189">
        <v>43912</v>
      </c>
      <c r="H316" s="189">
        <v>43918</v>
      </c>
      <c r="I316" s="189">
        <v>43923</v>
      </c>
      <c r="J316" s="189">
        <v>43932</v>
      </c>
      <c r="K316" s="189">
        <v>43948</v>
      </c>
      <c r="L316" s="189">
        <f>K316+K317</f>
        <v>43991</v>
      </c>
      <c r="M316" s="189">
        <f>L316+L317</f>
        <v>44066</v>
      </c>
      <c r="N316" s="189">
        <f>M316+M317</f>
        <v>44216</v>
      </c>
      <c r="O316" s="189"/>
      <c r="Q316" s="133" t="s">
        <v>298</v>
      </c>
      <c r="R316" s="16"/>
      <c r="S316" s="16"/>
      <c r="T316" s="16"/>
      <c r="U316" s="16"/>
      <c r="V316" s="16"/>
      <c r="W316" s="16"/>
      <c r="X316" s="16"/>
      <c r="Y316" s="182"/>
      <c r="Z316" s="16"/>
      <c r="AA316" s="16"/>
      <c r="AB316" s="16"/>
      <c r="AC316" s="16" t="s">
        <v>264</v>
      </c>
      <c r="AG316" t="s">
        <v>300</v>
      </c>
      <c r="AL316" s="16"/>
      <c r="AM316" s="16" t="s">
        <v>581</v>
      </c>
      <c r="AN316" s="16"/>
      <c r="AO316" s="16"/>
      <c r="AP316" s="16"/>
      <c r="AQ316" s="16"/>
      <c r="AR316" s="16"/>
      <c r="AS316" s="16"/>
      <c r="AT316" s="16"/>
      <c r="AU316" s="16"/>
      <c r="BF316" s="209" t="s">
        <v>168</v>
      </c>
      <c r="BL316" s="246" t="s">
        <v>187</v>
      </c>
    </row>
    <row r="317" spans="1:67" x14ac:dyDescent="0.25">
      <c r="A317" s="4" t="s">
        <v>11</v>
      </c>
      <c r="B317" s="84">
        <v>8</v>
      </c>
      <c r="C317" s="157">
        <v>3</v>
      </c>
      <c r="D317" s="250">
        <v>2</v>
      </c>
      <c r="E317" s="157">
        <v>3</v>
      </c>
      <c r="F317" s="250">
        <v>2</v>
      </c>
      <c r="G317" s="157">
        <v>3</v>
      </c>
      <c r="H317" s="156">
        <v>5</v>
      </c>
      <c r="I317" s="249">
        <v>9</v>
      </c>
      <c r="J317">
        <v>16</v>
      </c>
      <c r="K317">
        <v>43</v>
      </c>
      <c r="L317">
        <v>75</v>
      </c>
      <c r="M317">
        <f>L317*2</f>
        <v>150</v>
      </c>
      <c r="N317">
        <f>M317*2</f>
        <v>300</v>
      </c>
      <c r="O317" s="217"/>
      <c r="P317" s="265">
        <v>43882</v>
      </c>
      <c r="Q317" s="266">
        <f t="shared" ref="Q317:AD317" si="0">P317+HLOOKUP(P317+1, $B$316:$O$317,2,TRUE)</f>
        <v>43890</v>
      </c>
      <c r="R317" s="267">
        <f t="shared" si="0"/>
        <v>43893</v>
      </c>
      <c r="S317" s="266">
        <f t="shared" si="0"/>
        <v>43895</v>
      </c>
      <c r="T317" s="266">
        <f t="shared" si="0"/>
        <v>43898</v>
      </c>
      <c r="U317" s="266">
        <f t="shared" si="0"/>
        <v>43901</v>
      </c>
      <c r="V317" s="267">
        <f t="shared" si="0"/>
        <v>43904</v>
      </c>
      <c r="W317" s="267">
        <f t="shared" si="0"/>
        <v>43906</v>
      </c>
      <c r="X317" s="267">
        <f t="shared" si="0"/>
        <v>43908</v>
      </c>
      <c r="Y317" s="267">
        <f t="shared" si="0"/>
        <v>43910</v>
      </c>
      <c r="Z317" s="266">
        <f t="shared" si="0"/>
        <v>43912</v>
      </c>
      <c r="AA317" s="268">
        <f t="shared" si="0"/>
        <v>43915</v>
      </c>
      <c r="AB317" s="268">
        <f t="shared" si="0"/>
        <v>43918</v>
      </c>
      <c r="AC317" s="269">
        <f t="shared" si="0"/>
        <v>43923</v>
      </c>
      <c r="AD317" s="270">
        <f t="shared" si="0"/>
        <v>43932</v>
      </c>
      <c r="AE317" s="271">
        <f>$AD$317+(($AH$317-$AD$317)*0.25)</f>
        <v>43936</v>
      </c>
      <c r="AF317" s="271">
        <f>$AD$317+(($AH$317-$AD$317)*0.5)</f>
        <v>43940</v>
      </c>
      <c r="AG317" s="271">
        <f>$AD$317+(($AH$317-$AD$317)*0.75)</f>
        <v>43944</v>
      </c>
      <c r="AH317" s="270">
        <f>AD317+HLOOKUP(AD317+1, $B$316:$O$317,2,TRUE)</f>
        <v>43948</v>
      </c>
      <c r="AI317" s="271">
        <f>$AH$317+(($AL$317-$AH$317)*0.25)</f>
        <v>43958.75</v>
      </c>
      <c r="AJ317" s="271">
        <f>$AH$317+(($AL$317-$AH$317)*0.5)</f>
        <v>43969.5</v>
      </c>
      <c r="AK317" s="271">
        <f>$AH$317+(($AL$317-$AH$317)*0.77)</f>
        <v>43981.11</v>
      </c>
      <c r="AL317" s="270">
        <f>AH317+HLOOKUP(AH317+1, $B$316:$O$317,2,TRUE)</f>
        <v>43991</v>
      </c>
      <c r="AM317" s="343">
        <f>$AL$317+(($AQ$317-$AL$317)*0.2)</f>
        <v>44006</v>
      </c>
      <c r="AN317" s="273">
        <f>$AL$317+(($AQ$317-$AL$317)*0.4)</f>
        <v>44021</v>
      </c>
      <c r="AO317" s="273">
        <f>$AL$317+(($AQ$317-$AL$317)*0.6)</f>
        <v>44036</v>
      </c>
      <c r="AP317" s="273">
        <f>$AL$317+(($AQ$317-$AL$317)*0.8)</f>
        <v>44051</v>
      </c>
      <c r="AQ317" s="224">
        <f>AL317+HLOOKUP(AL317+1, $B$316:$O$317,2,TRUE)</f>
        <v>44066</v>
      </c>
      <c r="AR317" s="273">
        <f>$AQ$317+(($AV$317-$AQ$317)*0.2)</f>
        <v>44096</v>
      </c>
      <c r="AS317" s="273">
        <f>$AQ$317+(($AV$317-$AQ$317)*0.4)</f>
        <v>44126</v>
      </c>
      <c r="AT317" s="273">
        <f>$AQ$317+(($AV$317-$AQ$317)*0.6)</f>
        <v>44156</v>
      </c>
      <c r="AU317" s="273">
        <f>$AQ$317+(($AV$317-$AQ$317)*0.8)</f>
        <v>44186</v>
      </c>
      <c r="AV317" s="224">
        <f>AQ317+HLOOKUP(AQ317+1, $B$316:$O$317,2,TRUE)</f>
        <v>44216</v>
      </c>
      <c r="AW317" s="273">
        <f>$AV$317+(($BA$317-$AV$317)*0.2)</f>
        <v>44276</v>
      </c>
      <c r="AX317" s="273">
        <f>$AV$317+(($BA$317-$AV$317)*0.4)</f>
        <v>44336</v>
      </c>
      <c r="AY317" s="273">
        <f>$AV$317+(($BA$317-$AV$317)*0.6)</f>
        <v>44396</v>
      </c>
      <c r="AZ317" s="273">
        <f>$AV$317+(($BA$317-$AV$317)*0.8)</f>
        <v>44456</v>
      </c>
      <c r="BA317" s="224">
        <f>AV317+HLOOKUP(AV317+1, $B$316:$O$317,2,TRUE)</f>
        <v>44516</v>
      </c>
      <c r="BB317" s="273">
        <f>($BA$317+(($BF$317-$BA$317)*0.2))</f>
        <v>44576</v>
      </c>
      <c r="BC317" s="273">
        <f>($BA$317+(($BF$317-$BA$317)*0.4))</f>
        <v>44636</v>
      </c>
      <c r="BD317" s="273">
        <f>($BA$317+(($BF$317-$BA$317)*0.6))</f>
        <v>44696</v>
      </c>
      <c r="BE317" s="273">
        <f>($BA$317+(($BF$317-$BA$317)*0.8))</f>
        <v>44756</v>
      </c>
      <c r="BF317" s="224">
        <f>BA317+HLOOKUP(BA317+1, $B$316:$O$317,2,TRUE)</f>
        <v>44816</v>
      </c>
      <c r="BG317" s="364">
        <f t="shared" ref="BG317:BK317" si="1">BF317+HLOOKUP(BF317+1, $B$316:$O$317,2,TRUE)</f>
        <v>45116</v>
      </c>
      <c r="BH317" s="224">
        <f t="shared" si="1"/>
        <v>45416</v>
      </c>
      <c r="BI317" s="224">
        <f t="shared" si="1"/>
        <v>45716</v>
      </c>
      <c r="BJ317" s="233">
        <f t="shared" si="1"/>
        <v>46016</v>
      </c>
      <c r="BK317" s="233">
        <f t="shared" si="1"/>
        <v>46316</v>
      </c>
      <c r="BL317" s="245">
        <f>BK317+(7*8)</f>
        <v>46372</v>
      </c>
      <c r="BM317" s="70"/>
      <c r="BN317" s="70"/>
      <c r="BO317" s="69"/>
    </row>
    <row r="318" spans="1:67" x14ac:dyDescent="0.25">
      <c r="A318" s="41" t="s">
        <v>106</v>
      </c>
      <c r="B318" s="16"/>
      <c r="C318" s="16"/>
      <c r="D318" s="16"/>
      <c r="E318" s="16"/>
      <c r="F318" s="16"/>
      <c r="G318" s="16"/>
      <c r="H318" s="16"/>
      <c r="I318" s="16"/>
      <c r="J318" s="16"/>
      <c r="K318" s="16"/>
      <c r="L318" s="16"/>
      <c r="M318" s="16"/>
      <c r="N318" s="16"/>
      <c r="O318" s="16"/>
      <c r="P318" s="262">
        <v>31.25</v>
      </c>
      <c r="Q318" s="263">
        <f>P318*2</f>
        <v>62.5</v>
      </c>
      <c r="R318" s="263">
        <f t="shared" ref="R318:AD318" si="2">Q318*2</f>
        <v>125</v>
      </c>
      <c r="S318" s="263">
        <f t="shared" si="2"/>
        <v>250</v>
      </c>
      <c r="T318" s="263">
        <f t="shared" si="2"/>
        <v>500</v>
      </c>
      <c r="U318" s="263">
        <f t="shared" si="2"/>
        <v>1000</v>
      </c>
      <c r="V318" s="263">
        <f t="shared" si="2"/>
        <v>2000</v>
      </c>
      <c r="W318" s="263">
        <f t="shared" si="2"/>
        <v>4000</v>
      </c>
      <c r="X318" s="263">
        <f t="shared" si="2"/>
        <v>8000</v>
      </c>
      <c r="Y318" s="263">
        <f>X318*2</f>
        <v>16000</v>
      </c>
      <c r="Z318" s="263">
        <f>Y318*2</f>
        <v>32000</v>
      </c>
      <c r="AA318" s="263">
        <f>Z318*2</f>
        <v>64000</v>
      </c>
      <c r="AB318" s="263">
        <f>AA318*2</f>
        <v>128000</v>
      </c>
      <c r="AC318" s="263">
        <f t="shared" si="2"/>
        <v>256000</v>
      </c>
      <c r="AD318" s="263">
        <f t="shared" si="2"/>
        <v>512000</v>
      </c>
      <c r="AE318" s="263">
        <f>$AD$318+(($AH$318-$AD$318)*0.25)</f>
        <v>640000</v>
      </c>
      <c r="AF318" s="263">
        <f>$AD$318+(($AH$318-$AD$318)*0.5)</f>
        <v>768000</v>
      </c>
      <c r="AG318" s="263">
        <f>$AD$318+(($AH$318-$AD$318)*0.75)</f>
        <v>896000</v>
      </c>
      <c r="AH318" s="263">
        <f>AD318*2</f>
        <v>1024000</v>
      </c>
      <c r="AI318" s="263">
        <f>$AH$318+(($AL$318-$AH$318)*0.28)</f>
        <v>1310720</v>
      </c>
      <c r="AJ318" s="263">
        <f>$AH$318+(($AL$318-$AH$318)*0.5)</f>
        <v>1536000</v>
      </c>
      <c r="AK318" s="263">
        <f>$AH$318+(($AL$318-$AH$318)*0.75)</f>
        <v>1792000</v>
      </c>
      <c r="AL318" s="263">
        <f>AH318*2</f>
        <v>2048000</v>
      </c>
      <c r="AM318" s="263">
        <f>$AL$318+(($AQ$318-$AL$318)*0.2)</f>
        <v>2457600</v>
      </c>
      <c r="AN318" s="263">
        <f>$AL$318+(($AQ$318-$AL$318)*0.4)</f>
        <v>2867200</v>
      </c>
      <c r="AO318" s="263">
        <f>$AL$318+(($AQ$318-$AL$318)*0.6)</f>
        <v>3276800</v>
      </c>
      <c r="AP318" s="263">
        <f>$AL$318+(($AQ$318-$AL$318)*0.8)</f>
        <v>3686400</v>
      </c>
      <c r="AQ318" s="263">
        <f>AL318*2</f>
        <v>4096000</v>
      </c>
      <c r="AR318" s="263">
        <f>$AQ$318+(($AV$318-$AQ$318)*0.2)</f>
        <v>4915200</v>
      </c>
      <c r="AS318" s="263">
        <f>$AQ$318+(($AV$318-$AQ$318)*0.4)</f>
        <v>5734400</v>
      </c>
      <c r="AT318" s="263">
        <f>$AQ$318+(($AV$318-$AQ$318)*0.6)</f>
        <v>6553600</v>
      </c>
      <c r="AU318" s="263">
        <f>$AQ$318+(($AV$318-$AQ$318)*0.8)</f>
        <v>7372800</v>
      </c>
      <c r="AV318" s="263">
        <f>AQ318*2</f>
        <v>8192000</v>
      </c>
      <c r="AW318" s="263">
        <f>$AV$318+(($BA$318-$AV$318)*0.2)</f>
        <v>9830400</v>
      </c>
      <c r="AX318" s="263">
        <f>$AV$318+(($BA$318-$AV$318)*0.4)</f>
        <v>11468800</v>
      </c>
      <c r="AY318" s="263">
        <f>$AV$318+(($BA$318-$AV$318)*0.6)</f>
        <v>13107200</v>
      </c>
      <c r="AZ318" s="263">
        <f>$AV$318+(($BA$318-$AV$318)*0.8)</f>
        <v>14745600</v>
      </c>
      <c r="BA318" s="263">
        <f>AV318*2</f>
        <v>16384000</v>
      </c>
      <c r="BB318" s="263">
        <f>$BA$318+(($BF$318-$BA$318)*0.2)</f>
        <v>19660800</v>
      </c>
      <c r="BC318" s="263">
        <f>$BA$318+(($BF$318-$BA$318)*0.4)</f>
        <v>22937600</v>
      </c>
      <c r="BD318" s="263">
        <f>$BA$318+(($BF$318-$BA$318)*0.6)</f>
        <v>26214400</v>
      </c>
      <c r="BE318" s="263">
        <f>$BA$318+(($BF$318-$BA$318)*0.8)</f>
        <v>29491200</v>
      </c>
      <c r="BF318" s="263">
        <f>BA318*2</f>
        <v>32768000</v>
      </c>
      <c r="BG318" s="234">
        <f t="shared" ref="BG318:BI318" si="3">BF318*2</f>
        <v>65536000</v>
      </c>
      <c r="BH318" s="205">
        <f t="shared" si="3"/>
        <v>131072000</v>
      </c>
      <c r="BI318" s="205">
        <f t="shared" si="3"/>
        <v>262144000</v>
      </c>
      <c r="BJ318" s="206">
        <f>B299</f>
        <v>330565500</v>
      </c>
      <c r="BK318" s="206">
        <f>B299</f>
        <v>330565500</v>
      </c>
      <c r="BL318" s="360">
        <f>B299*BL319</f>
        <v>23139585.000000004</v>
      </c>
      <c r="BM318" s="45"/>
      <c r="BN318" s="45"/>
      <c r="BO318" s="69"/>
    </row>
    <row r="319" spans="1:67" x14ac:dyDescent="0.25">
      <c r="A319" s="41" t="s">
        <v>107</v>
      </c>
      <c r="B319" s="16"/>
      <c r="C319" s="16"/>
      <c r="D319" s="16"/>
      <c r="E319" s="16"/>
      <c r="F319" s="16"/>
      <c r="G319" s="16"/>
      <c r="H319" s="16"/>
      <c r="I319" s="16"/>
      <c r="J319" s="16"/>
      <c r="K319" s="16"/>
      <c r="L319" s="16"/>
      <c r="M319" s="16"/>
      <c r="N319" s="16"/>
      <c r="O319" s="16"/>
      <c r="P319" s="215">
        <f>P318/$B$299</f>
        <v>9.453497113280122E-8</v>
      </c>
      <c r="Q319" s="216">
        <f>Q318/$B$299</f>
        <v>1.8906994226560244E-7</v>
      </c>
      <c r="R319" s="216">
        <f>R318/$B$299</f>
        <v>3.7813988453120488E-7</v>
      </c>
      <c r="S319" s="193">
        <f>S318/$B$299</f>
        <v>7.5627976906240976E-7</v>
      </c>
      <c r="T319" s="193">
        <f>T318/$B$299</f>
        <v>1.5125595381248195E-6</v>
      </c>
      <c r="U319" s="193">
        <f>U318/$B$299</f>
        <v>3.025119076249639E-6</v>
      </c>
      <c r="V319" s="193">
        <f>V318/$B$299</f>
        <v>6.0502381524992781E-6</v>
      </c>
      <c r="W319" s="66">
        <f>W318/$B$299</f>
        <v>1.2100476304998556E-5</v>
      </c>
      <c r="X319" s="36">
        <f>X318/$B$299</f>
        <v>2.4200952609997112E-5</v>
      </c>
      <c r="Y319" s="36">
        <f>Y318/$B$299</f>
        <v>4.8401905219994225E-5</v>
      </c>
      <c r="Z319" s="36">
        <f>Z318/$B$299</f>
        <v>9.6803810439988449E-5</v>
      </c>
      <c r="AA319" s="36">
        <f>AA318/$B$299</f>
        <v>1.936076208799769E-4</v>
      </c>
      <c r="AB319" s="36">
        <f>AB318/$B$299</f>
        <v>3.872152417599538E-4</v>
      </c>
      <c r="AC319" s="14">
        <f>AC318/$B$299</f>
        <v>7.7443048351990759E-4</v>
      </c>
      <c r="AD319" s="14">
        <f>AD318/$B$299</f>
        <v>1.5488609670398152E-3</v>
      </c>
      <c r="AE319" s="14">
        <f>AE318/$B$299</f>
        <v>1.9360762087997688E-3</v>
      </c>
      <c r="AF319" s="14">
        <f>AF318/$B$299</f>
        <v>2.3232914505597227E-3</v>
      </c>
      <c r="AG319" s="14">
        <f>AG318/$B$299</f>
        <v>2.7105066923196765E-3</v>
      </c>
      <c r="AH319" s="14">
        <f>AH318/$B$299</f>
        <v>3.0977219340796304E-3</v>
      </c>
      <c r="AI319" s="14">
        <f>AI318/$B$299</f>
        <v>3.9650840756219269E-3</v>
      </c>
      <c r="AJ319" s="14">
        <f>AJ318/$B$299</f>
        <v>4.6465829011194454E-3</v>
      </c>
      <c r="AK319" s="14">
        <f>AK318/$B$299</f>
        <v>5.4210133846393531E-3</v>
      </c>
      <c r="AL319" s="14">
        <f>AL318/$B$299</f>
        <v>6.1954438681592608E-3</v>
      </c>
      <c r="AM319" s="15">
        <f>AM318/$B$299</f>
        <v>7.4345326417911122E-3</v>
      </c>
      <c r="AN319" s="15">
        <f>AN318/$B$299</f>
        <v>8.6736214154229645E-3</v>
      </c>
      <c r="AO319" s="15">
        <f>AO318/$B$299</f>
        <v>9.9127101890548169E-3</v>
      </c>
      <c r="AP319" s="15">
        <f>AP318/$B$299</f>
        <v>1.1151798962686669E-2</v>
      </c>
      <c r="AQ319" s="15">
        <f>AQ318/$B$299</f>
        <v>1.2390887736318522E-2</v>
      </c>
      <c r="AR319" s="15">
        <f>AR318/$B$299</f>
        <v>1.4869065283582224E-2</v>
      </c>
      <c r="AS319" s="15">
        <f>AS318/$B$299</f>
        <v>1.7347242830845929E-2</v>
      </c>
      <c r="AT319" s="15">
        <f>AT318/$B$299</f>
        <v>1.9825420378109634E-2</v>
      </c>
      <c r="AU319" s="15">
        <f>AU318/$B$299</f>
        <v>2.2303597925373338E-2</v>
      </c>
      <c r="AV319" s="15">
        <f>AV318/$B$299</f>
        <v>2.4781775472637043E-2</v>
      </c>
      <c r="AW319" s="15">
        <f>AW318/$B$299</f>
        <v>2.9738130567164449E-2</v>
      </c>
      <c r="AX319" s="15">
        <f>AX318/$B$299</f>
        <v>3.4694485661691858E-2</v>
      </c>
      <c r="AY319" s="15">
        <f>AY318/$B$299</f>
        <v>3.9650840756219267E-2</v>
      </c>
      <c r="AZ319" s="15">
        <f>AZ318/$B$299</f>
        <v>4.4607195850746677E-2</v>
      </c>
      <c r="BA319" s="15">
        <f>BA318/$B$299</f>
        <v>4.9563550945274086E-2</v>
      </c>
      <c r="BB319" s="15">
        <f>BB318/$B$299</f>
        <v>5.9476261134328898E-2</v>
      </c>
      <c r="BC319" s="15">
        <f>BC318/$B$299</f>
        <v>6.9388971323383716E-2</v>
      </c>
      <c r="BD319" s="15">
        <f>BD318/$B$299</f>
        <v>7.9301681512438535E-2</v>
      </c>
      <c r="BE319" s="15">
        <f>BE318/$B$299</f>
        <v>8.9214391701493354E-2</v>
      </c>
      <c r="BF319" s="15">
        <f>BF318/$B$299</f>
        <v>9.9127101890548172E-2</v>
      </c>
      <c r="BG319" s="252">
        <f>BG318/$B$299</f>
        <v>0.19825420378109634</v>
      </c>
      <c r="BH319" s="220">
        <f>BH318/$B$299</f>
        <v>0.39650840756219269</v>
      </c>
      <c r="BI319" s="220">
        <f>BI318/$B$299</f>
        <v>0.79301681512438538</v>
      </c>
      <c r="BJ319" s="178">
        <f>BJ318/$B$299</f>
        <v>1</v>
      </c>
      <c r="BK319" s="178">
        <f>BK318/$B$299</f>
        <v>1</v>
      </c>
      <c r="BL319" s="361">
        <f>B306</f>
        <v>7.0000000000000007E-2</v>
      </c>
      <c r="BM319" s="25"/>
      <c r="BN319" s="25"/>
      <c r="BO319" s="69"/>
    </row>
    <row r="320" spans="1:67" x14ac:dyDescent="0.25">
      <c r="A320" s="41" t="s">
        <v>155</v>
      </c>
      <c r="B320" s="16"/>
      <c r="C320" s="16"/>
      <c r="D320" s="16"/>
      <c r="E320" s="16"/>
      <c r="F320" s="16"/>
      <c r="G320" s="16"/>
      <c r="H320" s="16"/>
      <c r="I320" s="16"/>
      <c r="J320" s="16"/>
      <c r="K320" s="16"/>
      <c r="L320" s="16"/>
      <c r="M320" s="16"/>
      <c r="N320" s="16"/>
      <c r="O320" s="16"/>
      <c r="P320" s="255">
        <f t="shared" ref="P320:Y320" si="4">MAX(P318-(P326-P327)-(P328-P329)-(P330-P331),0)</f>
        <v>25.558430925469978</v>
      </c>
      <c r="Q320" s="256">
        <f t="shared" si="4"/>
        <v>48.253729583441825</v>
      </c>
      <c r="R320" s="256">
        <f t="shared" si="4"/>
        <v>104.90319014596037</v>
      </c>
      <c r="S320" s="256">
        <f t="shared" si="4"/>
        <v>224.72190063694103</v>
      </c>
      <c r="T320" s="256">
        <f>MAX(T318-(T326-T327)-(T328-T329)-(T330-T331),0)</f>
        <v>468.16151942648673</v>
      </c>
      <c r="U320" s="256">
        <f t="shared" si="4"/>
        <v>955.08635794363818</v>
      </c>
      <c r="V320" s="256">
        <f>MAX(V318-(V326-V327)-(V328-V329)-(V330-V331),0)</f>
        <v>1950.8214285714287</v>
      </c>
      <c r="W320" s="256">
        <f t="shared" si="4"/>
        <v>3941.9387841598559</v>
      </c>
      <c r="X320" s="256">
        <f t="shared" si="4"/>
        <v>7899.3926009765419</v>
      </c>
      <c r="Y320" s="256">
        <f t="shared" si="4"/>
        <v>15815.828395301851</v>
      </c>
      <c r="Z320" s="256">
        <f>MAX(Z318-(Z326-Z327)-(Z328-Z329)-(Z330-Z331),0)</f>
        <v>31608.741071428572</v>
      </c>
      <c r="AA320" s="256">
        <f t="shared" ref="AA320:BE320" si="5">MAX(AA318-(AA326-AA327)-(AA328-AA329)-(AA330-AA331),0)</f>
        <v>63059.098214285717</v>
      </c>
      <c r="AB320" s="256">
        <f t="shared" si="5"/>
        <v>125994.22083273345</v>
      </c>
      <c r="AC320" s="256">
        <f t="shared" si="5"/>
        <v>247644.31677867728</v>
      </c>
      <c r="AD320" s="256">
        <f t="shared" si="5"/>
        <v>416172.14285714284</v>
      </c>
      <c r="AE320" s="256">
        <f t="shared" ref="AE320:AG320" si="6">MAX(AE318-(AE326-AE327)-(AE328-AE329)-(AE330-AE331),0)</f>
        <v>402226.56939406152</v>
      </c>
      <c r="AF320" s="256">
        <f t="shared" si="6"/>
        <v>399354.62073629722</v>
      </c>
      <c r="AG320" s="256">
        <f t="shared" si="6"/>
        <v>119097.53326256634</v>
      </c>
      <c r="AH320" s="256">
        <f t="shared" si="5"/>
        <v>413664.82197137375</v>
      </c>
      <c r="AI320" s="256">
        <f t="shared" ref="AI320:AK320" si="7">MAX(AI318-(AI326-AI327)-(AI328-AI329)-(AI330-AI331),0)</f>
        <v>528504.95254129253</v>
      </c>
      <c r="AJ320" s="256">
        <f t="shared" si="7"/>
        <v>63909.430513412852</v>
      </c>
      <c r="AK320" s="256">
        <f t="shared" si="7"/>
        <v>15353.280587385554</v>
      </c>
      <c r="AL320" s="256">
        <f t="shared" si="5"/>
        <v>68410.068721800286</v>
      </c>
      <c r="AM320" s="256">
        <f t="shared" ref="AM320:AP320" si="8">MAX(AM318-(AM326-AM327)-(AM328-AM329)-(AM330-AM331),0)</f>
        <v>388762.29476568697</v>
      </c>
      <c r="AN320" s="256">
        <f t="shared" si="8"/>
        <v>179080.63643672192</v>
      </c>
      <c r="AO320" s="256">
        <f t="shared" si="8"/>
        <v>542641.44718674361</v>
      </c>
      <c r="AP320" s="256">
        <f t="shared" si="8"/>
        <v>572887.52412083198</v>
      </c>
      <c r="AQ320" s="256">
        <f t="shared" si="5"/>
        <v>607365.28854696709</v>
      </c>
      <c r="AR320" s="256">
        <f t="shared" ref="AR320:AU320" si="9">MAX(AR318-(AR326-AR327)-(AR328-AR329)-(AR330-AR331),0)</f>
        <v>0</v>
      </c>
      <c r="AS320" s="256">
        <f t="shared" si="9"/>
        <v>0</v>
      </c>
      <c r="AT320" s="256">
        <f t="shared" si="9"/>
        <v>0</v>
      </c>
      <c r="AU320" s="256">
        <f t="shared" si="9"/>
        <v>0</v>
      </c>
      <c r="AV320" s="256">
        <f t="shared" si="5"/>
        <v>0</v>
      </c>
      <c r="AW320" s="256">
        <f t="shared" ref="AW320:AZ320" si="10">MAX(AW318-(AW326-AW327)-(AW328-AW329)-(AW330-AW331),0)</f>
        <v>0</v>
      </c>
      <c r="AX320" s="256">
        <f t="shared" si="10"/>
        <v>0</v>
      </c>
      <c r="AY320" s="256">
        <f t="shared" si="10"/>
        <v>0</v>
      </c>
      <c r="AZ320" s="256">
        <f t="shared" si="10"/>
        <v>0</v>
      </c>
      <c r="BA320" s="256">
        <f t="shared" si="5"/>
        <v>0</v>
      </c>
      <c r="BB320" s="256">
        <f t="shared" si="5"/>
        <v>0</v>
      </c>
      <c r="BC320" s="256">
        <f t="shared" si="5"/>
        <v>0</v>
      </c>
      <c r="BD320" s="256">
        <f t="shared" si="5"/>
        <v>0</v>
      </c>
      <c r="BE320" s="256">
        <f t="shared" si="5"/>
        <v>0</v>
      </c>
      <c r="BF320" s="256">
        <f t="shared" ref="BF320:BJ320" si="11">MAX(BF318-(BF326-BF327)-(BF328-BF329)-(BF330-BF331),0)</f>
        <v>0</v>
      </c>
      <c r="BG320" s="236">
        <f t="shared" si="11"/>
        <v>0</v>
      </c>
      <c r="BH320" s="196">
        <f t="shared" si="11"/>
        <v>0</v>
      </c>
      <c r="BI320" s="196">
        <f t="shared" si="11"/>
        <v>0</v>
      </c>
      <c r="BJ320" s="197">
        <f t="shared" si="11"/>
        <v>0</v>
      </c>
      <c r="BK320" s="197">
        <f>MAX(BK318-(BK326-BK327)-(BK328-BK329)-(BK330-BK331),0)</f>
        <v>0</v>
      </c>
      <c r="BL320" s="362"/>
      <c r="BM320" s="45"/>
      <c r="BN320" s="45"/>
      <c r="BO320" s="69"/>
    </row>
    <row r="321" spans="1:67" x14ac:dyDescent="0.25">
      <c r="A321" s="41" t="s">
        <v>169</v>
      </c>
      <c r="B321" s="16"/>
      <c r="C321" s="16"/>
      <c r="D321" s="16"/>
      <c r="E321" s="16"/>
      <c r="F321" s="16"/>
      <c r="G321" s="16"/>
      <c r="H321" s="16"/>
      <c r="I321" s="16"/>
      <c r="J321" s="16"/>
      <c r="K321" s="16"/>
      <c r="L321" s="16"/>
      <c r="M321" s="16"/>
      <c r="N321" s="16"/>
      <c r="O321" s="16"/>
      <c r="P321" s="86">
        <f>MAX(P318-P320-P333,0)</f>
        <v>5.6915690745300225</v>
      </c>
      <c r="Q321" s="87">
        <f>MAX(Q318-Q320-Q333,0)</f>
        <v>14.246270416558175</v>
      </c>
      <c r="R321" s="87">
        <f t="shared" ref="R321:S321" si="12">MAX(R318-R320-R333,0)</f>
        <v>20.096809854039634</v>
      </c>
      <c r="S321" s="87">
        <f t="shared" si="12"/>
        <v>25.278099363058971</v>
      </c>
      <c r="T321" s="121">
        <f>MAX(T318-T320-T333,0)</f>
        <v>31.838480573513266</v>
      </c>
      <c r="U321" s="121">
        <f t="shared" ref="U321:BC321" si="13">MAX(U318-U320-U333,0)</f>
        <v>44.913642056361823</v>
      </c>
      <c r="V321" s="121">
        <f t="shared" si="13"/>
        <v>49.178571428571331</v>
      </c>
      <c r="W321" s="121">
        <f t="shared" si="13"/>
        <v>58.061215840144087</v>
      </c>
      <c r="X321" s="121">
        <f t="shared" si="13"/>
        <v>100.60739902345813</v>
      </c>
      <c r="Y321" s="121">
        <f t="shared" si="13"/>
        <v>184.17160469814917</v>
      </c>
      <c r="Z321" s="121">
        <f t="shared" si="13"/>
        <v>391.25892857142753</v>
      </c>
      <c r="AA321" s="121">
        <f t="shared" si="13"/>
        <v>940.9017857142826</v>
      </c>
      <c r="AB321" s="121">
        <f t="shared" si="13"/>
        <v>2004.0092618987662</v>
      </c>
      <c r="AC321" s="121">
        <f t="shared" si="13"/>
        <v>8352.5427612274216</v>
      </c>
      <c r="AD321" s="121">
        <f t="shared" si="13"/>
        <v>95814.626150040669</v>
      </c>
      <c r="AE321" s="121">
        <f t="shared" ref="AE321:AG321" si="14">MAX(AE318-AE320-AE333,0)</f>
        <v>237714.7694452242</v>
      </c>
      <c r="AF321" s="121">
        <f t="shared" si="14"/>
        <v>368492.97102347086</v>
      </c>
      <c r="AG321" s="121">
        <f t="shared" si="14"/>
        <v>776381.7198489497</v>
      </c>
      <c r="AH321" s="121">
        <f t="shared" si="13"/>
        <v>608416.43954214477</v>
      </c>
      <c r="AI321" s="121">
        <f t="shared" ref="AI321:AK321" si="15">MAX(AI318-AI320-AI333,0)</f>
        <v>768917.8024031379</v>
      </c>
      <c r="AJ321" s="121">
        <f t="shared" si="15"/>
        <v>1432659.8756040102</v>
      </c>
      <c r="AK321" s="121">
        <f t="shared" si="15"/>
        <v>1720217.7119430141</v>
      </c>
      <c r="AL321" s="121">
        <f t="shared" si="13"/>
        <v>1821391.1625013798</v>
      </c>
      <c r="AM321" s="121">
        <f t="shared" ref="AM321:AP321" si="16">MAX(AM318-AM320-AM333,0)</f>
        <v>1984864.8214820097</v>
      </c>
      <c r="AN321" s="121">
        <f t="shared" si="16"/>
        <v>2550032.7704009544</v>
      </c>
      <c r="AO321" s="121">
        <f t="shared" si="16"/>
        <v>2481694.8148320988</v>
      </c>
      <c r="AP321" s="121">
        <f t="shared" si="16"/>
        <v>2840380.945977706</v>
      </c>
      <c r="AQ321" s="121">
        <f t="shared" si="13"/>
        <v>3196883.5226554498</v>
      </c>
      <c r="AR321" s="121">
        <f t="shared" ref="AR321:AU321" si="17">MAX(AR318-AR320-AR333,0)</f>
        <v>4585691.0628925636</v>
      </c>
      <c r="AS321" s="121">
        <f t="shared" si="17"/>
        <v>4832704.461663573</v>
      </c>
      <c r="AT321" s="121">
        <f t="shared" si="17"/>
        <v>5668576.3613689449</v>
      </c>
      <c r="AU321" s="121">
        <f t="shared" si="17"/>
        <v>6488039.5982849095</v>
      </c>
      <c r="AV321" s="121">
        <f t="shared" si="13"/>
        <v>7297433.2235763278</v>
      </c>
      <c r="AW321" s="121">
        <f t="shared" ref="AW321:AZ321" si="18">MAX(AW318-AW320-AW333,0)</f>
        <v>8898522.8756779693</v>
      </c>
      <c r="AX321" s="121">
        <f t="shared" si="18"/>
        <v>10486233.959880933</v>
      </c>
      <c r="AY321" s="121">
        <f t="shared" si="18"/>
        <v>12066547.964047495</v>
      </c>
      <c r="AZ321" s="121">
        <f t="shared" si="18"/>
        <v>13642372.483663844</v>
      </c>
      <c r="BA321" s="121">
        <f t="shared" si="13"/>
        <v>15215282.820255667</v>
      </c>
      <c r="BB321" s="121">
        <f t="shared" si="13"/>
        <v>18424603.207631342</v>
      </c>
      <c r="BC321" s="121">
        <f t="shared" si="13"/>
        <v>21509395.859026194</v>
      </c>
      <c r="BD321" s="121">
        <f>MAX(BD318-BD320-BD333,0)</f>
        <v>24601990.161171742</v>
      </c>
      <c r="BE321" s="121">
        <f>MAX(BE318-BE320-BE333,0)</f>
        <v>27700457.357985973</v>
      </c>
      <c r="BF321" s="121">
        <f>MAX(BF318-BF320-BF333,0)</f>
        <v>30803450.096237507</v>
      </c>
      <c r="BG321" s="253">
        <f>MAX(BG318-BG320-BG333,0)</f>
        <v>0</v>
      </c>
      <c r="BH321" s="210">
        <f t="shared" ref="BH321:BK321" si="19">MAX(BH318-BH320-BH333,0)</f>
        <v>65374912.888978794</v>
      </c>
      <c r="BI321" s="210">
        <f t="shared" si="19"/>
        <v>181392277.56875214</v>
      </c>
      <c r="BJ321" s="211">
        <f t="shared" si="19"/>
        <v>214172802.03695446</v>
      </c>
      <c r="BK321" s="211">
        <f t="shared" si="19"/>
        <v>146616813.02313131</v>
      </c>
      <c r="BL321" s="363"/>
      <c r="BM321" s="25"/>
      <c r="BN321" s="25"/>
      <c r="BO321" s="69"/>
    </row>
    <row r="322" spans="1:67" x14ac:dyDescent="0.25">
      <c r="A322" s="4" t="s">
        <v>162</v>
      </c>
      <c r="B322" s="9"/>
      <c r="C322" s="9"/>
      <c r="D322" s="9"/>
      <c r="E322" s="9"/>
      <c r="F322" s="9"/>
      <c r="G322" s="9"/>
      <c r="H322" s="9"/>
      <c r="I322" s="9"/>
      <c r="J322" s="9"/>
      <c r="K322" s="9"/>
      <c r="L322" s="9"/>
      <c r="M322" s="9"/>
      <c r="N322" s="9"/>
      <c r="O322" s="5"/>
      <c r="P322" s="194">
        <f>P318/$B$305</f>
        <v>112.72321428571429</v>
      </c>
      <c r="Q322" s="195">
        <f>Q318/$B$305</f>
        <v>225.44642857142858</v>
      </c>
      <c r="R322" s="195">
        <f>R318/$B$305</f>
        <v>450.89285714285717</v>
      </c>
      <c r="S322" s="195">
        <f>S318/$B$305</f>
        <v>901.78571428571433</v>
      </c>
      <c r="T322" s="195">
        <f>T318/$B$305</f>
        <v>1803.5714285714287</v>
      </c>
      <c r="U322" s="195">
        <f>U318/$B$305</f>
        <v>3607.1428571428573</v>
      </c>
      <c r="V322" s="195">
        <f>V318/$B$305</f>
        <v>7214.2857142857147</v>
      </c>
      <c r="W322" s="195">
        <f>W318/$B$305</f>
        <v>14428.571428571429</v>
      </c>
      <c r="X322" s="195">
        <f>X318/$B$305</f>
        <v>28857.142857142859</v>
      </c>
      <c r="Y322" s="195">
        <f>Y318/$B$305</f>
        <v>57714.285714285717</v>
      </c>
      <c r="Z322" s="195">
        <f>Z318/$B$305</f>
        <v>115428.57142857143</v>
      </c>
      <c r="AA322" s="195">
        <f>AA318/$B$305</f>
        <v>230857.14285714287</v>
      </c>
      <c r="AB322" s="195">
        <f>AB318/$B$305</f>
        <v>461714.28571428574</v>
      </c>
      <c r="AC322" s="195">
        <f>AC318/$B$305</f>
        <v>923428.57142857148</v>
      </c>
      <c r="AD322" s="195">
        <f>AD318/$B$305</f>
        <v>1846857.142857143</v>
      </c>
      <c r="AE322" s="195">
        <f t="shared" ref="AE322:AG322" si="20">AE318/$B$305</f>
        <v>2308571.4285714286</v>
      </c>
      <c r="AF322" s="195">
        <f t="shared" si="20"/>
        <v>2770285.7142857146</v>
      </c>
      <c r="AG322" s="195">
        <f t="shared" si="20"/>
        <v>3232000.0000000005</v>
      </c>
      <c r="AH322" s="195">
        <f>AH318/$B$305</f>
        <v>3693714.2857142859</v>
      </c>
      <c r="AI322" s="195">
        <f t="shared" ref="AI322:AK322" si="21">AI318/$B$305</f>
        <v>4727954.2857142864</v>
      </c>
      <c r="AJ322" s="195">
        <f t="shared" si="21"/>
        <v>5540571.4285714291</v>
      </c>
      <c r="AK322" s="195">
        <f t="shared" si="21"/>
        <v>6464000.0000000009</v>
      </c>
      <c r="AL322" s="195">
        <f>AL318/$B$305</f>
        <v>7387428.5714285718</v>
      </c>
      <c r="AM322" s="195">
        <f t="shared" ref="AM322:AP322" si="22">AM318/$B$305</f>
        <v>8864914.2857142873</v>
      </c>
      <c r="AN322" s="195">
        <f t="shared" si="22"/>
        <v>10342400.000000002</v>
      </c>
      <c r="AO322" s="195">
        <f t="shared" si="22"/>
        <v>11819885.714285716</v>
      </c>
      <c r="AP322" s="195">
        <f t="shared" si="22"/>
        <v>13297371.428571431</v>
      </c>
      <c r="AQ322" s="195">
        <f>AQ318/$B$305</f>
        <v>14774857.142857144</v>
      </c>
      <c r="AR322" s="195">
        <f t="shared" ref="AR322:AU322" si="23">AR318/$B$305</f>
        <v>17729828.571428575</v>
      </c>
      <c r="AS322" s="195">
        <f t="shared" si="23"/>
        <v>20684800.000000004</v>
      </c>
      <c r="AT322" s="195">
        <f t="shared" si="23"/>
        <v>23639771.428571433</v>
      </c>
      <c r="AU322" s="195">
        <f t="shared" si="23"/>
        <v>26594742.857142862</v>
      </c>
      <c r="AV322" s="195">
        <f>AV318/$B$305</f>
        <v>29549714.285714287</v>
      </c>
      <c r="AW322" s="195">
        <f t="shared" ref="AW322:AZ322" si="24">AW318/$B$305</f>
        <v>35459657.142857149</v>
      </c>
      <c r="AX322" s="195">
        <f t="shared" si="24"/>
        <v>41369600.000000007</v>
      </c>
      <c r="AY322" s="195">
        <f t="shared" si="24"/>
        <v>47279542.857142866</v>
      </c>
      <c r="AZ322" s="195">
        <f t="shared" si="24"/>
        <v>53189485.714285724</v>
      </c>
      <c r="BA322" s="195">
        <f>BA318/$B$305</f>
        <v>59099428.571428575</v>
      </c>
      <c r="BB322" s="195">
        <f>BB318/$B$305</f>
        <v>70919314.285714298</v>
      </c>
      <c r="BC322" s="195">
        <f>BC318/$B$305</f>
        <v>82739200.000000015</v>
      </c>
      <c r="BD322" s="195">
        <f>BD318/$B$305</f>
        <v>94559085.714285731</v>
      </c>
      <c r="BE322" s="195">
        <f>BE318/$B$305</f>
        <v>106378971.42857145</v>
      </c>
      <c r="BF322" s="195">
        <f>BF318/$B$305</f>
        <v>118198857.14285715</v>
      </c>
      <c r="BG322" s="236">
        <f>BG318/$B$305</f>
        <v>236397714.2857143</v>
      </c>
      <c r="BH322" s="196">
        <f>$B$299</f>
        <v>330565500</v>
      </c>
      <c r="BI322" s="196">
        <f>$B$299</f>
        <v>330565500</v>
      </c>
      <c r="BJ322" s="197">
        <f>$B$299</f>
        <v>330565500</v>
      </c>
      <c r="BK322" s="196">
        <f>BK318</f>
        <v>330565500</v>
      </c>
      <c r="BL322" s="239">
        <f>($B$299*$B$306)/$B$305</f>
        <v>83467788.75000003</v>
      </c>
      <c r="BM322" s="25"/>
      <c r="BN322" s="25"/>
      <c r="BO322" s="69"/>
    </row>
    <row r="323" spans="1:67" x14ac:dyDescent="0.25">
      <c r="A323" s="41" t="s">
        <v>111</v>
      </c>
      <c r="B323" s="16"/>
      <c r="C323" s="16"/>
      <c r="D323" s="16"/>
      <c r="E323" s="16"/>
      <c r="F323" s="16"/>
      <c r="G323" s="16"/>
      <c r="H323" s="16"/>
      <c r="I323" s="16"/>
      <c r="J323" s="16"/>
      <c r="K323" s="16"/>
      <c r="L323" s="16"/>
      <c r="M323" s="16"/>
      <c r="N323" s="16"/>
      <c r="O323" s="17"/>
      <c r="P323" s="192">
        <f>P322/$B$299</f>
        <v>3.410011458718901E-7</v>
      </c>
      <c r="Q323" s="193">
        <f>Q322/$B$299</f>
        <v>6.820022917437802E-7</v>
      </c>
      <c r="R323" s="193">
        <f>R322/$B$299</f>
        <v>1.3640045834875604E-6</v>
      </c>
      <c r="S323" s="66">
        <f>S322/$B$299</f>
        <v>2.7280091669751208E-6</v>
      </c>
      <c r="T323" s="66">
        <f>T322/$B$299</f>
        <v>5.4560183339502416E-6</v>
      </c>
      <c r="U323" s="66">
        <f>U322/$B$299</f>
        <v>1.0912036667900483E-5</v>
      </c>
      <c r="V323" s="66">
        <f>V322/$B$299</f>
        <v>2.1824073335800967E-5</v>
      </c>
      <c r="W323" s="66">
        <f>W322/$B$299</f>
        <v>4.3648146671601933E-5</v>
      </c>
      <c r="X323" s="36">
        <f>X322/$B$299</f>
        <v>8.7296293343203866E-5</v>
      </c>
      <c r="Y323" s="36">
        <f>Y322/$B$299</f>
        <v>1.7459258668640773E-4</v>
      </c>
      <c r="Z323" s="36">
        <f>Z322/$B$299</f>
        <v>3.4918517337281546E-4</v>
      </c>
      <c r="AA323" s="36">
        <f>AA322/$B$299</f>
        <v>6.9837034674563093E-4</v>
      </c>
      <c r="AB323" s="14">
        <f>AB322/$B$299</f>
        <v>1.3967406934912619E-3</v>
      </c>
      <c r="AC323" s="15">
        <f>AC322/$B$299</f>
        <v>2.7934813869825237E-3</v>
      </c>
      <c r="AD323" s="15">
        <f>AD322/$B$299</f>
        <v>5.5869627739650474E-3</v>
      </c>
      <c r="AE323" s="15">
        <f>AE322/$B$299</f>
        <v>6.9837034674563097E-3</v>
      </c>
      <c r="AF323" s="15">
        <f>AF322/$B$299</f>
        <v>8.380444160947572E-3</v>
      </c>
      <c r="AG323" s="15">
        <f>AG322/$B$299</f>
        <v>9.7771848544388335E-3</v>
      </c>
      <c r="AH323" s="15">
        <f>AH322/$B$299</f>
        <v>1.1173925547930095E-2</v>
      </c>
      <c r="AI323" s="15">
        <f>AI322/$B$299</f>
        <v>1.4302624701350523E-2</v>
      </c>
      <c r="AJ323" s="15">
        <f>AJ322/$B$299</f>
        <v>1.6760888321895144E-2</v>
      </c>
      <c r="AK323" s="15">
        <f>AK322/$B$299</f>
        <v>1.9554369708877667E-2</v>
      </c>
      <c r="AL323" s="15">
        <f>AL322/$B$299</f>
        <v>2.234785109586019E-2</v>
      </c>
      <c r="AM323" s="15">
        <f>AM322/$B$299</f>
        <v>2.681742131503223E-2</v>
      </c>
      <c r="AN323" s="15">
        <f>AN322/$B$299</f>
        <v>3.1286991534204271E-2</v>
      </c>
      <c r="AO323" s="15">
        <f>AO322/$B$299</f>
        <v>3.5756561753376312E-2</v>
      </c>
      <c r="AP323" s="15">
        <f>AP322/$B$299</f>
        <v>4.0226131972548346E-2</v>
      </c>
      <c r="AQ323" s="15">
        <f>AQ322/$B$299</f>
        <v>4.469570219172038E-2</v>
      </c>
      <c r="AR323" s="75">
        <f>AR322/$B$299</f>
        <v>5.3634842630064461E-2</v>
      </c>
      <c r="AS323" s="75">
        <f>AS322/$B$299</f>
        <v>6.2573983068408542E-2</v>
      </c>
      <c r="AT323" s="75">
        <f>AT322/$B$299</f>
        <v>7.1513123506752624E-2</v>
      </c>
      <c r="AU323" s="75">
        <f>AU322/$B$299</f>
        <v>8.0452263945096691E-2</v>
      </c>
      <c r="AV323" s="75">
        <f>AV322/$B$299</f>
        <v>8.9391404383440759E-2</v>
      </c>
      <c r="AW323" s="75">
        <f>AW322/$B$299</f>
        <v>0.10726968526012892</v>
      </c>
      <c r="AX323" s="75">
        <f>AX322/$B$299</f>
        <v>0.12514796613681708</v>
      </c>
      <c r="AY323" s="75">
        <f>AY322/$B$299</f>
        <v>0.14302624701350525</v>
      </c>
      <c r="AZ323" s="75">
        <f>AZ322/$B$299</f>
        <v>0.16090452789019338</v>
      </c>
      <c r="BA323" s="75">
        <f>BA322/$B$299</f>
        <v>0.17878280876688152</v>
      </c>
      <c r="BB323" s="75">
        <f>BB322/$B$299</f>
        <v>0.21453937052025784</v>
      </c>
      <c r="BC323" s="75">
        <f>BC322/$B$299</f>
        <v>0.25029593227363417</v>
      </c>
      <c r="BD323" s="75">
        <f>BD322/$B$299</f>
        <v>0.2860524940270105</v>
      </c>
      <c r="BE323" s="75">
        <f>BE322/$B$299</f>
        <v>0.32180905578038677</v>
      </c>
      <c r="BF323" s="75">
        <f>BF322/$B$299</f>
        <v>0.35756561753376304</v>
      </c>
      <c r="BG323" s="235">
        <f>BG322/$B$299</f>
        <v>0.71513123506752607</v>
      </c>
      <c r="BH323" s="177">
        <f>BH322/$B$299</f>
        <v>1</v>
      </c>
      <c r="BI323" s="177">
        <f>BI322/$B$299</f>
        <v>1</v>
      </c>
      <c r="BJ323" s="178">
        <f>BJ322/$B$299</f>
        <v>1</v>
      </c>
      <c r="BK323" s="177">
        <v>1</v>
      </c>
      <c r="BL323" s="238">
        <f>BL322/B299</f>
        <v>0.25250000000000011</v>
      </c>
      <c r="BM323" s="25"/>
      <c r="BN323" s="25"/>
      <c r="BO323" s="69"/>
    </row>
    <row r="324" spans="1:67" x14ac:dyDescent="0.25">
      <c r="A324" s="41" t="s">
        <v>160</v>
      </c>
      <c r="B324" s="16"/>
      <c r="C324" s="16"/>
      <c r="D324" s="16"/>
      <c r="E324" s="16"/>
      <c r="F324" s="16"/>
      <c r="G324" s="16"/>
      <c r="H324" s="16"/>
      <c r="I324" s="16"/>
      <c r="J324" s="16"/>
      <c r="K324" s="16"/>
      <c r="L324" s="16"/>
      <c r="M324" s="16"/>
      <c r="N324" s="16"/>
      <c r="O324" s="17"/>
      <c r="P324" s="194">
        <f>P322-P318</f>
        <v>81.473214285714292</v>
      </c>
      <c r="Q324" s="195">
        <f t="shared" ref="Q324:AU324" si="25">Q322-Q318</f>
        <v>162.94642857142858</v>
      </c>
      <c r="R324" s="195">
        <f t="shared" si="25"/>
        <v>325.89285714285717</v>
      </c>
      <c r="S324" s="195">
        <f t="shared" si="25"/>
        <v>651.78571428571433</v>
      </c>
      <c r="T324" s="195">
        <f>T322-T318</f>
        <v>1303.5714285714287</v>
      </c>
      <c r="U324" s="195">
        <f t="shared" si="25"/>
        <v>2607.1428571428573</v>
      </c>
      <c r="V324" s="195">
        <f t="shared" si="25"/>
        <v>5214.2857142857147</v>
      </c>
      <c r="W324" s="195">
        <f t="shared" si="25"/>
        <v>10428.571428571429</v>
      </c>
      <c r="X324" s="195">
        <f t="shared" si="25"/>
        <v>20857.142857142859</v>
      </c>
      <c r="Y324" s="195">
        <f t="shared" si="25"/>
        <v>41714.285714285717</v>
      </c>
      <c r="Z324" s="195">
        <f t="shared" si="25"/>
        <v>83428.571428571435</v>
      </c>
      <c r="AA324" s="195">
        <f t="shared" si="25"/>
        <v>166857.14285714287</v>
      </c>
      <c r="AB324" s="195">
        <f t="shared" si="25"/>
        <v>333714.28571428574</v>
      </c>
      <c r="AC324" s="195">
        <f t="shared" si="25"/>
        <v>667428.57142857148</v>
      </c>
      <c r="AD324" s="195">
        <f t="shared" si="25"/>
        <v>1334857.142857143</v>
      </c>
      <c r="AE324" s="195">
        <f t="shared" ref="AE324:AG324" si="26">AE322-AE318</f>
        <v>1668571.4285714286</v>
      </c>
      <c r="AF324" s="195">
        <f t="shared" si="26"/>
        <v>2002285.7142857146</v>
      </c>
      <c r="AG324" s="195">
        <f t="shared" si="26"/>
        <v>2336000.0000000005</v>
      </c>
      <c r="AH324" s="195">
        <f t="shared" si="25"/>
        <v>2669714.2857142859</v>
      </c>
      <c r="AI324" s="195">
        <f t="shared" ref="AI324:AK324" si="27">AI322-AI318</f>
        <v>3417234.2857142864</v>
      </c>
      <c r="AJ324" s="195">
        <f t="shared" si="27"/>
        <v>4004571.4285714291</v>
      </c>
      <c r="AK324" s="195">
        <f t="shared" si="27"/>
        <v>4672000.0000000009</v>
      </c>
      <c r="AL324" s="195">
        <f t="shared" si="25"/>
        <v>5339428.5714285718</v>
      </c>
      <c r="AM324" s="195">
        <f t="shared" ref="AM324:AP324" si="28">AM322-AM318</f>
        <v>6407314.2857142873</v>
      </c>
      <c r="AN324" s="195">
        <f t="shared" si="28"/>
        <v>7475200.0000000019</v>
      </c>
      <c r="AO324" s="195">
        <f t="shared" si="28"/>
        <v>8543085.7142857164</v>
      </c>
      <c r="AP324" s="195">
        <f t="shared" si="28"/>
        <v>9610971.428571431</v>
      </c>
      <c r="AQ324" s="195">
        <f t="shared" si="25"/>
        <v>10678857.142857144</v>
      </c>
      <c r="AR324" s="195">
        <f t="shared" si="25"/>
        <v>12814628.571428575</v>
      </c>
      <c r="AS324" s="195">
        <f t="shared" si="25"/>
        <v>14950400.000000004</v>
      </c>
      <c r="AT324" s="195">
        <f t="shared" si="25"/>
        <v>17086171.428571433</v>
      </c>
      <c r="AU324" s="195">
        <f t="shared" si="25"/>
        <v>19221942.857142862</v>
      </c>
      <c r="AV324" s="195">
        <f>AV322-AV318</f>
        <v>21357714.285714287</v>
      </c>
      <c r="AW324" s="195">
        <f t="shared" ref="AW324:AZ324" si="29">AW322-AW318</f>
        <v>25629257.142857149</v>
      </c>
      <c r="AX324" s="195">
        <f t="shared" si="29"/>
        <v>29900800.000000007</v>
      </c>
      <c r="AY324" s="195">
        <f t="shared" si="29"/>
        <v>34172342.857142866</v>
      </c>
      <c r="AZ324" s="195">
        <f t="shared" si="29"/>
        <v>38443885.714285724</v>
      </c>
      <c r="BA324" s="195">
        <f>BA322-BA318</f>
        <v>42715428.571428575</v>
      </c>
      <c r="BB324" s="195">
        <f t="shared" ref="BB324:BE324" si="30">BB322-BB318</f>
        <v>51258514.285714298</v>
      </c>
      <c r="BC324" s="195">
        <f t="shared" si="30"/>
        <v>59801600.000000015</v>
      </c>
      <c r="BD324" s="195">
        <f t="shared" si="30"/>
        <v>68344685.714285731</v>
      </c>
      <c r="BE324" s="195">
        <f t="shared" si="30"/>
        <v>76887771.428571448</v>
      </c>
      <c r="BF324" s="195">
        <f>BF322-BF318</f>
        <v>85430857.142857149</v>
      </c>
      <c r="BG324" s="236">
        <f t="shared" ref="BG324:BJ324" si="31">BG322</f>
        <v>236397714.2857143</v>
      </c>
      <c r="BH324" s="196">
        <f t="shared" si="31"/>
        <v>330565500</v>
      </c>
      <c r="BI324" s="196">
        <f t="shared" si="31"/>
        <v>330565500</v>
      </c>
      <c r="BJ324" s="197">
        <f t="shared" si="31"/>
        <v>330565500</v>
      </c>
      <c r="BK324" s="196">
        <f>BK322</f>
        <v>330565500</v>
      </c>
      <c r="BL324" s="240">
        <f>BL322-BL318</f>
        <v>60328203.75000003</v>
      </c>
      <c r="BM324" s="25"/>
      <c r="BN324" s="25"/>
      <c r="BO324" s="69"/>
    </row>
    <row r="325" spans="1:67" x14ac:dyDescent="0.25">
      <c r="A325" s="37" t="s">
        <v>161</v>
      </c>
      <c r="B325" s="39"/>
      <c r="C325" s="39"/>
      <c r="D325" s="39"/>
      <c r="E325" s="39"/>
      <c r="F325" s="39"/>
      <c r="G325" s="39"/>
      <c r="H325" s="39"/>
      <c r="I325" s="39"/>
      <c r="J325" s="39"/>
      <c r="K325" s="39"/>
      <c r="L325" s="39"/>
      <c r="M325" s="39"/>
      <c r="N325" s="39"/>
      <c r="O325" s="63"/>
      <c r="P325" s="203">
        <f>MIN((1/$B$305)*(2^(((P317 - 14) - $B$314)/$P$343)),P324)</f>
        <v>25.346052756945866</v>
      </c>
      <c r="Q325" s="204">
        <f>MIN((1/$B$305)*(2^(((Q317 - 14) - $B$314)/$P$343)),Q324)</f>
        <v>63.442385893843721</v>
      </c>
      <c r="R325" s="204">
        <f>MIN((1/$B$305)*(2^(((R317 - 14) - $B$314)/$P$343)),R324)</f>
        <v>89.496375452292881</v>
      </c>
      <c r="S325" s="204">
        <f>MIN((1/$B$305)*(2^(((S317 - 14) - $B$314)/$P$343)),S324)</f>
        <v>112.57001920938961</v>
      </c>
      <c r="T325" s="195">
        <f>MIN(($P$318/$B$305)*(2^(((T317 - 14) - $P$317)/HLOOKUP((T317-14)-$B$314,$P$341:$BL$343,3,TRUE))),T324)</f>
        <v>141.78512071979</v>
      </c>
      <c r="U325" s="195">
        <f>MIN(($P$318/$B$305)*(2^(((U317 - 14) - $P$317)/HLOOKUP((U317-14)-$B$314,$P$341:$BL$343,3,TRUE))),U324)</f>
        <v>200.01225078009438</v>
      </c>
      <c r="V325" s="195">
        <f>MIN(($P$318/$B$305)*(2^(((V317 - 14) - $P$317)/HLOOKUP((V317-14)-$B$314,$P$341:$BL$343,3,TRUE))),V324)</f>
        <v>219.00510204081633</v>
      </c>
      <c r="W325" s="195">
        <f>MIN(($P$318/$B$305)*(2^(((W317 - 14) - $P$317)/HLOOKUP((W317-14)-$B$314,$P$341:$BL$343,3,TRUE))),W324)</f>
        <v>258.56185184543926</v>
      </c>
      <c r="X325" s="195">
        <f>MIN(($P$318/$B$305)*(2^(((X317 - 14) - $P$317)/HLOOKUP((X317-14)-$B$314,$P$341:$BL$343,3,TRUE))),X324)</f>
        <v>448.03118612739257</v>
      </c>
      <c r="Y325" s="195">
        <f>MIN(($P$318/$B$305)*(2^(((Y317 - 14) - $P$317)/HLOOKUP((Y317-14)-$B$314,$P$341:$BL$343,3,TRUE))),Y324)</f>
        <v>820.16455354995855</v>
      </c>
      <c r="Z325" s="195">
        <f>MIN(($P$318/$B$305)*(2^(((Z317 - 14) - $P$317)/HLOOKUP((Z317-14)-$B$314,$P$341:$BL$343,3,TRUE))),Z324)</f>
        <v>1742.3788265306121</v>
      </c>
      <c r="AA325" s="195">
        <f>MIN(($P$318/$B$305)*(2^(((AA317 - 14) - $P$317)/HLOOKUP((AA317-14)-$B$314,$P$341:$BL$343,3,TRUE))),AA324)</f>
        <v>4190.0829081632646</v>
      </c>
      <c r="AB325" s="195">
        <f>MIN(($P$318/$B$305)*(2^(((AB317 - 14) - $P$317)/HLOOKUP((AB317-14)-$B$314,$P$341:$BL$343,3,TRUE))),AB324)</f>
        <v>8924.4579081632637</v>
      </c>
      <c r="AC325" s="195">
        <f>MIN(($P$318/$B$305)*(2^(((AC317 - 14) - $P$317)/HLOOKUP((AC317-14)-$B$314,$P$341:$BL$343,3,TRUE))),AC324)</f>
        <v>37196.206320285062</v>
      </c>
      <c r="AD325" s="195">
        <f>MIN(($P$318/$B$305)*(2^(((AD317 - 14) - $P$317)/HLOOKUP((AD317-14)-$B$314,$P$341:$BL$343,3,TRUE))),AD324)</f>
        <v>401900.12755102047</v>
      </c>
      <c r="AE325" s="195">
        <f>MIN(($P$318/$B$305)*(2^(((AE317 - 14) - $P$317)/HLOOKUP((AE317-14)-$B$314,$P$341:$BL$343,3,TRUE))),AE324)</f>
        <v>997232.56681686733</v>
      </c>
      <c r="AF325" s="195">
        <f>MIN(($P$318/$B$305)*(2^(((AF317 - 14) - $P$317)/HLOOKUP((AF317-14)-$B$314,$P$341:$BL$343,3,TRUE))),AF324)</f>
        <v>1545944.8995279893</v>
      </c>
      <c r="AG325" s="195">
        <f>MIN(($P$318/$B$305)*(2^(((AG317 - 14) - $P$317)/HLOOKUP((AG317-14)-$B$314,$P$341:$BL$343,3,TRUE))),AG324)</f>
        <v>2336000.0000000005</v>
      </c>
      <c r="AH325" s="195">
        <f>MIN(($P$318/$B$305)*(2^(((AH317 - 14) - $P$317)/HLOOKUP((AH317-14)-$B$314,$P$341:$BL$343,3,TRUE))),AH324)</f>
        <v>2557546.8222961486</v>
      </c>
      <c r="AI325" s="195">
        <f>MIN(($P$318/$B$305)*(2^(((AI317 - 14) - $P$317)/HLOOKUP((AI317-14)-$B$314,$P$341:$BL$343,3,TRUE))),AI324)</f>
        <v>3226870.0293000056</v>
      </c>
      <c r="AJ325" s="195">
        <f>MIN(($P$318/$B$305)*(2^(((AJ317 - 14) - $P$317)/HLOOKUP((AJ317-14)-$B$314,$P$341:$BL$343,3,TRUE))),AJ324)</f>
        <v>4004571.4285714291</v>
      </c>
      <c r="AK325" s="195">
        <f>MIN(($P$318/$B$305)*(2^(((AK317 - 14) - $P$317)/HLOOKUP((AK317-14)-$B$314,$P$341:$BL$343,3,TRUE))),AK324)</f>
        <v>4672000.0000000009</v>
      </c>
      <c r="AL325" s="195">
        <f>MIN(($P$318/$B$305)*(2^(((AL317 - 14) - $P$317)/HLOOKUP((AL317-14)-$B$314,$P$341:$BL$343,3,TRUE))),AL324)</f>
        <v>5339428.5714285718</v>
      </c>
      <c r="AM325" s="195">
        <f>MIN(($P$318/$B$305)*(2^(((AM317 - 14) - $P$317)/HLOOKUP((AM317-14)-$B$314,$P$341:$BL$343,3,TRUE))),AM324)</f>
        <v>6407314.2857142873</v>
      </c>
      <c r="AN325" s="195">
        <f>MIN(($P$318/$B$305)*(2^(((AN317 - 14) - $P$317)/HLOOKUP((AN317-14)-$B$314,$P$341:$BL$343,3,TRUE))),AN324)</f>
        <v>7475200.0000000019</v>
      </c>
      <c r="AO325" s="195">
        <f>MIN(($P$318/$B$305)*(2^(((AO317 - 14) - $P$317)/HLOOKUP((AO317-14)-$B$314,$P$341:$BL$343,3,TRUE))),AO324)</f>
        <v>8543085.7142857164</v>
      </c>
      <c r="AP325" s="195">
        <f>MIN(($P$318/$B$305)*(2^(((AP317 - 14) - $P$317)/HLOOKUP((AP317-14)-$B$314,$P$341:$BL$343,3,TRUE))),AP324)</f>
        <v>9610971.428571431</v>
      </c>
      <c r="AQ325" s="195">
        <f>MIN(($P$318/$B$305)*(2^(((AQ317 - 14) - $P$317)/HLOOKUP((AQ317-14)-$B$314,$P$341:$BL$343,3,TRUE))),AQ324)</f>
        <v>10678857.142857144</v>
      </c>
      <c r="AR325" s="195">
        <f>MIN(($P$318/$B$305)*(2^(((AR317 - 14) - $P$317)/HLOOKUP((AR317-14)-$B$314,$P$341:$BL$343,3,TRUE))),AR324)</f>
        <v>12814628.571428575</v>
      </c>
      <c r="AS325" s="195">
        <f>MIN(($P$318/$B$305)*(2^(((AS317 - 14) - $P$317)/HLOOKUP((AS317-14)-$B$314,$P$341:$BL$343,3,TRUE))),AS324)</f>
        <v>14950400.000000004</v>
      </c>
      <c r="AT325" s="195">
        <f>MIN(($P$318/$B$305)*(2^(((AT317 - 14) - $P$317)/HLOOKUP((AT317-14)-$B$314,$P$341:$BL$343,3,TRUE))),AT324)</f>
        <v>17086171.428571433</v>
      </c>
      <c r="AU325" s="195">
        <f>MIN(($P$318/$B$305)*(2^(((AU317 - 14) - $P$317)/HLOOKUP((AU317-14)-$B$314,$P$341:$BL$343,3,TRUE))),AU324)</f>
        <v>19221942.857142862</v>
      </c>
      <c r="AV325" s="195">
        <f>MIN(($P$318/$B$305)*(2^(((AV317 - 14) - $P$317)/HLOOKUP((AV317-14)-$B$314,$P$341:$BL$343,3,TRUE))),AV324)</f>
        <v>21357714.285714287</v>
      </c>
      <c r="AW325" s="195">
        <f>MIN(($P$318/$B$305)*(2^(((AW317 - 14) - $P$317)/HLOOKUP((AW317-14)-$B$314,$P$341:$BL$343,3,TRUE))),AW324)</f>
        <v>25629257.142857149</v>
      </c>
      <c r="AX325" s="195">
        <f>MIN(($P$318/$B$305)*(2^(((AX317 - 14) - $P$317)/HLOOKUP((AX317-14)-$B$314,$P$341:$BL$343,3,TRUE))),AX324)</f>
        <v>29900800.000000007</v>
      </c>
      <c r="AY325" s="195">
        <f>MIN(($P$318/$B$305)*(2^(((AY317 - 14) - $P$317)/HLOOKUP((AY317-14)-$B$314,$P$341:$BL$343,3,TRUE))),AY324)</f>
        <v>34172342.857142866</v>
      </c>
      <c r="AZ325" s="195">
        <f>MIN(($P$318/$B$305)*(2^(((AZ317 - 14) - $P$317)/HLOOKUP((AZ317-14)-$B$314,$P$341:$BL$343,3,TRUE))),AZ324)</f>
        <v>38443885.714285724</v>
      </c>
      <c r="BA325" s="195">
        <f>MIN(($P$318/$B$305)*(2^(((BA317 - 14) - $P$317)/HLOOKUP((BA317-14)-$B$314,$P$341:$BL$343,3,TRUE))),BA324)</f>
        <v>42715428.571428575</v>
      </c>
      <c r="BB325" s="195">
        <f>MIN(($P$318/$B$305)*(2^(((BB317 - 14) - $P$317)/HLOOKUP((BB317-14)-$B$314,$P$341:$BL$343,3,TRUE))),BB324)</f>
        <v>51258514.285714298</v>
      </c>
      <c r="BC325" s="195">
        <f>MIN(($P$318/$B$305)*(2^(((BC317 - 14) - $P$317)/HLOOKUP((BC317-14)-$B$314,$P$341:$BL$343,3,TRUE))),BC324)</f>
        <v>59801600.000000015</v>
      </c>
      <c r="BD325" s="195">
        <f>MIN(($P$318/$B$305)*(2^(((BD317 - 14) - $P$317)/HLOOKUP((BD317-14)-$B$314,$P$341:$BL$343,3,TRUE))),BD324)</f>
        <v>68344685.714285731</v>
      </c>
      <c r="BE325" s="195">
        <f>MIN(($P$318/$B$305)*(2^(((BE317 - 14) - $P$317)/HLOOKUP((BE317-14)-$B$314,$P$341:$BL$343,3,TRUE))),BE324)</f>
        <v>76887771.428571448</v>
      </c>
      <c r="BF325" s="195">
        <f>MIN(($P$318/$B$305)*(2^(((BF317 - 14) - $P$317)/HLOOKUP((BF317-14)-$B$314,$P$341:$BL$343,3,TRUE))),BF324)</f>
        <v>85430857.142857149</v>
      </c>
      <c r="BG325" s="237">
        <f>MIN(($P$318/$B$305)*(2^(((BG317 - 14) - $P$317)/HLOOKUP((BG317-14)-$B$314,$P$341:$BL$343,3,TRUE))),BG324)</f>
        <v>236397714.2857143</v>
      </c>
      <c r="BH325" s="200">
        <f>MIN(($P$318/$B$305)*(2^(((BH317 - 14) - $P$317)/HLOOKUP((BH317-14)-$B$314,$P$341:$BL$343,3,TRUE))),BH324)</f>
        <v>330565500</v>
      </c>
      <c r="BI325" s="200">
        <f>MIN(($P$318/$B$305)*(2^(((BI317 - 14) - $P$317)/HLOOKUP((BI317-14)-$B$314,$P$341:$BL$343,3,TRUE))),BI324)</f>
        <v>330565500</v>
      </c>
      <c r="BJ325" s="201">
        <f>MIN(($P$318/$B$305)*(2^(((BJ317 - 14) - $P$317)/HLOOKUP((BJ317-14)-$B$314,$P$341:$BL$343,3,TRUE))),BJ324)</f>
        <v>330565500</v>
      </c>
      <c r="BK325" s="200">
        <f>MIN(($P$318/$B$305)*(2^(((BK317 - 14) - $P$317)/HLOOKUP((BK317-14)-$B$314,$P$341:$BL$343,3,TRUE))),BK324)</f>
        <v>330565500</v>
      </c>
      <c r="BL325" s="240"/>
      <c r="BM325" s="25"/>
      <c r="BN325" s="25"/>
      <c r="BO325" s="69"/>
    </row>
    <row r="326" spans="1:67" x14ac:dyDescent="0.25">
      <c r="A326" s="41" t="s">
        <v>158</v>
      </c>
      <c r="B326" s="16"/>
      <c r="C326" s="16"/>
      <c r="D326" s="16"/>
      <c r="E326" s="16"/>
      <c r="F326" s="16"/>
      <c r="G326" s="16"/>
      <c r="H326" s="16"/>
      <c r="I326" s="16"/>
      <c r="J326" s="16"/>
      <c r="K326" s="16"/>
      <c r="L326" s="16"/>
      <c r="M326" s="16"/>
      <c r="N326" s="16"/>
      <c r="O326" s="16"/>
      <c r="P326" s="212">
        <f t="shared" ref="P326:BK326" si="32">P318*$B$310</f>
        <v>25.3125</v>
      </c>
      <c r="Q326" s="213">
        <f t="shared" si="32"/>
        <v>50.625</v>
      </c>
      <c r="R326" s="213">
        <f t="shared" si="32"/>
        <v>101.25</v>
      </c>
      <c r="S326" s="213">
        <f t="shared" si="32"/>
        <v>202.5</v>
      </c>
      <c r="T326" s="213">
        <f t="shared" si="32"/>
        <v>405</v>
      </c>
      <c r="U326" s="213">
        <f t="shared" si="32"/>
        <v>810</v>
      </c>
      <c r="V326" s="213">
        <f t="shared" si="32"/>
        <v>1620</v>
      </c>
      <c r="W326" s="213">
        <f t="shared" si="32"/>
        <v>3240</v>
      </c>
      <c r="X326" s="213">
        <f t="shared" si="32"/>
        <v>6480</v>
      </c>
      <c r="Y326" s="213">
        <f t="shared" si="32"/>
        <v>12960</v>
      </c>
      <c r="Z326" s="213">
        <f t="shared" si="32"/>
        <v>25920</v>
      </c>
      <c r="AA326" s="213">
        <f t="shared" si="32"/>
        <v>51840</v>
      </c>
      <c r="AB326" s="213">
        <f t="shared" si="32"/>
        <v>103680</v>
      </c>
      <c r="AC326" s="213">
        <f t="shared" si="32"/>
        <v>207360</v>
      </c>
      <c r="AD326" s="213">
        <f t="shared" si="32"/>
        <v>414720</v>
      </c>
      <c r="AE326" s="213">
        <f t="shared" ref="AE326:AG326" si="33">AE318*$B$310</f>
        <v>518400.00000000006</v>
      </c>
      <c r="AF326" s="213">
        <f t="shared" si="33"/>
        <v>622080</v>
      </c>
      <c r="AG326" s="213">
        <f t="shared" si="33"/>
        <v>725760</v>
      </c>
      <c r="AH326" s="213">
        <f t="shared" si="32"/>
        <v>829440</v>
      </c>
      <c r="AI326" s="213">
        <f t="shared" ref="AI326:AK326" si="34">AI318*$B$310</f>
        <v>1061683.2000000002</v>
      </c>
      <c r="AJ326" s="213">
        <f t="shared" si="34"/>
        <v>1244160</v>
      </c>
      <c r="AK326" s="213">
        <f t="shared" si="34"/>
        <v>1451520</v>
      </c>
      <c r="AL326" s="213">
        <f t="shared" si="32"/>
        <v>1658880</v>
      </c>
      <c r="AM326" s="213">
        <f t="shared" ref="AM326:AP326" si="35">AM318*$B$310</f>
        <v>1990656.0000000002</v>
      </c>
      <c r="AN326" s="213">
        <f t="shared" si="35"/>
        <v>2322432</v>
      </c>
      <c r="AO326" s="213">
        <f t="shared" si="35"/>
        <v>2654208</v>
      </c>
      <c r="AP326" s="213">
        <f t="shared" si="35"/>
        <v>2985984</v>
      </c>
      <c r="AQ326" s="213">
        <f t="shared" si="32"/>
        <v>3317760</v>
      </c>
      <c r="AR326" s="213">
        <f t="shared" ref="AR326:AU326" si="36">AR318*$B$310</f>
        <v>3981312.0000000005</v>
      </c>
      <c r="AS326" s="213">
        <f t="shared" si="36"/>
        <v>4644864</v>
      </c>
      <c r="AT326" s="213">
        <f t="shared" si="36"/>
        <v>5308416</v>
      </c>
      <c r="AU326" s="213">
        <f t="shared" si="36"/>
        <v>5971968</v>
      </c>
      <c r="AV326" s="213">
        <f t="shared" si="32"/>
        <v>6635520</v>
      </c>
      <c r="AW326" s="213">
        <f t="shared" ref="AW326:AZ326" si="37">AW318*$B$310</f>
        <v>7962624.0000000009</v>
      </c>
      <c r="AX326" s="213">
        <f t="shared" si="37"/>
        <v>9289728</v>
      </c>
      <c r="AY326" s="213">
        <f t="shared" si="37"/>
        <v>10616832</v>
      </c>
      <c r="AZ326" s="213">
        <f t="shared" si="37"/>
        <v>11943936</v>
      </c>
      <c r="BA326" s="213">
        <f t="shared" si="32"/>
        <v>13271040</v>
      </c>
      <c r="BB326" s="213">
        <f t="shared" si="32"/>
        <v>15925248.000000002</v>
      </c>
      <c r="BC326" s="213">
        <f t="shared" si="32"/>
        <v>18579456</v>
      </c>
      <c r="BD326" s="213">
        <f t="shared" si="32"/>
        <v>21233664</v>
      </c>
      <c r="BE326" s="213">
        <f t="shared" si="32"/>
        <v>23887872</v>
      </c>
      <c r="BF326" s="213">
        <f t="shared" ref="BF326:BJ326" si="38">BF318*$B$310</f>
        <v>26542080</v>
      </c>
      <c r="BG326" s="234">
        <f t="shared" si="38"/>
        <v>53084160</v>
      </c>
      <c r="BH326" s="205">
        <f t="shared" si="38"/>
        <v>106168320</v>
      </c>
      <c r="BI326" s="205">
        <f t="shared" si="38"/>
        <v>212336640</v>
      </c>
      <c r="BJ326" s="206">
        <f t="shared" si="38"/>
        <v>267758055.00000003</v>
      </c>
      <c r="BK326" s="196">
        <f t="shared" si="32"/>
        <v>267758055.00000003</v>
      </c>
      <c r="BL326" s="240">
        <f>BL318*B310</f>
        <v>18743063.850000005</v>
      </c>
      <c r="BM326" s="25"/>
      <c r="BN326" s="25"/>
      <c r="BO326" s="69"/>
    </row>
    <row r="327" spans="1:67" x14ac:dyDescent="0.25">
      <c r="A327" s="41" t="s">
        <v>170</v>
      </c>
      <c r="B327" s="16"/>
      <c r="C327" s="16"/>
      <c r="D327" s="16"/>
      <c r="E327" s="16"/>
      <c r="F327" s="16"/>
      <c r="G327" s="16"/>
      <c r="H327" s="16"/>
      <c r="I327" s="16"/>
      <c r="J327" s="16"/>
      <c r="K327" s="16"/>
      <c r="L327" s="16"/>
      <c r="M327" s="16"/>
      <c r="N327" s="16"/>
      <c r="O327" s="16"/>
      <c r="P327" s="203">
        <f>P326-(1*$B$310)*(2^(((P317 - 14) - $B$314)/$P$343))</f>
        <v>19.620930925469978</v>
      </c>
      <c r="Q327" s="204">
        <f>Q326-(1*$B$310)*(2^(((Q317 - 14) - $B$314)/$P$343))</f>
        <v>36.378729583441825</v>
      </c>
      <c r="R327" s="204">
        <f>R326-(1*$B$310)*(2^(((R317 - 14) - $B$314)/$P$343))</f>
        <v>81.153190145960366</v>
      </c>
      <c r="S327" s="204">
        <f>S326-(1*$B$310)*(2^(((S317 - 14) - $B$314)/$P$343))</f>
        <v>177.22190063694103</v>
      </c>
      <c r="T327" s="202">
        <f>MAX(T326-(($P$318*$B$310)*(2^(((T317 -14) - $P$317)/HLOOKUP((T317-14)-$B$314,$P$341:$BL$343,3,TRUE)))),0)</f>
        <v>373.16151942648673</v>
      </c>
      <c r="U327" s="202">
        <f>MAX(U326-(($P$318*$B$310)*(2^(((U317 -14) - $P$317)/HLOOKUP((U317-14)-$B$314,$P$341:$BL$343,3,TRUE)))),0)</f>
        <v>765.08635794363818</v>
      </c>
      <c r="V327" s="202">
        <f>MAX(V326-(($P$318*$B$310)*(2^(((V317 -14) - $P$317)/HLOOKUP((V317-14)-$B$314,$P$341:$BL$343,3,TRUE)))),0)</f>
        <v>1570.8214285714287</v>
      </c>
      <c r="W327" s="202">
        <f>MAX(W326-(($P$318*$B$310)*(2^(((W317 -14) - $P$317)/HLOOKUP((W317-14)-$B$314,$P$341:$BL$343,3,TRUE)))),0)</f>
        <v>3181.9387841598559</v>
      </c>
      <c r="X327" s="202">
        <f>MAX(X326-(($P$318*$B$310)*(2^(((X317 -14) - $P$317)/HLOOKUP((X317-14)-$B$314,$P$341:$BL$343,3,TRUE)))),0)</f>
        <v>6379.3926009765419</v>
      </c>
      <c r="Y327" s="202">
        <f>MAX(Y326-(($P$318*$B$310)*(2^(((Y317 -14) - $P$317)/HLOOKUP((Y317-14)-$B$314,$P$341:$BL$343,3,TRUE)))),0)</f>
        <v>12775.828395301851</v>
      </c>
      <c r="Z327" s="202">
        <f>MAX(Z326-(($P$318*$B$310)*(2^(((Z317 -14) - $P$317)/HLOOKUP((Z317-14)-$B$314,$P$341:$BL$343,3,TRUE)))),0)</f>
        <v>25528.741071428572</v>
      </c>
      <c r="AA327" s="202">
        <f>MAX(AA326-(($P$318*$B$310)*(2^(((AA317 -14) - $P$317)/HLOOKUP((AA317-14)-$B$314,$P$341:$BL$343,3,TRUE)))),0)</f>
        <v>50899.098214285717</v>
      </c>
      <c r="AB327" s="202">
        <f>MAX(AB326-(($P$318*$B$310)*(2^(((AB317 -14) - $P$317)/HLOOKUP((AB317-14)-$B$314,$P$341:$BL$343,3,TRUE)))),0)</f>
        <v>101675.97321428571</v>
      </c>
      <c r="AC327" s="202">
        <f>MAX(AC326-(($P$318*$B$310)*(2^(((AC317 -14) - $P$317)/HLOOKUP((AC317-14)-$B$314,$P$341:$BL$343,3,TRUE)))),0)</f>
        <v>199007.42614510827</v>
      </c>
      <c r="AD327" s="202">
        <f>MAX(AD326-(($P$318*$B$310)*(2^(((AD317 -14) - $P$317)/HLOOKUP((AD317-14)-$B$314,$P$341:$BL$343,3,TRUE)))),0)</f>
        <v>324471.53571428568</v>
      </c>
      <c r="AE327" s="202">
        <f>MAX(AE326-(($P$318*$B$310)*(2^(((AE317 -14) - $P$317)/HLOOKUP((AE317-14)-$B$314,$P$341:$BL$343,3,TRUE)))),0)</f>
        <v>294466.98400587577</v>
      </c>
      <c r="AF327" s="202">
        <f>MAX(AF326-(($P$318*$B$310)*(2^(((AF317 -14) - $P$317)/HLOOKUP((AF317-14)-$B$314,$P$341:$BL$343,3,TRUE)))),0)</f>
        <v>274931.18493767531</v>
      </c>
      <c r="AG327" s="202">
        <f>MAX(AG326-(($P$318*$B$310)*(2^(((AG317 -14) - $P$317)/HLOOKUP((AG317-14)-$B$314,$P$341:$BL$343,3,TRUE)))),0)</f>
        <v>0</v>
      </c>
      <c r="AH327" s="202">
        <f>MAX(AH326-(($P$318*$B$310)*(2^(((AH317 -14) - $P$317)/HLOOKUP((AH317-14)-$B$314,$P$341:$BL$343,3,TRUE)))),0)</f>
        <v>255131.46604280546</v>
      </c>
      <c r="AI327" s="202">
        <f>MAX(AI326-(($P$318*$B$310)*(2^(((AI317 -14) - $P$317)/HLOOKUP((AI317-14)-$B$314,$P$341:$BL$343,3,TRUE)))),0)</f>
        <v>337075.15777698904</v>
      </c>
      <c r="AJ327" s="202">
        <f>MAX(AJ326-(($P$318*$B$310)*(2^(((AJ317 -14) - $P$317)/HLOOKUP((AJ317-14)-$B$314,$P$341:$BL$343,3,TRUE)))),0)</f>
        <v>0</v>
      </c>
      <c r="AK327" s="202">
        <f>MAX(AK326-(($P$318*$B$310)*(2^(((AK317 -14) - $P$317)/HLOOKUP((AK317-14)-$B$314,$P$341:$BL$343,3,TRUE)))),0)</f>
        <v>0</v>
      </c>
      <c r="AL327" s="202">
        <f>MAX(AL326-(($P$318*$B$310)*(2^(((AL317 -14) - $P$317)/HLOOKUP((AL317-14)-$B$314,$P$341:$BL$343,3,TRUE)))),0)</f>
        <v>0</v>
      </c>
      <c r="AM327" s="202">
        <f>MAX(AM326-(($P$318*$B$310)*(2^(((AM317 -14) - $P$317)/HLOOKUP((AM317-14)-$B$314,$P$341:$BL$343,3,TRUE)))),0)</f>
        <v>354561.21632199781</v>
      </c>
      <c r="AN327" s="202">
        <f>MAX(AN326-(($P$318*$B$310)*(2^(((AN317 -14) - $P$317)/HLOOKUP((AN317-14)-$B$314,$P$341:$BL$343,3,TRUE)))),0)</f>
        <v>373736.28218387649</v>
      </c>
      <c r="AO327" s="202">
        <f>MAX(AO326-(($P$318*$B$310)*(2^(((AO317 -14) - $P$317)/HLOOKUP((AO317-14)-$B$314,$P$341:$BL$343,3,TRUE)))),0)</f>
        <v>404774.73495670827</v>
      </c>
      <c r="AP327" s="202">
        <f>MAX(AP326-(($P$318*$B$310)*(2^(((AP317 -14) - $P$317)/HLOOKUP((AP317-14)-$B$314,$P$341:$BL$343,3,TRUE)))),0)</f>
        <v>433290.73960375972</v>
      </c>
      <c r="AQ327" s="202">
        <f>MAX(AQ326-(($P$318*$B$310)*(2^(((AQ317 -14) - $P$317)/HLOOKUP((AQ317-14)-$B$314,$P$341:$BL$343,3,TRUE)))),0)</f>
        <v>462875.17487243796</v>
      </c>
      <c r="AR327" s="202">
        <f>MAX(AR326-(($P$318*$B$310)*(2^(((AR317 -14) - $P$317)/HLOOKUP((AR317-14)-$B$314,$P$341:$BL$343,3,TRUE)))),0)</f>
        <v>0</v>
      </c>
      <c r="AS327" s="202">
        <f>MAX(AS326-(($P$318*$B$310)*(2^(((AS317 -14) - $P$317)/HLOOKUP((AS317-14)-$B$314,$P$341:$BL$343,3,TRUE)))),0)</f>
        <v>0</v>
      </c>
      <c r="AT327" s="202">
        <f>MAX(AT326-(($P$318*$B$310)*(2^(((AT317 -14) - $P$317)/HLOOKUP((AT317-14)-$B$314,$P$341:$BL$343,3,TRUE)))),0)</f>
        <v>0</v>
      </c>
      <c r="AU327" s="202">
        <f>MAX(AU326-(($P$318*$B$310)*(2^(((AU317 -14) - $P$317)/HLOOKUP((AU317-14)-$B$314,$P$341:$BL$343,3,TRUE)))),0)</f>
        <v>0</v>
      </c>
      <c r="AV327" s="202">
        <f>MAX(AV326-(($P$318*$B$310)*(2^(((AV317 -14) - $P$317)/HLOOKUP((AV317-14)-$B$314,$P$341:$BL$343,3,TRUE)))),0)</f>
        <v>0</v>
      </c>
      <c r="AW327" s="202">
        <f>MAX(AW326-(($P$318*$B$310)*(2^(((AW317 -14) - $P$317)/HLOOKUP((AW317-14)-$B$314,$P$341:$BL$343,3,TRUE)))),0)</f>
        <v>0</v>
      </c>
      <c r="AX327" s="202">
        <f>MAX(AX326-(($P$318*$B$310)*(2^(((AX317 -14) - $P$317)/HLOOKUP((AX317-14)-$B$314,$P$341:$BL$343,3,TRUE)))),0)</f>
        <v>0</v>
      </c>
      <c r="AY327" s="202">
        <f>MAX(AY326-(($P$318*$B$310)*(2^(((AY317 -14) - $P$317)/HLOOKUP((AY317-14)-$B$314,$P$341:$BL$343,3,TRUE)))),0)</f>
        <v>0</v>
      </c>
      <c r="AZ327" s="202">
        <f>MAX(AZ326-(($P$318*$B$310)*(2^(((AZ317 -14) - $P$317)/HLOOKUP((AZ317-14)-$B$314,$P$341:$BL$343,3,TRUE)))),0)</f>
        <v>0</v>
      </c>
      <c r="BA327" s="202">
        <f>MAX(BA326-(($P$318*$B$310)*(2^(((BA317 -14) - $P$317)/HLOOKUP((BA317-14)-$B$314,$P$341:$BL$343,3,TRUE)))),0)</f>
        <v>0</v>
      </c>
      <c r="BB327" s="202">
        <f>MAX(BB326-(($P$318*$B$310)*(2^(((BB317 -14) - $P$317)/HLOOKUP((BB317-14)-$B$314,$P$341:$BL$343,3,TRUE)))),0)</f>
        <v>0</v>
      </c>
      <c r="BC327" s="202">
        <f>MAX(BC326-(($P$318*$B$310)*(2^(((BC317 -14) - $P$317)/HLOOKUP((BC317-14)-$B$314,$P$341:$BL$343,3,TRUE)))),0)</f>
        <v>0</v>
      </c>
      <c r="BD327" s="202">
        <f>MAX(BD326-(($P$318*$B$310)*(2^(((BD317 -14) - $P$317)/HLOOKUP((BD317-14)-$B$314,$P$341:$BL$343,3,TRUE)))),0)</f>
        <v>0</v>
      </c>
      <c r="BE327" s="202">
        <f>MAX(BE326-(($P$318*$B$310)*(2^(((BE317 -14) - $P$317)/HLOOKUP((BE317-14)-$B$314,$P$341:$BL$343,3,TRUE)))),0)</f>
        <v>0</v>
      </c>
      <c r="BF327" s="202">
        <f>MAX(BF326-(($P$318*$B$310)*(2^(((BF317 -14) - $P$317)/HLOOKUP((BF317-14)-$B$314,$P$341:$BL$343,3,TRUE)))),0)</f>
        <v>0</v>
      </c>
      <c r="BG327" s="237">
        <f>MAX(BG326-(($P$318*$B$310)*(2^(((BG317 -14) - $P$317)/HLOOKUP((BG317-14)-$B$314,$P$341:$BL$343,3,TRUE)))),0)</f>
        <v>0</v>
      </c>
      <c r="BH327" s="200">
        <f>MAX(BH326-(($P$318*$B$310)*(2^(((BH317 -14) - $P$317)/HLOOKUP((BH317-14)-$B$314,$P$341:$BL$343,3,TRUE)))),0)</f>
        <v>0</v>
      </c>
      <c r="BI327" s="200">
        <f>MAX(BI326-(($P$318*$B$310)*(2^(((BI317 -14) - $P$317)/HLOOKUP((BI317-14)-$B$314,$P$341:$BL$343,3,TRUE)))),0)</f>
        <v>0</v>
      </c>
      <c r="BJ327" s="201">
        <f>MAX(BJ326-(($P$318*$B$310)*(2^(((BJ317 -14) - $P$317)/HLOOKUP((BJ317-14)-$B$314,$P$341:$BL$343,3,TRUE)))),0)</f>
        <v>0</v>
      </c>
      <c r="BK327" s="196">
        <f>MAX(BK326-(($P$318*$B$310)*(2^(((BK317 -14) - $P$317)/HLOOKUP((BK317-14)-$B$314,$P$341:$BL$343,3,TRUE)))),0)</f>
        <v>0</v>
      </c>
      <c r="BL327" s="239"/>
      <c r="BM327" s="25"/>
      <c r="BN327" s="25"/>
      <c r="BO327" s="69"/>
    </row>
    <row r="328" spans="1:67" x14ac:dyDescent="0.25">
      <c r="A328" s="62" t="s">
        <v>109</v>
      </c>
      <c r="B328" s="9"/>
      <c r="C328" s="9"/>
      <c r="D328" s="9"/>
      <c r="E328" s="9"/>
      <c r="F328" s="9"/>
      <c r="G328" s="9"/>
      <c r="H328" s="9"/>
      <c r="I328" s="9"/>
      <c r="J328" s="9"/>
      <c r="K328" s="9"/>
      <c r="L328" s="9"/>
      <c r="M328" s="9"/>
      <c r="N328" s="9"/>
      <c r="O328" s="5"/>
      <c r="P328" s="221">
        <f>(1*($B$311+$B$312))*(2^(((P317 - 7) - $B$314)/$P$343))</f>
        <v>2.9796216359494587</v>
      </c>
      <c r="Q328" s="208">
        <f>($P$318*($B$311+$B$312))*(2^(((Q317-7)-$P$317)/HLOOKUP((Q317-7)-$B$314,$P$341:$BL$343,3,TRUE)))</f>
        <v>6.6590498985850246</v>
      </c>
      <c r="R328" s="208">
        <f>($P$318*($B$311+$B$312))*(2^(((R317-7)-$P$317)/HLOOKUP((R317-7)-$B$314,$P$341:$BL$343,3,TRUE)))</f>
        <v>9.3937329355254953</v>
      </c>
      <c r="S328" s="208">
        <f>($P$318*($B$311+$B$312))*(2^(((S317-7)-$P$317)/HLOOKUP((S317-7)-$B$314,$P$341:$BL$343,3,TRUE)))</f>
        <v>11.815592437748149</v>
      </c>
      <c r="T328" s="208">
        <f>($P$318*($B$311+$B$312))*(2^(((T317-7)-$P$317)/HLOOKUP((T317-7)-$B$314,$P$341:$BL$343,3,TRUE)))</f>
        <v>12.534285987853202</v>
      </c>
      <c r="U328" s="208">
        <f>($P$318*($B$311+$B$312))*(2^(((U317-7)-$P$317)/HLOOKUP((U317-7)-$B$314,$P$341:$BL$343,3,TRUE)))</f>
        <v>23.599266437601273</v>
      </c>
      <c r="V328" s="208">
        <f>($P$318*($B$311+$B$312))*(2^(((V317-7)-$P$317)/HLOOKUP((V317-7)-$B$314,$P$341:$BL$343,3,TRUE)))</f>
        <v>49.779972972921911</v>
      </c>
      <c r="W328" s="208">
        <f>($P$318*($B$311+$B$312))*(2^(((W317-7)-$P$317)/HLOOKUP((W317-7)-$B$314,$P$341:$BL$343,3,TRUE)))</f>
        <v>108.90640436467176</v>
      </c>
      <c r="X328" s="208">
        <f>($P$318*($B$311+$B$312))*(2^(((X317-7)-$P$317)/HLOOKUP((X317-7)-$B$314,$P$341:$BL$343,3,TRUE)))</f>
        <v>220.70535714285711</v>
      </c>
      <c r="Y328" s="208">
        <f>($P$318*($B$311+$B$312))*(2^(((Y317-7)-$P$317)/HLOOKUP((Y317-7)-$B$314,$P$341:$BL$343,3,TRUE)))</f>
        <v>322.92231652302479</v>
      </c>
      <c r="Z328" s="208">
        <f>($P$318*($B$311+$B$312))*(2^(((Z317-7)-$P$317)/HLOOKUP((Z317-7)-$B$314,$P$341:$BL$343,3,TRUE)))</f>
        <v>573.4171414665534</v>
      </c>
      <c r="AA328" s="208">
        <f>($P$318*($B$311+$B$312))*(2^(((AA317-7)-$P$317)/HLOOKUP((AA317-7)-$B$314,$P$341:$BL$343,3,TRUE)))</f>
        <v>1580.5624999999989</v>
      </c>
      <c r="AB328" s="208">
        <f>($P$318*($B$311+$B$312))*(2^(((AB317-7)-$P$317)/HLOOKUP((AB317-7)-$B$314,$P$341:$BL$343,3,TRUE)))</f>
        <v>4157.3376801210561</v>
      </c>
      <c r="AC328" s="208">
        <f>($P$318*($B$311+$B$312))*(2^(((AC317-7)-$P$317)/HLOOKUP((AC317-7)-$B$314,$P$341:$BL$343,3,TRUE)))</f>
        <v>14709.910600081001</v>
      </c>
      <c r="AD328" s="208">
        <f>($P$318*($B$311+$B$312))*(2^(((AD317-7)-$P$317)/HLOOKUP((AD317-7)-$B$314,$P$341:$BL$343,3,TRUE)))</f>
        <v>65577.889617991445</v>
      </c>
      <c r="AE328" s="208">
        <f>($P$318*($B$311+$B$312))*(2^(((AE317-7)-$P$317)/HLOOKUP((AE317-7)-$B$314,$P$341:$BL$343,3,TRUE)))</f>
        <v>155906.69596672634</v>
      </c>
      <c r="AF328" s="272">
        <f>($P$318*($B$311+$B$312))*(2^(((AF317-7)-$P$317)/HLOOKUP((AF317-7)-$B$314,$P$341:$BL$343,3,TRUE)))</f>
        <v>111083.1714562041</v>
      </c>
      <c r="AG328" s="272">
        <f>($P$318*($B$311+$B$312))*(2^(((AG317-7)-$P$317)/HLOOKUP((AG317-7)-$B$314,$P$341:$BL$343,3,TRUE)))</f>
        <v>132795.09456567839</v>
      </c>
      <c r="AH328" s="272">
        <f>($P$318*($B$311+$B$312))*(2^(((AH317-7)-$P$317)/HLOOKUP((AH317-7)-$B$314,$P$341:$BL$343,3,TRUE)))</f>
        <v>155204.27961369391</v>
      </c>
      <c r="AI328" s="208">
        <f>($P$318*($B$311+$B$312))*(2^(((AI317-7)-$P$317)/HLOOKUP((AI317-7)-$B$314,$P$341:$BL$343,3,TRUE)))</f>
        <v>307214.83534303075</v>
      </c>
      <c r="AJ328" s="208">
        <f>($P$318*($B$311+$B$312))*(2^(((AJ317-7)-$P$317)/HLOOKUP((AJ317-7)-$B$314,$P$341:$BL$343,3,TRUE)))</f>
        <v>366581.47241659305</v>
      </c>
      <c r="AK328" s="208">
        <f>($P$318*($B$311+$B$312))*(2^(((AK317-7)-$P$317)/HLOOKUP((AK317-7)-$B$314,$P$341:$BL$343,3,TRUE)))</f>
        <v>462110.35835268447</v>
      </c>
      <c r="AL328" s="272">
        <f>($P$318*($B$311+$B$312))*(2^(((AL317-7)-$P$317)/HLOOKUP((AL317-7)-$B$314,$P$341:$BL$343,3,TRUE)))</f>
        <v>417421.75695197133</v>
      </c>
      <c r="AM328" s="208">
        <f>($P$318*($B$311+$B$312))*(2^(((AM317-7)-$P$317)/HLOOKUP((AM317-7)-$B$314,$P$341:$BL$343,3,TRUE)))</f>
        <v>776601.23678178014</v>
      </c>
      <c r="AN328" s="272">
        <f>($P$318*($B$311+$B$312))*(2^(((AN317-7)-$P$317)/HLOOKUP((AN317-7)-$B$314,$P$341:$BL$343,3,TRUE)))</f>
        <v>858324.51411687606</v>
      </c>
      <c r="AO328" s="208">
        <f>($P$318*($B$311+$B$312))*(2^(((AO317-7)-$P$317)/HLOOKUP((AO317-7)-$B$314,$P$341:$BL$343,3,TRUE)))</f>
        <v>932778.65398819756</v>
      </c>
      <c r="AP328" s="208">
        <f>($P$318*($B$311+$B$312))*(2^(((AP317-7)-$P$317)/HLOOKUP((AP317-7)-$B$314,$P$341:$BL$343,3,TRUE)))</f>
        <v>1007486.2274340492</v>
      </c>
      <c r="AQ328" s="208">
        <f>($P$318*($B$311+$B$312))*(2^(((AQ317-7)-$P$317)/HLOOKUP((AQ317-7)-$B$314,$P$341:$BL$343,3,TRUE)))</f>
        <v>1081162.9236269523</v>
      </c>
      <c r="AR328" s="208">
        <f>($P$318*($B$311+$B$312))*(2^(((AR317-7)-$P$317)/HLOOKUP((AR317-7)-$B$314,$P$341:$BL$343,3,TRUE)))</f>
        <v>2988353.8042221214</v>
      </c>
      <c r="AS328" s="272">
        <f>($P$318*($B$311+$B$312))*(2^(((AS317-7)-$P$317)/HLOOKUP((AS317-7)-$B$314,$P$341:$BL$343,3,TRUE)))</f>
        <v>2980642.3503831089</v>
      </c>
      <c r="AT328" s="272">
        <f>($P$318*($B$311+$B$312))*(2^(((AT317-7)-$P$317)/HLOOKUP((AT317-7)-$B$314,$P$341:$BL$343,3,TRUE)))</f>
        <v>3016801.6222042437</v>
      </c>
      <c r="AU328" s="272">
        <f>($P$318*($B$311+$B$312))*(2^(((AU317-7)-$P$317)/HLOOKUP((AU317-7)-$B$314,$P$341:$BL$343,3,TRUE)))</f>
        <v>3080280.2359318747</v>
      </c>
      <c r="AV328" s="272">
        <f>($P$318*($B$311+$B$312))*(2^(((AV317-7)-$P$317)/HLOOKUP((AV317-7)-$B$314,$P$341:$BL$343,3,TRUE)))</f>
        <v>3161824.1117100432</v>
      </c>
      <c r="AW328" s="274">
        <f>($P$318*($B$311+$B$312))*(2^(((AW317-7)-$P$317)/HLOOKUP((AW317-7)-$B$314,$P$341:$BL$343,3,TRUE)))</f>
        <v>9884248.7762785535</v>
      </c>
      <c r="AX328" s="272">
        <f>($P$318*($B$311+$B$312))*(2^(((AX317-7)-$P$317)/HLOOKUP((AX317-7)-$B$314,$P$341:$BL$343,3,TRUE)))</f>
        <v>9016276.9189222828</v>
      </c>
      <c r="AY328" s="272">
        <f>($P$318*($B$311+$B$312))*(2^(((AY317-7)-$P$317)/HLOOKUP((AY317-7)-$B$314,$P$341:$BL$343,3,TRUE)))</f>
        <v>8568951.1882174071</v>
      </c>
      <c r="AZ328" s="272">
        <f>($P$318*($B$311+$B$312))*(2^(((AZ317-7)-$P$317)/HLOOKUP((AZ317-7)-$B$314,$P$341:$BL$343,3,TRUE)))</f>
        <v>8351008.5474302145</v>
      </c>
      <c r="BA328" s="272">
        <f>($P$318*($B$311+$B$312))*(2^(((BA317-7)-$P$317)/HLOOKUP((BA317-7)-$B$314,$P$341:$BL$343,3,TRUE)))</f>
        <v>8270696.9823338939</v>
      </c>
      <c r="BB328" s="274">
        <f>($P$318*($B$311+$B$312))*(2^(((BB317-7)-$P$317)/HLOOKUP((BB317-7)-$B$314,$P$341:$BL$343,3,TRUE)))</f>
        <v>8278954.0265677003</v>
      </c>
      <c r="BC328" s="272">
        <f>($P$318*($B$311+$B$312))*(2^(((BC317-7)-$P$317)/HLOOKUP((BC317-7)-$B$314,$P$341:$BL$343,3,TRUE)))</f>
        <v>9166892.6936987825</v>
      </c>
      <c r="BD328" s="272">
        <f>($P$318*($B$311+$B$312))*(2^(((BD317-7)-$P$317)/HLOOKUP((BD317-7)-$B$314,$P$341:$BL$343,3,TRUE)))</f>
        <v>9975490.6192915123</v>
      </c>
      <c r="BE328" s="272">
        <f>($P$318*($B$311+$B$312))*(2^(((BE317-7)-$P$317)/HLOOKUP((BE317-7)-$B$314,$P$341:$BL$343,3,TRUE)))</f>
        <v>10729159.063648926</v>
      </c>
      <c r="BF328" s="272">
        <f>($P$318*($B$311+$B$312))*(2^(((BF317-7)-$P$317)/HLOOKUP((BF317-7)-$B$314,$P$341:$BL$343,3,TRUE)))</f>
        <v>11443588.310596354</v>
      </c>
      <c r="BG328" s="234">
        <f>($P$318*($B$311+$B$312))*(2^(((BG317-7)-$P$317)/HLOOKUP((BG317-7)-$B$314,$P$341:$BL$343,3,TRUE)))</f>
        <v>415178508.47249514</v>
      </c>
      <c r="BH328" s="205">
        <f>($P$318*($B$311+$B$312))*(2^(((BH317-7)-$P$317)/HLOOKUP((BH317-7)-$B$314,$P$341:$BL$343,3,TRUE)))</f>
        <v>343030003.30882382</v>
      </c>
      <c r="BI328" s="205">
        <f>($P$318*($B$311+$B$312))*(2^(((BI317-7)-$P$317)/HLOOKUP((BI317-7)-$B$314,$P$341:$BL$343,3,TRUE)))</f>
        <v>400496398.50006086</v>
      </c>
      <c r="BJ328" s="206">
        <f>($P$318*($B$311+$B$312))*(2^(((BJ317-7)-$P$317)/HLOOKUP((BJ317-7)-$B$314,$P$341:$BL$343,3,TRUE)))</f>
        <v>557624346.30876577</v>
      </c>
      <c r="BK328" s="205">
        <f>($P$318*($B$311+$B$312))*(2^(((BK317 - 7) - $P$317)/BK343))</f>
        <v>53546733.942037925</v>
      </c>
      <c r="BL328" s="239">
        <f>BL318*(B311+B312)</f>
        <v>4396521.1500000004</v>
      </c>
      <c r="BM328" s="45"/>
      <c r="BN328" s="45"/>
      <c r="BO328" s="69"/>
    </row>
    <row r="329" spans="1:67" x14ac:dyDescent="0.25">
      <c r="A329" s="37" t="s">
        <v>156</v>
      </c>
      <c r="B329" s="38"/>
      <c r="C329" s="39"/>
      <c r="D329" s="39"/>
      <c r="E329" s="39"/>
      <c r="F329" s="39"/>
      <c r="G329" s="39"/>
      <c r="H329" s="39"/>
      <c r="I329" s="39"/>
      <c r="J329" s="39"/>
      <c r="K329" s="39"/>
      <c r="L329" s="39"/>
      <c r="M329" s="39"/>
      <c r="N329" s="39"/>
      <c r="O329" s="63"/>
      <c r="P329" s="203">
        <f t="shared" ref="P329:AC329" si="39">P328</f>
        <v>2.9796216359494587</v>
      </c>
      <c r="Q329" s="204">
        <f t="shared" si="39"/>
        <v>6.6590498985850246</v>
      </c>
      <c r="R329" s="204">
        <f t="shared" si="39"/>
        <v>9.3937329355254953</v>
      </c>
      <c r="S329" s="204">
        <f t="shared" si="39"/>
        <v>11.815592437748149</v>
      </c>
      <c r="T329" s="204">
        <f t="shared" si="39"/>
        <v>12.534285987853202</v>
      </c>
      <c r="U329" s="204">
        <f t="shared" si="39"/>
        <v>23.599266437601273</v>
      </c>
      <c r="V329" s="204">
        <f t="shared" si="39"/>
        <v>49.779972972921911</v>
      </c>
      <c r="W329" s="204">
        <f t="shared" si="39"/>
        <v>108.90640436467176</v>
      </c>
      <c r="X329" s="204">
        <f t="shared" si="39"/>
        <v>220.70535714285711</v>
      </c>
      <c r="Y329" s="204">
        <f t="shared" si="39"/>
        <v>322.92231652302479</v>
      </c>
      <c r="Z329" s="204">
        <f t="shared" si="39"/>
        <v>573.4171414665534</v>
      </c>
      <c r="AA329" s="204">
        <f t="shared" si="39"/>
        <v>1580.5624999999989</v>
      </c>
      <c r="AB329" s="204">
        <f t="shared" si="39"/>
        <v>4157.3376801210561</v>
      </c>
      <c r="AC329" s="204">
        <f t="shared" si="39"/>
        <v>14709.910600081001</v>
      </c>
      <c r="AD329" s="195">
        <f>MAX(AD328-($P$318*$B$311)*(2^(((AD317 - 42) - $P$317)/HLOOKUP((AD317-42)-$B$314,$P$341:$BL$343,3,TRUE)))-AD331,0)</f>
        <v>60011.596753736201</v>
      </c>
      <c r="AE329" s="195">
        <f>MAX(AE328-($P$318*$B$311)*(2^(((AE317 - 42) - $P$317)/HLOOKUP((AE317-42)-$B$314,$P$341:$BL$343,3,TRUE)))-AE331,0)</f>
        <v>142124.36171205499</v>
      </c>
      <c r="AF329" s="195">
        <f>MAX(AF328-($P$318*$B$311)*(2^(((AF317 - 42) - $P$317)/HLOOKUP((AF317-42)-$B$314,$P$341:$BL$343,3,TRUE)))-AF331,0)</f>
        <v>89737.506502580392</v>
      </c>
      <c r="AG329" s="195">
        <f>MAX(AG328-($P$318*$B$311)*(2^(((AG317 - 42) - $P$317)/HLOOKUP((AG317-42)-$B$314,$P$341:$BL$343,3,TRUE)))-AG331,0)</f>
        <v>82168.218806941761</v>
      </c>
      <c r="AH329" s="195">
        <f>MAX(AH328-($P$318*$B$311)*(2^(((AH317 - 42) - $P$317)/HLOOKUP((AH317-42)-$B$314,$P$341:$BL$343,3,TRUE)))-AH331,0)</f>
        <v>121077.37661798642</v>
      </c>
      <c r="AI329" s="195">
        <f>MAX(AI328-($P$318*$B$311)*(2^(((AI317 - 42) - $P$317)/HLOOKUP((AI317-42)-$B$314,$P$341:$BL$343,3,TRUE)))-AI331,0)</f>
        <v>262773.41927126469</v>
      </c>
      <c r="AJ329" s="195">
        <f>MAX(AJ328-($P$318*$B$311)*(2^(((AJ317 - 42) - $P$317)/HLOOKUP((AJ317-42)-$B$314,$P$341:$BL$343,3,TRUE)))-AJ331,0)</f>
        <v>177691.1939028544</v>
      </c>
      <c r="AK329" s="195">
        <f>MAX(AK328-($P$318*$B$311)*(2^(((AK317 - 42) - $P$317)/HLOOKUP((AK317-42)-$B$314,$P$341:$BL$343,3,TRUE)))-AK331,0)</f>
        <v>192853.94336541693</v>
      </c>
      <c r="AL329" s="195">
        <f>MAX(AL328-($P$318*$B$311)*(2^(((AL317 - 42) - $P$317)/HLOOKUP((AL317-42)-$B$314,$P$341:$BL$343,3,TRUE)))-AL331,0)</f>
        <v>253344.27000725653</v>
      </c>
      <c r="AM329" s="195">
        <f>MAX(AM328-($P$318*$B$311)*(2^(((AM317 - 42) - $P$317)/HLOOKUP((AM317-42)-$B$314,$P$341:$BL$343,3,TRUE)))-AM331,0)</f>
        <v>426999.78428715601</v>
      </c>
      <c r="AN329" s="195">
        <f>MAX(AN328-($P$318*$B$311)*(2^(((AN317 - 42) - $P$317)/HLOOKUP((AN317-42)-$B$314,$P$341:$BL$343,3,TRUE)))-AN331,0)</f>
        <v>239190.72749417357</v>
      </c>
      <c r="AO329" s="195">
        <f>MAX(AO328-($P$318*$B$311)*(2^(((AO317 - 42) - $P$317)/HLOOKUP((AO317-42)-$B$314,$P$341:$BL$343,3,TRUE)))-AO331,0)</f>
        <v>586907.27146781888</v>
      </c>
      <c r="AP329" s="195">
        <f>MAX(AP328-($P$318*$B$311)*(2^(((AP317 - 42) - $P$317)/HLOOKUP((AP317-42)-$B$314,$P$341:$BL$343,3,TRUE)))-AP331,0)</f>
        <v>604240.6700002721</v>
      </c>
      <c r="AQ329" s="195">
        <f>MAX(AQ328-($P$318*$B$311)*(2^(((AQ317 - 42) - $P$317)/HLOOKUP((AQ317-42)-$B$314,$P$341:$BL$343,3,TRUE)))-AQ331,0)</f>
        <v>623640.49564268894</v>
      </c>
      <c r="AR329" s="195">
        <f>MAX(AR328-($P$318*$B$311)*(2^(((AR317 - 42) - $P$317)/HLOOKUP((AR317-42)-$B$314,$P$341:$BL$343,3,TRUE)))-AR331,0)</f>
        <v>2244323.9956615889</v>
      </c>
      <c r="AS329" s="195">
        <f>MAX(AS328-($P$318*$B$311)*(2^(((AS317 - 42) - $P$317)/HLOOKUP((AS317-42)-$B$314,$P$341:$BL$343,3,TRUE)))-AS331,0)</f>
        <v>1377097.4482461184</v>
      </c>
      <c r="AT329" s="195">
        <f>MAX(AT328-($P$318*$B$311)*(2^(((AT317 - 42) - $P$317)/HLOOKUP((AT317-42)-$B$314,$P$341:$BL$343,3,TRUE)))-AT331,0)</f>
        <v>1351793.9528094539</v>
      </c>
      <c r="AU329" s="195">
        <f>MAX(AU328-($P$318*$B$311)*(2^(((AU317 - 42) - $P$317)/HLOOKUP((AU317-42)-$B$314,$P$341:$BL$343,3,TRUE)))-AU331,0)</f>
        <v>1342206.0075092206</v>
      </c>
      <c r="AV329" s="195">
        <f>MAX(AV328-($P$318*$B$311)*(2^(((AV317 - 42) - $P$317)/HLOOKUP((AV317-42)-$B$314,$P$341:$BL$343,3,TRUE)))-AV331,0)</f>
        <v>1343158.8631907988</v>
      </c>
      <c r="AW329" s="195">
        <f>MAX(AW328-($P$318*$B$311)*(2^(((AW317 - 42) - $P$317)/HLOOKUP((AW317-42)-$B$314,$P$341:$BL$343,3,TRUE)))-AW331,0)</f>
        <v>6805798.372901272</v>
      </c>
      <c r="AX329" s="195">
        <f>MAX(AX328-($P$318*$B$311)*(2^(((AX317 - 42) - $P$317)/HLOOKUP((AX317-42)-$B$314,$P$341:$BL$343,3,TRUE)))-AX331,0)</f>
        <v>5910769.3550842647</v>
      </c>
      <c r="AY329" s="195">
        <f>MAX(AY328-($P$318*$B$311)*(2^(((AY317 - 42) - $P$317)/HLOOKUP((AY317-42)-$B$314,$P$341:$BL$343,3,TRUE)))-AY331,0)</f>
        <v>5373391.8762560003</v>
      </c>
      <c r="AZ329" s="195">
        <f>MAX(AZ328-($P$318*$B$311)*(2^(((AZ317 - 42) - $P$317)/HLOOKUP((AZ317-42)-$B$314,$P$341:$BL$343,3,TRUE)))-AZ331,0)</f>
        <v>5030052.2833984699</v>
      </c>
      <c r="BA329" s="195">
        <f>MAX(BA328-($P$318*$B$311)*(2^(((BA317 - 42) - $P$317)/HLOOKUP((BA317-42)-$B$314,$P$341:$BL$343,3,TRUE)))-BA331,0)</f>
        <v>4802683.2229369599</v>
      </c>
      <c r="BB329" s="195">
        <f>MAX(BB328-($P$318*$B$311)*(2^(((BB317 - 42) - $P$317)/HLOOKUP((BB317-42)-$B$314,$P$341:$BL$343,3,TRUE)))-BB331,0)</f>
        <v>4649718.9781015571</v>
      </c>
      <c r="BC329" s="195">
        <f>MAX(BC328-($P$318*$B$311)*(2^(((BC317 - 42) - $P$317)/HLOOKUP((BC317-42)-$B$314,$P$341:$BL$343,3,TRUE)))-BC331,0)</f>
        <v>5005708.8842025297</v>
      </c>
      <c r="BD329" s="195">
        <f>MAX(BD328-($P$318*$B$311)*(2^(((BD317 - 42) - $P$317)/HLOOKUP((BD317-42)-$B$314,$P$341:$BL$343,3,TRUE)))-BD331,0)</f>
        <v>5306316.2673581792</v>
      </c>
      <c r="BE329" s="195">
        <f>MAX(BE328-($P$318*$B$311)*(2^(((BE317 - 42) - $P$317)/HLOOKUP((BE317-42)-$B$314,$P$341:$BL$343,3,TRUE)))-BE331,0)</f>
        <v>5569467.209958964</v>
      </c>
      <c r="BF329" s="195">
        <f>MAX(BF328-($P$318*$B$311)*(2^(((BF317 - 42) - $P$317)/HLOOKUP((BF317-42)-$B$314,$P$341:$BL$343,3,TRUE)))-BF331,0)</f>
        <v>5806482.8815662758</v>
      </c>
      <c r="BG329" s="237">
        <f>MAX(BG328-($P$318*$B$311)*(2^(((BG317 - 42) - $P$317)/HLOOKUP((BG317-42)-$B$314,$P$341:$BL$343,3,TRUE)))-BG331,0)</f>
        <v>206225349.55184683</v>
      </c>
      <c r="BH329" s="200">
        <f>MAX(BH328-($P$318*$B$311)*(2^(((BH317 - 42) - $P$317)/HLOOKUP((BH317-42)-$B$314,$P$341:$BL$343,3,TRUE)))-BH331,0)</f>
        <v>157102643.65965512</v>
      </c>
      <c r="BI329" s="200">
        <f>MAX(BI328-($P$318*$B$311)*(2^(((BI317 - 42) - $P$317)/HLOOKUP((BI317-42)-$B$314,$P$341:$BL$343,3,TRUE)))-BI331,0)</f>
        <v>173162609.76218724</v>
      </c>
      <c r="BJ329" s="201">
        <f>MAX(BJ328-($P$318*$B$311)*(2^(((BJ317 - 42) - $P$317)/HLOOKUP((BJ317-42)-$B$314,$P$341:$BL$343,3,TRUE)))-BJ331,0)</f>
        <v>230969205.85192645</v>
      </c>
      <c r="BK329" s="196">
        <f>MAX(BK328-($P$318*$B$311)*(2^(((BK317 - 42) - $P$317)/HLOOKUP((BK317-42)-$B$314,$P$341:$BL$343,3,TRUE)))-BK331,0)</f>
        <v>0</v>
      </c>
      <c r="BL329" s="240"/>
      <c r="BM329" s="45"/>
      <c r="BN329" s="45"/>
      <c r="BO329" s="69"/>
    </row>
    <row r="330" spans="1:67" x14ac:dyDescent="0.25">
      <c r="A330" s="62" t="s">
        <v>110</v>
      </c>
      <c r="B330" s="9"/>
      <c r="C330" s="9"/>
      <c r="D330" s="9"/>
      <c r="E330" s="9"/>
      <c r="F330" s="9"/>
      <c r="G330" s="9"/>
      <c r="H330" s="9"/>
      <c r="I330" s="9"/>
      <c r="J330" s="9"/>
      <c r="K330" s="9"/>
      <c r="L330" s="9"/>
      <c r="M330" s="9"/>
      <c r="N330" s="9"/>
      <c r="O330" s="5"/>
      <c r="P330" s="221">
        <f>(1*$B$312)*(2^(((P317 - 14) -$B$314)/$P$343))</f>
        <v>0.35133142435370507</v>
      </c>
      <c r="Q330" s="219">
        <f>(1*$B$312)*(2^(((Q317 - 14) -$B$314)/$P$343))</f>
        <v>0.8793994084295168</v>
      </c>
      <c r="R330" s="219">
        <f>(1*$B$312)*(2^(((R317 - 14) -$B$314)/$P$343))</f>
        <v>1.2405438181505943</v>
      </c>
      <c r="S330" s="219">
        <f>(1*$B$312)*(2^(((S317 - 14) -$B$314)/$P$343))</f>
        <v>1.5603765038925292</v>
      </c>
      <c r="T330" s="208">
        <f>($P$318*$B$312)*(2^(((T317 - 14) - $P$317)/HLOOKUP((T317-14)-$B$314,$P$341:$BL$343,3,TRUE)))</f>
        <v>1.9653383070069901</v>
      </c>
      <c r="U330" s="208">
        <f>($P$318*$B$312)*(2^(((U317 - 14) - $P$317)/HLOOKUP((U317-14)-$B$314,$P$341:$BL$343,3,TRUE)))</f>
        <v>2.7724470405161594</v>
      </c>
      <c r="V330" s="208">
        <f>($P$318*$B$312)*(2^(((V317 - 14) - $P$317)/HLOOKUP((V317-14)-$B$314,$P$341:$BL$343,3,TRUE)))</f>
        <v>3.0357142857142851</v>
      </c>
      <c r="W330" s="208">
        <f>($P$318*$B$312)*(2^(((W317 - 14) - $P$317)/HLOOKUP((W317-14)-$B$314,$P$341:$BL$343,3,TRUE)))</f>
        <v>3.5840256691447028</v>
      </c>
      <c r="X330" s="208">
        <f>($P$318*$B$312)*(2^(((X317 - 14) - $P$317)/HLOOKUP((X317-14)-$B$314,$P$341:$BL$343,3,TRUE)))</f>
        <v>6.2103332730529663</v>
      </c>
      <c r="Y330" s="208">
        <f>($P$318*$B$312)*(2^(((Y317 - 14) - $P$317)/HLOOKUP((Y317-14)-$B$314,$P$341:$BL$343,3,TRUE)))</f>
        <v>11.368617573959821</v>
      </c>
      <c r="Z330" s="208">
        <f>($P$318*$B$312)*(2^(((Z317 - 14) - $P$317)/HLOOKUP((Z317-14)-$B$314,$P$341:$BL$343,3,TRUE)))</f>
        <v>24.151785714285708</v>
      </c>
      <c r="AA330" s="208">
        <f>($P$318*$B$312)*(2^(((AA317 - 14) - $P$317)/HLOOKUP((AA317-14)-$B$314,$P$341:$BL$343,3,TRUE)))</f>
        <v>58.080357142857132</v>
      </c>
      <c r="AB330" s="208">
        <f>($P$318*$B$312)*(2^(((AB317 - 14) - $P$317)/HLOOKUP((AB317-14)-$B$314,$P$341:$BL$343,3,TRUE)))</f>
        <v>123.70535714285711</v>
      </c>
      <c r="AC330" s="208">
        <f>($P$318*$B$312)*(2^(((AC317 - 14) - $P$317)/HLOOKUP((AC317-14)-$B$314,$P$341:$BL$343,3,TRUE)))</f>
        <v>515.59097869702066</v>
      </c>
      <c r="AD330" s="208">
        <f>($P$318*$B$312)*(2^(((AD317 - 14) - $P$317)/HLOOKUP((AD317-14)-$B$314,$P$341:$BL$343,3,TRUE)))</f>
        <v>5570.8928571428578</v>
      </c>
      <c r="AE330" s="208">
        <f>($P$318*$B$312)*(2^(((AE317 - 14) - $P$317)/HLOOKUP((AE317-14)-$B$314,$P$341:$BL$343,3,TRUE)))</f>
        <v>13823.025678649645</v>
      </c>
      <c r="AF330" s="208">
        <f>($P$318*$B$312)*(2^(((AF317 - 14) - $P$317)/HLOOKUP((AF317-14)-$B$314,$P$341:$BL$343,3,TRUE)))</f>
        <v>21428.939201378067</v>
      </c>
      <c r="AG330" s="208">
        <f>($P$318*$B$312)*(2^(((AG317 - 14) - $P$317)/HLOOKUP((AG317-14)-$B$314,$P$341:$BL$343,3,TRUE)))</f>
        <v>50945.755168707459</v>
      </c>
      <c r="AH330" s="272">
        <f>($P$318*$B$312)*(2^(((AH317 - 14) - $P$317)/HLOOKUP((AH317-14)-$B$314,$P$341:$BL$343,3,TRUE)))</f>
        <v>35451.144071431758</v>
      </c>
      <c r="AI330" s="272">
        <f>($P$318*$B$312)*(2^(((AI317 - 14) - $P$317)/HLOOKUP((AI317-14)-$B$314,$P$341:$BL$343,3,TRUE)))</f>
        <v>44728.891495247604</v>
      </c>
      <c r="AJ330" s="208">
        <f>($P$318*$B$312)*(2^(((AJ317 - 14) - $P$317)/HLOOKUP((AJ317-14)-$B$314,$P$341:$BL$343,3,TRUE)))</f>
        <v>144907.46798650004</v>
      </c>
      <c r="AK330" s="208">
        <f>($P$318*$B$312)*(2^(((AK317 - 14) - $P$317)/HLOOKUP((AK317-14)-$B$314,$P$341:$BL$343,3,TRUE)))</f>
        <v>181438.18611984747</v>
      </c>
      <c r="AL330" s="272">
        <f>($P$318*$B$312)*(2^(((AL317 - 14) - $P$317)/HLOOKUP((AL317-14)-$B$314,$P$341:$BL$343,3,TRUE)))</f>
        <v>173150.71064765757</v>
      </c>
      <c r="AM330" s="272">
        <f>($P$318*$B$312)*(2^(((AM317 - 14) - $P$317)/HLOOKUP((AM317-14)-$B$314,$P$341:$BL$343,3,TRUE)))</f>
        <v>100993.5051653088</v>
      </c>
      <c r="AN330" s="272">
        <f>($P$318*$B$312)*(2^(((AN317 - 14) - $P$317)/HLOOKUP((AN317-14)-$B$314,$P$341:$BL$343,3,TRUE)))</f>
        <v>120289.85912445208</v>
      </c>
      <c r="AO330" s="272">
        <f>($P$318*$B$312)*(2^(((AO317 - 14) - $P$317)/HLOOKUP((AO317-14)-$B$314,$P$341:$BL$343,3,TRUE)))</f>
        <v>138853.90524958592</v>
      </c>
      <c r="AP330" s="272">
        <f>($P$318*$B$312)*(2^(((AP317 - 14) - $P$317)/HLOOKUP((AP317-14)-$B$314,$P$341:$BL$343,3,TRUE)))</f>
        <v>157573.65804915063</v>
      </c>
      <c r="AQ330" s="208">
        <f>($P$318*$B$312)*(2^(((AQ317 - 14) - $P$317)/HLOOKUP((AQ317-14)-$B$314,$P$341:$BL$343,3,TRUE)))</f>
        <v>176227.45834120753</v>
      </c>
      <c r="AR330" s="274">
        <f>($P$318*$B$312)*(2^(((AR317 - 14) - $P$317)/HLOOKUP((AR317-14)-$B$314,$P$341:$BL$343,3,TRUE)))</f>
        <v>504467.2356295627</v>
      </c>
      <c r="AS330" s="272">
        <f>($P$318*$B$312)*(2^(((AS317 - 14) - $P$317)/HLOOKUP((AS317-14)-$B$314,$P$341:$BL$343,3,TRUE)))</f>
        <v>532293.27737563313</v>
      </c>
      <c r="AT330" s="272">
        <f>($P$318*$B$312)*(2^(((AT317 - 14) - $P$317)/HLOOKUP((AT317-14)-$B$314,$P$341:$BL$343,3,TRUE)))</f>
        <v>562560.37901915691</v>
      </c>
      <c r="AU330" s="274">
        <f>($P$318*$B$312)*(2^(((AU317 - 14) - $P$317)/HLOOKUP((AU317-14)-$B$314,$P$341:$BL$343,3,TRUE)))</f>
        <v>594442.6733543023</v>
      </c>
      <c r="AV330" s="274">
        <f>($P$318*$B$312)*(2^(((AV317 - 14) - $P$317)/HLOOKUP((AV317-14)-$B$314,$P$341:$BL$343,3,TRUE)))</f>
        <v>627439.75900956581</v>
      </c>
      <c r="AW330" s="274">
        <f>($P$318*$B$312)*(2^(((AW317 - 14) - $P$317)/HLOOKUP((AW317-14)-$B$314,$P$341:$BL$343,3,TRUE)))</f>
        <v>2007378.9814925301</v>
      </c>
      <c r="AX330" s="272">
        <f>($P$318*$B$312)*(2^(((AX317 - 14) - $P$317)/HLOOKUP((AX317-14)-$B$314,$P$341:$BL$343,3,TRUE)))</f>
        <v>1898640.8817086103</v>
      </c>
      <c r="AY330" s="272">
        <f>($P$318*$B$312)*(2^(((AY317 - 14) - $P$317)/HLOOKUP((AY317-14)-$B$314,$P$341:$BL$343,3,TRUE)))</f>
        <v>1853975.9467149482</v>
      </c>
      <c r="AZ330" s="272">
        <f>($P$318*$B$312)*(2^(((AZ317 - 14) - $P$317)/HLOOKUP((AZ317-14)-$B$314,$P$341:$BL$343,3,TRUE)))</f>
        <v>1845238.1566848119</v>
      </c>
      <c r="BA330" s="272">
        <f>($P$318*$B$312)*(2^(((BA317 - 14) - $P$317)/HLOOKUP((BA317-14)-$B$314,$P$341:$BL$343,3,TRUE)))</f>
        <v>1858514.2627850329</v>
      </c>
      <c r="BB330" s="274">
        <f>($P$318*$B$312)*(2^(((BB317 - 14) - $P$317)/HLOOKUP((BB317-14)-$B$314,$P$341:$BL$343,3,TRUE)))</f>
        <v>1886190.1188365638</v>
      </c>
      <c r="BC330" s="272">
        <f>($P$318*$B$312)*(2^(((BC317 - 14) - $P$317)/HLOOKUP((BC317-14)-$B$314,$P$341:$BL$343,3,TRUE)))</f>
        <v>2110795.4131843499</v>
      </c>
      <c r="BD330" s="272">
        <f>($P$318*$B$312)*(2^(((BD317 - 14) - $P$317)/HLOOKUP((BD317-14)-$B$314,$P$341:$BL$343,3,TRUE)))</f>
        <v>2318203.2875881912</v>
      </c>
      <c r="BE330" s="272">
        <f>($P$318*$B$312)*(2^(((BE317 - 14) - $P$317)/HLOOKUP((BE317-14)-$B$314,$P$341:$BL$343,3,TRUE)))</f>
        <v>2513416.8129098802</v>
      </c>
      <c r="BF330" s="274">
        <f>($P$318*$B$312)*(2^(((BF317 - 14) - $P$317)/HLOOKUP((BF317-14)-$B$314,$P$341:$BL$343,3,TRUE)))</f>
        <v>2699724.1687474009</v>
      </c>
      <c r="BG330" s="234">
        <f>($P$318*$B$312)*(2^(((BG317 - 14) - $P$317)/HLOOKUP((BG317-14)-$B$314,$P$341:$BL$343,3,TRUE)))</f>
        <v>98559358.993281186</v>
      </c>
      <c r="BH330" s="205">
        <f>($P$318*$B$312)*(2^(((BH317 - 14) - $P$317)/HLOOKUP((BH317-14)-$B$314,$P$341:$BL$343,3,TRUE)))</f>
        <v>83170165.994121224</v>
      </c>
      <c r="BI330" s="205">
        <f>($P$318*$B$312)*(2^(((BI317 - 14) - $P$317)/HLOOKUP((BI317-14)-$B$314,$P$341:$BL$343,3,TRUE)))</f>
        <v>98360079.025587425</v>
      </c>
      <c r="BJ330" s="206">
        <f>($P$318*$B$312)*(2^(((BJ317 - 14) - $P$317)/HLOOKUP((BJ317-14)-$B$314,$P$341:$BL$343,3,TRUE)))</f>
        <v>138140075.24731678</v>
      </c>
      <c r="BK330" s="205">
        <f>($P$318*$B$312)*(2^(((BK317 - 14) - $P$317)/HLOOKUP((BK317-14)-$B$314,$P$341:$BL$343,3,TRUE)))</f>
        <v>214282694.50768462</v>
      </c>
      <c r="BL330" s="239">
        <f>BL318*B312</f>
        <v>1156979.2500000002</v>
      </c>
      <c r="BM330" s="45"/>
      <c r="BN330" s="45"/>
      <c r="BO330" s="69"/>
    </row>
    <row r="331" spans="1:67" x14ac:dyDescent="0.25">
      <c r="A331" s="37" t="s">
        <v>157</v>
      </c>
      <c r="B331" s="38"/>
      <c r="C331" s="39"/>
      <c r="D331" s="39"/>
      <c r="E331" s="39"/>
      <c r="F331" s="39"/>
      <c r="G331" s="39"/>
      <c r="H331" s="39"/>
      <c r="I331" s="39"/>
      <c r="J331" s="39"/>
      <c r="K331" s="39"/>
      <c r="L331" s="39"/>
      <c r="M331" s="39"/>
      <c r="N331" s="39"/>
      <c r="O331" s="63"/>
      <c r="P331" s="203">
        <f t="shared" ref="P331:AA331" si="40">P330</f>
        <v>0.35133142435370507</v>
      </c>
      <c r="Q331" s="204">
        <f t="shared" si="40"/>
        <v>0.8793994084295168</v>
      </c>
      <c r="R331" s="204">
        <f t="shared" si="40"/>
        <v>1.2405438181505943</v>
      </c>
      <c r="S331" s="204">
        <f t="shared" si="40"/>
        <v>1.5603765038925292</v>
      </c>
      <c r="T331" s="204">
        <f t="shared" si="40"/>
        <v>1.9653383070069901</v>
      </c>
      <c r="U331" s="204">
        <f t="shared" si="40"/>
        <v>2.7724470405161594</v>
      </c>
      <c r="V331" s="204">
        <f t="shared" si="40"/>
        <v>3.0357142857142851</v>
      </c>
      <c r="W331" s="204">
        <f t="shared" si="40"/>
        <v>3.5840256691447028</v>
      </c>
      <c r="X331" s="204">
        <f t="shared" si="40"/>
        <v>6.2103332730529663</v>
      </c>
      <c r="Y331" s="204">
        <f t="shared" si="40"/>
        <v>11.368617573959821</v>
      </c>
      <c r="Z331" s="204">
        <f t="shared" si="40"/>
        <v>24.151785714285708</v>
      </c>
      <c r="AA331" s="204">
        <f t="shared" si="40"/>
        <v>58.080357142857132</v>
      </c>
      <c r="AB331" s="202">
        <f>MAX(AB330-($P$318*$B$312)*(2^(((AB317 - 35) - $P$317)/HLOOKUP((AB317-35)-$B$314,$P$341:$BL$343,3,TRUE))),0)</f>
        <v>121.95297559059789</v>
      </c>
      <c r="AC331" s="202">
        <f>MAX(AC330-($P$318*$B$312)*(2^(((AC317 - 35) - $P$317)/HLOOKUP((AC317-35)-$B$314,$P$341:$BL$343,3,TRUE))),0)</f>
        <v>512.48161226603429</v>
      </c>
      <c r="AD331" s="202">
        <f>MAX(AD330-($P$318*$B$312)*(2^(((AD317 - 35) - $P$317)/HLOOKUP((AD317-35)-$B$314,$P$341:$BL$343,3,TRUE))),0)</f>
        <v>5557.792864255247</v>
      </c>
      <c r="AE331" s="202">
        <f>MAX(AE330-($P$318*$B$312)*(2^(((AE317 - 35) - $P$317)/HLOOKUP((AE317-35)-$B$314,$P$341:$BL$343,3,TRUE))),0)</f>
        <v>13764.945321506788</v>
      </c>
      <c r="AF331" s="202">
        <f>MAX(AF330-($P$318*$B$312)*(2^(((AF317 - 35) - $P$317)/HLOOKUP((AF317-35)-$B$314,$P$341:$BL$343,3,TRUE))),0)</f>
        <v>21278.039953623709</v>
      </c>
      <c r="AG331" s="202">
        <f>MAX(AG330-($P$318*$B$312)*(2^(((AG317 - 35) - $P$317)/HLOOKUP((AG317-35)-$B$314,$P$341:$BL$343,3,TRUE))),0)</f>
        <v>50430.164190010437</v>
      </c>
      <c r="AH331" s="202">
        <f>MAX(AH330-($P$318*$B$312)*(2^(((AH317 - 35) - $P$317)/HLOOKUP((AH317-35)-$B$314,$P$341:$BL$343,3,TRUE))),0)</f>
        <v>33551.402995707496</v>
      </c>
      <c r="AI331" s="202">
        <f>MAX(AI330-($P$318*$B$312)*(2^(((AI317 - 35) - $P$317)/HLOOKUP((AI317-35)-$B$314,$P$341:$BL$343,3,TRUE))),0)</f>
        <v>31563.302331317282</v>
      </c>
      <c r="AJ331" s="202">
        <f>MAX(AJ330-($P$318*$B$312)*(2^(((AJ317 - 35) - $P$317)/HLOOKUP((AJ317-35)-$B$314,$P$341:$BL$343,3,TRUE))),0)</f>
        <v>105867.17701365154</v>
      </c>
      <c r="AK331" s="202">
        <f>MAX(AK330-($P$318*$B$312)*(2^(((AK317 - 35) - $P$317)/HLOOKUP((AK317-35)-$B$314,$P$341:$BL$343,3,TRUE))),0)</f>
        <v>125567.8816945006</v>
      </c>
      <c r="AL331" s="202">
        <f>MAX(AL330-($P$318*$B$312)*(2^(((AL317 - 35) - $P$317)/HLOOKUP((AL317-35)-$B$314,$P$341:$BL$343,3,TRUE))),0)</f>
        <v>16518.266314172652</v>
      </c>
      <c r="AM331" s="202">
        <f>MAX(AM330-($P$318*$B$312)*(2^(((AM317 - 35) - $P$317)/HLOOKUP((AM317-35)-$B$314,$P$341:$BL$343,3,TRUE))),0)</f>
        <v>17852.036103622348</v>
      </c>
      <c r="AN331" s="202">
        <f>MAX(AN330-($P$318*$B$312)*(2^(((AN317 - 35) - $P$317)/HLOOKUP((AN317-35)-$B$314,$P$341:$BL$343,3,TRUE))),0)</f>
        <v>0</v>
      </c>
      <c r="AO331" s="202">
        <f>MAX(AO330-($P$318*$B$312)*(2^(((AO317 - 35) - $P$317)/HLOOKUP((AO317-35)-$B$314,$P$341:$BL$343,3,TRUE))),0)</f>
        <v>0</v>
      </c>
      <c r="AP331" s="202">
        <f>MAX(AP330-($P$318*$B$312)*(2^(((AP317 - 35) - $P$317)/HLOOKUP((AP317-35)-$B$314,$P$341:$BL$343,3,TRUE))),0)</f>
        <v>0</v>
      </c>
      <c r="AQ331" s="202">
        <f>MAX(AQ330-($P$318*$B$312)*(2^(((AQ317 - 35) - $P$317)/HLOOKUP((AQ317-35)-$B$314,$P$341:$BL$343,3,TRUE))),0)</f>
        <v>0</v>
      </c>
      <c r="AR331" s="202">
        <f>MAX(AR330-($P$318*$B$312)*(2^(((AR317 - 35) - $P$317)/HLOOKUP((AR317-35)-$B$314,$P$341:$BL$343,3,TRUE))),0)</f>
        <v>178220.76324596221</v>
      </c>
      <c r="AS331" s="202">
        <f>MAX(AS330-($P$318*$B$312)*(2^(((AS317 - 35) - $P$317)/HLOOKUP((AS317-35)-$B$314,$P$341:$BL$343,3,TRUE))),0)</f>
        <v>0</v>
      </c>
      <c r="AT331" s="202">
        <f>MAX(AT330-($P$318*$B$312)*(2^(((AT317 - 35) - $P$317)/HLOOKUP((AT317-35)-$B$314,$P$341:$BL$343,3,TRUE))),0)</f>
        <v>0</v>
      </c>
      <c r="AU331" s="202">
        <f>MAX(AU330-($P$318*$B$312)*(2^(((AU317 - 35) - $P$317)/HLOOKUP((AU317-35)-$B$314,$P$341:$BL$343,3,TRUE))),0)</f>
        <v>0</v>
      </c>
      <c r="AV331" s="202">
        <f>MAX(AV330-($P$318*$B$312)*(2^(((AV317 - 35) - $P$317)/HLOOKUP((AV317-35)-$B$314,$P$341:$BL$343,3,TRUE))),0)</f>
        <v>0</v>
      </c>
      <c r="AW331" s="202">
        <f>MAX(AW330-($P$318*$B$312)*(2^(((AW317 - 35) - $P$317)/HLOOKUP((AW317-35)-$B$314,$P$341:$BL$343,3,TRUE))),0)</f>
        <v>1084728.3633519062</v>
      </c>
      <c r="AX331" s="202">
        <f>MAX(AX330-($P$318*$B$312)*(2^(((AX317 - 35) - $P$317)/HLOOKUP((AX317-35)-$B$314,$P$341:$BL$343,3,TRUE))),0)</f>
        <v>925803.21822438587</v>
      </c>
      <c r="AY331" s="202">
        <f>MAX(AY330-($P$318*$B$312)*(2^(((AY317 - 35) - $P$317)/HLOOKUP((AY317-35)-$B$314,$P$341:$BL$343,3,TRUE))),0)</f>
        <v>823627.39626692282</v>
      </c>
      <c r="AZ331" s="202">
        <f>MAX(AZ330-($P$318*$B$312)*(2^(((AZ317 - 35) - $P$317)/HLOOKUP((AZ317-35)-$B$314,$P$341:$BL$343,3,TRUE))),0)</f>
        <v>752933.68506485573</v>
      </c>
      <c r="BA331" s="202">
        <f>MAX(BA330-($P$318*$B$312)*(2^(((BA317 - 35) - $P$317)/HLOOKUP((BA317-35)-$B$314,$P$341:$BL$343,3,TRUE))),0)</f>
        <v>701368.54026589193</v>
      </c>
      <c r="BB331" s="202">
        <f>MAX(BB330-($P$318*$B$312)*(2^(((BB317 - 35) - $P$317)/HLOOKUP((BB317-35)-$B$314,$P$341:$BL$343,3,TRUE))),0)</f>
        <v>662232.89866957441</v>
      </c>
      <c r="BC331" s="202">
        <f>MAX(BC330-($P$318*$B$312)*(2^(((BC317 - 35) - $P$317)/HLOOKUP((BC317-35)-$B$314,$P$341:$BL$343,3,TRUE))),0)</f>
        <v>696731.90726968925</v>
      </c>
      <c r="BD331" s="202">
        <f>MAX(BD330-($P$318*$B$312)*(2^(((BD317 - 35) - $P$317)/HLOOKUP((BD317-35)-$B$314,$P$341:$BL$343,3,TRUE))),0)</f>
        <v>721757.9026097178</v>
      </c>
      <c r="BE331" s="202">
        <f>MAX(BE330-($P$318*$B$312)*(2^(((BE317 - 35) - $P$317)/HLOOKUP((BE317-35)-$B$314,$P$341:$BL$343,3,TRUE))),0)</f>
        <v>740404.29606430908</v>
      </c>
      <c r="BF331" s="202">
        <f>MAX(BF330-($P$318*$B$312)*(2^(((BF317 - 35) - $P$317)/HLOOKUP((BF317-35)-$B$314,$P$341:$BL$343,3,TRUE))),0)</f>
        <v>754625.25413107104</v>
      </c>
      <c r="BG331" s="237">
        <f>MAX(BG330-($P$318*$B$312)*(2^(((BG317 - 35) - $P$317)/HLOOKUP((BG317-35)-$B$314,$P$341:$BL$343,3,TRUE))),0)</f>
        <v>26209501.858337373</v>
      </c>
      <c r="BH331" s="200">
        <f>MAX(BH330-($P$318*$B$312)*(2^(((BH317 - 35) - $P$317)/HLOOKUP((BH317-35)-$B$314,$P$341:$BL$343,3,TRUE))),0)</f>
        <v>18123545.092120029</v>
      </c>
      <c r="BI331" s="200">
        <f>MAX(BI330-($P$318*$B$312)*(2^(((BI317 - 35) - $P$317)/HLOOKUP((BI317-35)-$B$314,$P$341:$BL$343,3,TRUE))),0)</f>
        <v>18407878.598609343</v>
      </c>
      <c r="BJ331" s="201">
        <f>MAX(BJ330-($P$318*$B$312)*(2^(((BJ317 - 35) - $P$317)/HLOOKUP((BJ317-35)-$B$314,$P$341:$BL$343,3,TRUE))),0)</f>
        <v>22899780.234400392</v>
      </c>
      <c r="BK331" s="196">
        <f>MAX(BK330-($P$318*$B$312)*(2^(((BK317 - 35) - $P$317)/HLOOKUP((BK317-35)-$B$314,$P$341:$BL$343,3,TRUE))),0)</f>
        <v>32155281.659299791</v>
      </c>
      <c r="BL331" s="239"/>
      <c r="BM331" s="45"/>
      <c r="BN331" s="45"/>
      <c r="BO331" s="69"/>
    </row>
    <row r="332" spans="1:67" x14ac:dyDescent="0.25">
      <c r="A332" s="41" t="s">
        <v>56</v>
      </c>
      <c r="B332" s="15"/>
      <c r="C332" s="16"/>
      <c r="D332" s="16"/>
      <c r="E332" s="16"/>
      <c r="F332" s="16"/>
      <c r="G332" s="16"/>
      <c r="H332" s="16"/>
      <c r="I332" s="16"/>
      <c r="J332" s="16"/>
      <c r="K332" s="16"/>
      <c r="L332" s="16"/>
      <c r="M332" s="16"/>
      <c r="N332" s="16"/>
      <c r="O332" s="16"/>
      <c r="P332" s="222">
        <f t="shared" ref="P332:BK332" si="41">P318*$B$313</f>
        <v>1.578125</v>
      </c>
      <c r="Q332" s="223">
        <f t="shared" ref="Q332:AN332" si="42">Q318*$B$313</f>
        <v>3.15625</v>
      </c>
      <c r="R332" s="223">
        <f t="shared" si="42"/>
        <v>6.3125</v>
      </c>
      <c r="S332" s="223">
        <f t="shared" si="42"/>
        <v>12.625</v>
      </c>
      <c r="T332" s="223">
        <f t="shared" si="42"/>
        <v>25.25</v>
      </c>
      <c r="U332" s="223">
        <f t="shared" si="42"/>
        <v>50.5</v>
      </c>
      <c r="V332" s="223">
        <f t="shared" si="42"/>
        <v>101</v>
      </c>
      <c r="W332" s="223">
        <f t="shared" si="42"/>
        <v>202</v>
      </c>
      <c r="X332" s="223">
        <f t="shared" si="42"/>
        <v>404</v>
      </c>
      <c r="Y332" s="223">
        <f t="shared" si="42"/>
        <v>808</v>
      </c>
      <c r="Z332" s="223">
        <f t="shared" si="42"/>
        <v>1616</v>
      </c>
      <c r="AA332" s="223">
        <f t="shared" si="42"/>
        <v>3232</v>
      </c>
      <c r="AB332" s="223">
        <f t="shared" si="42"/>
        <v>6464</v>
      </c>
      <c r="AC332" s="223">
        <f t="shared" si="42"/>
        <v>12928</v>
      </c>
      <c r="AD332" s="223">
        <f t="shared" si="42"/>
        <v>25856</v>
      </c>
      <c r="AE332" s="223">
        <f t="shared" si="42"/>
        <v>32320.000000000004</v>
      </c>
      <c r="AF332" s="223">
        <f t="shared" si="42"/>
        <v>38784</v>
      </c>
      <c r="AG332" s="223">
        <f t="shared" si="42"/>
        <v>45248</v>
      </c>
      <c r="AH332" s="223">
        <f t="shared" si="42"/>
        <v>51712</v>
      </c>
      <c r="AI332" s="223">
        <f t="shared" si="42"/>
        <v>66191.360000000001</v>
      </c>
      <c r="AJ332" s="223">
        <f t="shared" si="42"/>
        <v>77568</v>
      </c>
      <c r="AK332" s="223">
        <f t="shared" si="42"/>
        <v>90496</v>
      </c>
      <c r="AL332" s="223">
        <f t="shared" si="42"/>
        <v>103424</v>
      </c>
      <c r="AM332" s="223">
        <f t="shared" si="42"/>
        <v>124108.8</v>
      </c>
      <c r="AN332" s="223">
        <f t="shared" si="42"/>
        <v>144793.60000000001</v>
      </c>
      <c r="AO332" s="223">
        <f t="shared" ref="AO332:AP332" si="43">AO318*$B$313</f>
        <v>165478.40000000002</v>
      </c>
      <c r="AP332" s="223">
        <f t="shared" si="43"/>
        <v>186163.20000000001</v>
      </c>
      <c r="AQ332" s="223">
        <f t="shared" si="41"/>
        <v>206848</v>
      </c>
      <c r="AR332" s="223">
        <f t="shared" ref="AR332:AU332" si="44">AR318*$B$313</f>
        <v>248217.60000000001</v>
      </c>
      <c r="AS332" s="223">
        <f t="shared" si="44"/>
        <v>289587.20000000001</v>
      </c>
      <c r="AT332" s="223">
        <f t="shared" si="44"/>
        <v>330956.80000000005</v>
      </c>
      <c r="AU332" s="223">
        <f t="shared" si="44"/>
        <v>372326.40000000002</v>
      </c>
      <c r="AV332" s="223">
        <f t="shared" si="41"/>
        <v>413696</v>
      </c>
      <c r="AW332" s="223">
        <f t="shared" ref="AW332:AZ332" si="45">AW318*$B$313</f>
        <v>496435.20000000001</v>
      </c>
      <c r="AX332" s="223">
        <f t="shared" si="45"/>
        <v>579174.40000000002</v>
      </c>
      <c r="AY332" s="223">
        <f t="shared" si="45"/>
        <v>661913.60000000009</v>
      </c>
      <c r="AZ332" s="223">
        <f t="shared" si="45"/>
        <v>744652.80000000005</v>
      </c>
      <c r="BA332" s="223">
        <f t="shared" si="41"/>
        <v>827392</v>
      </c>
      <c r="BB332" s="223">
        <f t="shared" si="41"/>
        <v>992870.40000000002</v>
      </c>
      <c r="BC332" s="223">
        <f t="shared" si="41"/>
        <v>1158348.8</v>
      </c>
      <c r="BD332" s="223">
        <f t="shared" si="41"/>
        <v>1323827.2000000002</v>
      </c>
      <c r="BE332" s="223">
        <f t="shared" si="41"/>
        <v>1489305.6000000001</v>
      </c>
      <c r="BF332" s="223">
        <f t="shared" ref="BF332:BJ332" si="46">BF318*$B$313</f>
        <v>1654784</v>
      </c>
      <c r="BG332" s="236">
        <f t="shared" si="46"/>
        <v>3309568</v>
      </c>
      <c r="BH332" s="196">
        <f t="shared" si="46"/>
        <v>6619136</v>
      </c>
      <c r="BI332" s="196">
        <f t="shared" si="46"/>
        <v>13238272</v>
      </c>
      <c r="BJ332" s="197">
        <f t="shared" si="46"/>
        <v>16693557.750000002</v>
      </c>
      <c r="BK332" s="205">
        <f t="shared" si="41"/>
        <v>16693557.750000002</v>
      </c>
      <c r="BL332" s="239">
        <f>BL318*B313</f>
        <v>1168549.0425000002</v>
      </c>
      <c r="BM332" s="45"/>
      <c r="BN332" s="45"/>
      <c r="BO332" s="69"/>
    </row>
    <row r="333" spans="1:67" x14ac:dyDescent="0.25">
      <c r="A333" s="37" t="s">
        <v>55</v>
      </c>
      <c r="B333" s="38"/>
      <c r="C333" s="39"/>
      <c r="D333" s="39"/>
      <c r="E333" s="39"/>
      <c r="F333" s="39"/>
      <c r="G333" s="39"/>
      <c r="H333" s="39"/>
      <c r="I333" s="39"/>
      <c r="J333" s="39"/>
      <c r="K333" s="39"/>
      <c r="L333" s="39"/>
      <c r="M333" s="39"/>
      <c r="N333" s="39"/>
      <c r="O333" s="39"/>
      <c r="P333" s="198"/>
      <c r="Q333" s="199"/>
      <c r="R333" s="199"/>
      <c r="S333" s="199"/>
      <c r="T333" s="199"/>
      <c r="U333" s="199"/>
      <c r="V333" s="199"/>
      <c r="W333" s="199"/>
      <c r="X333" s="199"/>
      <c r="Y333" s="199"/>
      <c r="Z333" s="199"/>
      <c r="AA333" s="199"/>
      <c r="AB333" s="207">
        <f>($P$318*$B$313)*(2^(((AB317-35)-$P$317)/HLOOKUP((AB317-35)-$B$314,$P$341:$BL$343,3,TRUE)))</f>
        <v>1.7699053677818091</v>
      </c>
      <c r="AC333" s="207">
        <f>($P$318*$B$313)*(2^(((AC317-35)-$P$317)/HLOOKUP((AC317-35)-$B$314,$P$341:$BL$343,3,TRUE)))</f>
        <v>3.1404600952962185</v>
      </c>
      <c r="AD333" s="207">
        <f>($P$318*$B$313)*(2^(((AD317-35)-$P$317)/HLOOKUP((AD317-35)-$B$314,$P$341:$BL$343,3,TRUE)))</f>
        <v>13.230992816487138</v>
      </c>
      <c r="AE333" s="207">
        <f>($P$318*$B$313)*(2^(((AE317-35)-$P$317)/HLOOKUP((AE317-35)-$B$314,$P$341:$BL$343,3,TRUE)))</f>
        <v>58.6611607142857</v>
      </c>
      <c r="AF333" s="207">
        <f>($P$318*$B$313)*(2^(((AF317-35)-$P$317)/HLOOKUP((AF317-35)-$B$314,$P$341:$BL$343,3,TRUE)))</f>
        <v>152.40824023189973</v>
      </c>
      <c r="AG333" s="207">
        <f>($P$318*$B$313)*(2^(((AG317-35)-$P$317)/HLOOKUP((AG317-35)-$B$314,$P$341:$BL$343,3,TRUE)))</f>
        <v>520.74688848399092</v>
      </c>
      <c r="AH333" s="207">
        <f>($P$318*$B$313)*(2^(((AH317-35)-$P$317)/HLOOKUP((AH317-35)-$B$314,$P$341:$BL$343,3,TRUE)))</f>
        <v>1918.7384864815031</v>
      </c>
      <c r="AI333" s="207">
        <f>($P$318*$B$313)*(2^(((AI317-35)-$P$317)/HLOOKUP((AI317-35)-$B$314,$P$341:$BL$343,3,TRUE)))</f>
        <v>13297.245055569623</v>
      </c>
      <c r="AJ333" s="207">
        <f>($P$318*$B$313)*(2^(((AJ317-35)-$P$317)/HLOOKUP((AJ317-35)-$B$314,$P$341:$BL$343,3,TRUE)))</f>
        <v>39430.693882576983</v>
      </c>
      <c r="AK333" s="207">
        <f>($P$318*$B$313)*(2^(((AK317-35)-$P$317)/HLOOKUP((AK317-35)-$B$314,$P$341:$BL$343,3,TRUE)))</f>
        <v>56429.007469600343</v>
      </c>
      <c r="AL333" s="207">
        <f>($P$318*$B$313)*(2^(((AL317-35)-$P$317)/HLOOKUP((AL317-35)-$B$314,$P$341:$BL$343,3,TRUE)))</f>
        <v>158198.76877681975</v>
      </c>
      <c r="AM333" s="207">
        <f>($P$318*$B$313)*(2^(((AM317-35)-$P$317)/HLOOKUP((AM317-35)-$B$314,$P$341:$BL$343,3,TRUE)))</f>
        <v>83972.883752303314</v>
      </c>
      <c r="AN333" s="207">
        <f>($P$318*$B$313)*(2^(((AN317-35)-$P$317)/HLOOKUP((AN317-35)-$B$314,$P$341:$BL$343,3,TRUE)))</f>
        <v>138086.59316232384</v>
      </c>
      <c r="AO333" s="207">
        <f>($P$318*$B$313)*(2^(((AO317-35)-$P$317)/HLOOKUP((AO317-35)-$B$314,$P$341:$BL$343,3,TRUE)))</f>
        <v>252463.73798115723</v>
      </c>
      <c r="AP333" s="207">
        <f>($P$318*$B$313)*(2^(((AP317-35)-$P$317)/HLOOKUP((AP317-35)-$B$314,$P$341:$BL$343,3,TRUE)))</f>
        <v>273131.5299014622</v>
      </c>
      <c r="AQ333" s="207">
        <f>($P$318*$B$313)*(2^(((AQ317-35)-$P$317)/HLOOKUP((AQ317-35)-$B$314,$P$341:$BL$343,3,TRUE)))</f>
        <v>291751.18879758264</v>
      </c>
      <c r="AR333" s="207">
        <f>($P$318*$B$313)*(2^(((AR317-35)-$P$317)/HLOOKUP((AR317-35)-$B$314,$P$341:$BL$343,3,TRUE)))</f>
        <v>329508.93710743648</v>
      </c>
      <c r="AS333" s="207">
        <f>($P$318*$B$313)*(2^(((AS317-35)-$P$317)/HLOOKUP((AS317-35)-$B$314,$P$341:$BL$343,3,TRUE)))</f>
        <v>901695.5383364273</v>
      </c>
      <c r="AT333" s="207">
        <f>($P$318*$B$313)*(2^(((AT317-35)-$P$317)/HLOOKUP((AT317-35)-$B$314,$P$341:$BL$343,3,TRUE)))</f>
        <v>885023.63863105525</v>
      </c>
      <c r="AU333" s="207">
        <f>($P$318*$B$313)*(2^(((AU317-35)-$P$317)/HLOOKUP((AU317-35)-$B$314,$P$341:$BL$343,3,TRUE)))</f>
        <v>884760.40171509096</v>
      </c>
      <c r="AV333" s="207">
        <f>($P$318*$B$313)*(2^(((AV317-35)-$P$317)/HLOOKUP((AV317-35)-$B$314,$P$341:$BL$343,3,TRUE)))</f>
        <v>894566.77642367245</v>
      </c>
      <c r="AW333" s="207">
        <f>($P$318*$B$313)*(2^(((AW317-35)-$P$317)/HLOOKUP((AW317-35)-$B$314,$P$341:$BL$343,3,TRUE)))</f>
        <v>931877.12432202999</v>
      </c>
      <c r="AX333" s="207">
        <f>($P$318*$B$313)*(2^(((AX317-35)-$P$317)/HLOOKUP((AX317-35)-$B$314,$P$341:$BL$343,3,TRUE)))</f>
        <v>982566.04011906672</v>
      </c>
      <c r="AY333" s="207">
        <f>($P$318*$B$313)*(2^(((AY317-35)-$P$317)/HLOOKUP((AY317-35)-$B$314,$P$341:$BL$343,3,TRUE)))</f>
        <v>1040652.0359525057</v>
      </c>
      <c r="AZ333" s="207">
        <f>($P$318*$B$313)*(2^(((AZ317-35)-$P$317)/HLOOKUP((AZ317-35)-$B$314,$P$341:$BL$343,3,TRUE)))</f>
        <v>1103227.5163361558</v>
      </c>
      <c r="BA333" s="207">
        <f>($P$318*$B$313)*(2^(((BA317-35)-$P$317)/HLOOKUP((BA317-35)-$B$314,$P$341:$BL$343,3,TRUE)))</f>
        <v>1168717.1797443323</v>
      </c>
      <c r="BB333" s="207">
        <f>($P$318*$B$313)*(2^(((BB317-35)-$P$317)/HLOOKUP((BB317-35)-$B$314,$P$341:$BL$343,3,TRUE)))</f>
        <v>1236196.7923686593</v>
      </c>
      <c r="BC333" s="207">
        <f>($P$318*$B$313)*(2^(((BC317-35)-$P$317)/HLOOKUP((BC317-35)-$B$314,$P$341:$BL$343,3,TRUE)))</f>
        <v>1428204.1409738071</v>
      </c>
      <c r="BD333" s="207">
        <f>($P$318*$B$313)*(2^(((BD317-35)-$P$317)/HLOOKUP((BD317-35)-$B$314,$P$341:$BL$343,3,TRUE)))</f>
        <v>1612409.838828258</v>
      </c>
      <c r="BE333" s="207">
        <f>($P$318*$B$313)*(2^(((BE317-35)-$P$317)/HLOOKUP((BE317-35)-$B$314,$P$341:$BL$343,3,TRUE)))</f>
        <v>1790742.6420140266</v>
      </c>
      <c r="BF333" s="207">
        <f>($P$318*$B$313)*(2^(((BF317-35)-$P$317)/HLOOKUP((BF317-35)-$B$314,$P$341:$BL$343,3,TRUE)))</f>
        <v>1964549.903762493</v>
      </c>
      <c r="BG333" s="237">
        <f>($P$318*$B$313)*(2^(((BG317-35)-$P$317)/HLOOKUP((BG317-35)-$B$314,$P$341:$BL$343,3,TRUE)))</f>
        <v>73073355.706293255</v>
      </c>
      <c r="BH333" s="200">
        <f>($P$318*$B$313)*(2^(((BH317-35)-$P$317)/HLOOKUP((BH317-35)-$B$314,$P$341:$BL$343,3,TRUE)))</f>
        <v>65697087.111021206</v>
      </c>
      <c r="BI333" s="200">
        <f>($P$318*$B$313)*(2^(((BI317-35)-$P$317)/HLOOKUP((BI317-35)-$B$314,$P$341:$BL$343,3,TRUE)))</f>
        <v>80751722.43124786</v>
      </c>
      <c r="BJ333" s="201">
        <f>($P$318*$B$313)*(2^(((BJ317-35)-$P$317)/HLOOKUP((BJ317-35)-$B$314,$P$341:$BL$343,3,TRUE)))</f>
        <v>116392697.96304555</v>
      </c>
      <c r="BK333" s="200">
        <f>($P$318*$B$313)*(2^(((BK317-35)-$P$317)/HLOOKUP((BK317-35)-$B$314,$P$341:$BL$343,3,TRUE)))</f>
        <v>183948686.97686869</v>
      </c>
      <c r="BL333" s="241">
        <f>($P$318*$B$313)*(2^(((BL317 - 35) - $P$317)/BL343))</f>
        <v>11892852.952370295</v>
      </c>
      <c r="BM333" s="45"/>
      <c r="BN333" s="45"/>
      <c r="BO333" s="69"/>
    </row>
    <row r="334" spans="1:67" s="69" customFormat="1" hidden="1" x14ac:dyDescent="0.25">
      <c r="A334" s="48" t="s">
        <v>104</v>
      </c>
      <c r="B334" s="25"/>
      <c r="C334" s="47"/>
      <c r="D334" s="47"/>
      <c r="E334" s="47"/>
      <c r="F334" s="47"/>
      <c r="G334" s="47"/>
      <c r="H334" s="47"/>
      <c r="I334" s="47"/>
      <c r="J334" s="47"/>
      <c r="K334" s="47"/>
      <c r="L334" s="47"/>
      <c r="M334" s="47"/>
      <c r="N334" s="47"/>
      <c r="O334" s="47"/>
      <c r="P334" s="150">
        <f t="shared" ref="P334:BK334" si="47">P317-7</f>
        <v>43875</v>
      </c>
      <c r="Q334" s="150">
        <f t="shared" si="47"/>
        <v>43883</v>
      </c>
      <c r="R334" s="150">
        <f t="shared" si="47"/>
        <v>43886</v>
      </c>
      <c r="S334" s="150">
        <f t="shared" si="47"/>
        <v>43888</v>
      </c>
      <c r="T334" s="150">
        <f t="shared" si="47"/>
        <v>43891</v>
      </c>
      <c r="U334" s="150">
        <f t="shared" si="47"/>
        <v>43894</v>
      </c>
      <c r="V334" s="150">
        <f t="shared" si="47"/>
        <v>43897</v>
      </c>
      <c r="W334" s="150">
        <f t="shared" si="47"/>
        <v>43899</v>
      </c>
      <c r="X334" s="150">
        <f t="shared" si="47"/>
        <v>43901</v>
      </c>
      <c r="Y334" s="150">
        <f t="shared" si="47"/>
        <v>43903</v>
      </c>
      <c r="Z334" s="150">
        <f t="shared" si="47"/>
        <v>43905</v>
      </c>
      <c r="AA334" s="150">
        <f t="shared" si="47"/>
        <v>43908</v>
      </c>
      <c r="AB334" s="150">
        <f t="shared" si="47"/>
        <v>43911</v>
      </c>
      <c r="AC334" s="150">
        <f t="shared" si="47"/>
        <v>43916</v>
      </c>
      <c r="AD334" s="150">
        <f t="shared" si="47"/>
        <v>43925</v>
      </c>
      <c r="AE334" s="150"/>
      <c r="AF334" s="150"/>
      <c r="AG334" s="150"/>
      <c r="AH334" s="150">
        <f t="shared" si="47"/>
        <v>43941</v>
      </c>
      <c r="AI334" s="150"/>
      <c r="AJ334" s="150"/>
      <c r="AK334" s="150"/>
      <c r="AL334" s="150">
        <f t="shared" si="47"/>
        <v>43984</v>
      </c>
      <c r="AM334" s="150"/>
      <c r="AN334" s="150"/>
      <c r="AO334" s="150"/>
      <c r="AP334" s="150"/>
      <c r="AQ334" s="150">
        <f t="shared" si="47"/>
        <v>44059</v>
      </c>
      <c r="AR334" s="150"/>
      <c r="AS334" s="150"/>
      <c r="AT334" s="150"/>
      <c r="AU334" s="150"/>
      <c r="AV334" s="150">
        <f t="shared" si="47"/>
        <v>44209</v>
      </c>
      <c r="AW334" s="150"/>
      <c r="AX334" s="150"/>
      <c r="AY334" s="150"/>
      <c r="AZ334" s="150"/>
      <c r="BA334" s="150">
        <f t="shared" si="47"/>
        <v>44509</v>
      </c>
      <c r="BB334" s="150"/>
      <c r="BC334" s="150"/>
      <c r="BD334" s="150"/>
      <c r="BE334" s="150"/>
      <c r="BF334" s="150"/>
      <c r="BG334" s="150"/>
      <c r="BH334" s="150"/>
      <c r="BI334" s="150"/>
      <c r="BJ334" s="150"/>
      <c r="BK334" s="150">
        <f t="shared" si="47"/>
        <v>46309</v>
      </c>
      <c r="BL334" s="150"/>
      <c r="BM334" s="45"/>
      <c r="BN334" s="45"/>
    </row>
    <row r="335" spans="1:67" s="69" customFormat="1" hidden="1" x14ac:dyDescent="0.25">
      <c r="A335" s="48" t="s">
        <v>102</v>
      </c>
      <c r="B335" s="25"/>
      <c r="C335" s="47"/>
      <c r="D335" s="47"/>
      <c r="E335" s="47"/>
      <c r="F335" s="47"/>
      <c r="G335" s="47"/>
      <c r="H335" s="47"/>
      <c r="I335" s="47"/>
      <c r="J335" s="47"/>
      <c r="K335" s="47"/>
      <c r="L335" s="47"/>
      <c r="M335" s="47"/>
      <c r="N335" s="47"/>
      <c r="O335" s="47"/>
      <c r="P335" s="150">
        <f t="shared" ref="P335:BK335" si="48">P317-14</f>
        <v>43868</v>
      </c>
      <c r="Q335" s="150">
        <f t="shared" si="48"/>
        <v>43876</v>
      </c>
      <c r="R335" s="150">
        <f t="shared" si="48"/>
        <v>43879</v>
      </c>
      <c r="S335" s="150">
        <f t="shared" si="48"/>
        <v>43881</v>
      </c>
      <c r="T335" s="150">
        <f t="shared" si="48"/>
        <v>43884</v>
      </c>
      <c r="U335" s="150">
        <f t="shared" si="48"/>
        <v>43887</v>
      </c>
      <c r="V335" s="150">
        <f t="shared" si="48"/>
        <v>43890</v>
      </c>
      <c r="W335" s="150">
        <f t="shared" si="48"/>
        <v>43892</v>
      </c>
      <c r="X335" s="150">
        <f t="shared" si="48"/>
        <v>43894</v>
      </c>
      <c r="Y335" s="150">
        <f t="shared" si="48"/>
        <v>43896</v>
      </c>
      <c r="Z335" s="150">
        <f t="shared" si="48"/>
        <v>43898</v>
      </c>
      <c r="AA335" s="150">
        <f t="shared" si="48"/>
        <v>43901</v>
      </c>
      <c r="AB335" s="150">
        <f t="shared" si="48"/>
        <v>43904</v>
      </c>
      <c r="AC335" s="150">
        <f t="shared" si="48"/>
        <v>43909</v>
      </c>
      <c r="AD335" s="150">
        <f t="shared" si="48"/>
        <v>43918</v>
      </c>
      <c r="AE335" s="150"/>
      <c r="AF335" s="150"/>
      <c r="AG335" s="150"/>
      <c r="AH335" s="150">
        <f t="shared" si="48"/>
        <v>43934</v>
      </c>
      <c r="AI335" s="150"/>
      <c r="AJ335" s="150"/>
      <c r="AK335" s="150"/>
      <c r="AL335" s="150">
        <f t="shared" si="48"/>
        <v>43977</v>
      </c>
      <c r="AM335" s="150"/>
      <c r="AN335" s="150"/>
      <c r="AO335" s="150"/>
      <c r="AP335" s="150"/>
      <c r="AQ335" s="150">
        <f t="shared" si="48"/>
        <v>44052</v>
      </c>
      <c r="AR335" s="150"/>
      <c r="AS335" s="150"/>
      <c r="AT335" s="150"/>
      <c r="AU335" s="150"/>
      <c r="AV335" s="150">
        <f t="shared" si="48"/>
        <v>44202</v>
      </c>
      <c r="AW335" s="150"/>
      <c r="AX335" s="150"/>
      <c r="AY335" s="150"/>
      <c r="AZ335" s="150"/>
      <c r="BA335" s="150">
        <f t="shared" si="48"/>
        <v>44502</v>
      </c>
      <c r="BB335" s="150"/>
      <c r="BC335" s="150"/>
      <c r="BD335" s="150"/>
      <c r="BE335" s="150"/>
      <c r="BF335" s="150"/>
      <c r="BG335" s="150"/>
      <c r="BH335" s="150"/>
      <c r="BI335" s="150"/>
      <c r="BJ335" s="150"/>
      <c r="BK335" s="150">
        <f t="shared" si="48"/>
        <v>46302</v>
      </c>
      <c r="BL335" s="150"/>
      <c r="BM335" s="45"/>
      <c r="BN335" s="45"/>
    </row>
    <row r="336" spans="1:67" s="69" customFormat="1" hidden="1" x14ac:dyDescent="0.25">
      <c r="A336" s="48" t="s">
        <v>105</v>
      </c>
      <c r="B336" s="25"/>
      <c r="C336" s="47"/>
      <c r="D336" s="47"/>
      <c r="E336" s="47"/>
      <c r="F336" s="47"/>
      <c r="G336" s="47"/>
      <c r="H336" s="47"/>
      <c r="I336" s="47"/>
      <c r="J336" s="47"/>
      <c r="K336" s="47"/>
      <c r="L336" s="47"/>
      <c r="M336" s="47"/>
      <c r="N336" s="47"/>
      <c r="O336" s="47"/>
      <c r="P336" s="150">
        <f t="shared" ref="P336:BK336" si="49">P317-(7*5)</f>
        <v>43847</v>
      </c>
      <c r="Q336" s="150">
        <f t="shared" si="49"/>
        <v>43855</v>
      </c>
      <c r="R336" s="150">
        <f t="shared" si="49"/>
        <v>43858</v>
      </c>
      <c r="S336" s="150">
        <f t="shared" si="49"/>
        <v>43860</v>
      </c>
      <c r="T336" s="150">
        <f t="shared" si="49"/>
        <v>43863</v>
      </c>
      <c r="U336" s="150">
        <f t="shared" si="49"/>
        <v>43866</v>
      </c>
      <c r="V336" s="150">
        <f t="shared" si="49"/>
        <v>43869</v>
      </c>
      <c r="W336" s="150">
        <f t="shared" si="49"/>
        <v>43871</v>
      </c>
      <c r="X336" s="150">
        <f t="shared" si="49"/>
        <v>43873</v>
      </c>
      <c r="Y336" s="150">
        <f t="shared" si="49"/>
        <v>43875</v>
      </c>
      <c r="Z336" s="150">
        <f t="shared" si="49"/>
        <v>43877</v>
      </c>
      <c r="AA336" s="150">
        <f t="shared" si="49"/>
        <v>43880</v>
      </c>
      <c r="AB336" s="150">
        <f t="shared" si="49"/>
        <v>43883</v>
      </c>
      <c r="AC336" s="150">
        <f t="shared" si="49"/>
        <v>43888</v>
      </c>
      <c r="AD336" s="150">
        <f t="shared" si="49"/>
        <v>43897</v>
      </c>
      <c r="AE336" s="150"/>
      <c r="AF336" s="150"/>
      <c r="AG336" s="150"/>
      <c r="AH336" s="150">
        <f t="shared" si="49"/>
        <v>43913</v>
      </c>
      <c r="AI336" s="150"/>
      <c r="AJ336" s="150"/>
      <c r="AK336" s="150"/>
      <c r="AL336" s="150">
        <f t="shared" si="49"/>
        <v>43956</v>
      </c>
      <c r="AM336" s="150"/>
      <c r="AN336" s="150"/>
      <c r="AO336" s="150"/>
      <c r="AP336" s="150"/>
      <c r="AQ336" s="150">
        <f t="shared" si="49"/>
        <v>44031</v>
      </c>
      <c r="AR336" s="150"/>
      <c r="AS336" s="150"/>
      <c r="AT336" s="150"/>
      <c r="AU336" s="150"/>
      <c r="AV336" s="150">
        <f t="shared" si="49"/>
        <v>44181</v>
      </c>
      <c r="AW336" s="150"/>
      <c r="AX336" s="150"/>
      <c r="AY336" s="150"/>
      <c r="AZ336" s="150"/>
      <c r="BA336" s="150">
        <f t="shared" si="49"/>
        <v>44481</v>
      </c>
      <c r="BB336" s="150"/>
      <c r="BC336" s="150"/>
      <c r="BD336" s="150"/>
      <c r="BE336" s="150"/>
      <c r="BF336" s="150"/>
      <c r="BG336" s="150"/>
      <c r="BH336" s="150"/>
      <c r="BI336" s="150"/>
      <c r="BJ336" s="150"/>
      <c r="BK336" s="150">
        <f t="shared" si="49"/>
        <v>46281</v>
      </c>
      <c r="BL336" s="150"/>
      <c r="BM336" s="45"/>
      <c r="BN336" s="45"/>
    </row>
    <row r="337" spans="1:66" s="69" customFormat="1" hidden="1" x14ac:dyDescent="0.25">
      <c r="A337" s="48" t="s">
        <v>103</v>
      </c>
      <c r="B337" s="25"/>
      <c r="C337" s="47"/>
      <c r="D337" s="47"/>
      <c r="E337" s="47"/>
      <c r="F337" s="47"/>
      <c r="G337" s="47"/>
      <c r="H337" s="47"/>
      <c r="I337" s="47"/>
      <c r="J337" s="47"/>
      <c r="K337" s="47"/>
      <c r="L337" s="47"/>
      <c r="M337" s="47"/>
      <c r="N337" s="47"/>
      <c r="O337" s="47"/>
      <c r="P337" s="150">
        <f t="shared" ref="P337:BK337" si="50">P317-(6*7)</f>
        <v>43840</v>
      </c>
      <c r="Q337" s="150">
        <f t="shared" si="50"/>
        <v>43848</v>
      </c>
      <c r="R337" s="150">
        <f t="shared" si="50"/>
        <v>43851</v>
      </c>
      <c r="S337" s="150">
        <f t="shared" si="50"/>
        <v>43853</v>
      </c>
      <c r="T337" s="150">
        <f t="shared" si="50"/>
        <v>43856</v>
      </c>
      <c r="U337" s="150">
        <f t="shared" si="50"/>
        <v>43859</v>
      </c>
      <c r="V337" s="150">
        <f t="shared" si="50"/>
        <v>43862</v>
      </c>
      <c r="W337" s="150">
        <f t="shared" si="50"/>
        <v>43864</v>
      </c>
      <c r="X337" s="150">
        <f t="shared" si="50"/>
        <v>43866</v>
      </c>
      <c r="Y337" s="150">
        <f t="shared" si="50"/>
        <v>43868</v>
      </c>
      <c r="Z337" s="150">
        <f t="shared" si="50"/>
        <v>43870</v>
      </c>
      <c r="AA337" s="150">
        <f t="shared" si="50"/>
        <v>43873</v>
      </c>
      <c r="AB337" s="150">
        <f t="shared" si="50"/>
        <v>43876</v>
      </c>
      <c r="AC337" s="150">
        <f t="shared" si="50"/>
        <v>43881</v>
      </c>
      <c r="AD337" s="150">
        <f t="shared" si="50"/>
        <v>43890</v>
      </c>
      <c r="AE337" s="150"/>
      <c r="AF337" s="150"/>
      <c r="AG337" s="150"/>
      <c r="AH337" s="150">
        <f t="shared" si="50"/>
        <v>43906</v>
      </c>
      <c r="AI337" s="150"/>
      <c r="AJ337" s="150"/>
      <c r="AK337" s="150"/>
      <c r="AL337" s="150">
        <f t="shared" si="50"/>
        <v>43949</v>
      </c>
      <c r="AM337" s="150"/>
      <c r="AN337" s="150"/>
      <c r="AO337" s="150"/>
      <c r="AP337" s="150"/>
      <c r="AQ337" s="150">
        <f t="shared" si="50"/>
        <v>44024</v>
      </c>
      <c r="AR337" s="150"/>
      <c r="AS337" s="150"/>
      <c r="AT337" s="150"/>
      <c r="AU337" s="150"/>
      <c r="AV337" s="150">
        <f t="shared" si="50"/>
        <v>44174</v>
      </c>
      <c r="AW337" s="150"/>
      <c r="AX337" s="150"/>
      <c r="AY337" s="150"/>
      <c r="AZ337" s="150"/>
      <c r="BA337" s="150">
        <f t="shared" si="50"/>
        <v>44474</v>
      </c>
      <c r="BB337" s="150"/>
      <c r="BC337" s="150"/>
      <c r="BD337" s="150"/>
      <c r="BE337" s="150"/>
      <c r="BF337" s="150"/>
      <c r="BG337" s="150"/>
      <c r="BH337" s="150"/>
      <c r="BI337" s="150"/>
      <c r="BJ337" s="150"/>
      <c r="BK337" s="150">
        <f t="shared" si="50"/>
        <v>46274</v>
      </c>
      <c r="BL337" s="150"/>
      <c r="BM337" s="45"/>
      <c r="BN337" s="45"/>
    </row>
    <row r="339" spans="1:66" x14ac:dyDescent="0.25">
      <c r="A339" s="53" t="s">
        <v>48</v>
      </c>
      <c r="B339" s="15"/>
      <c r="C339" s="16"/>
      <c r="D339" s="16"/>
      <c r="E339" s="16"/>
      <c r="F339" s="16"/>
      <c r="G339" s="16"/>
      <c r="H339" s="16"/>
      <c r="I339" s="16"/>
      <c r="J339" s="16"/>
      <c r="K339" s="16"/>
      <c r="L339" s="16"/>
      <c r="M339" s="16"/>
      <c r="N339" s="16"/>
      <c r="O339" s="16"/>
    </row>
    <row r="340" spans="1:66" s="69" customFormat="1" x14ac:dyDescent="0.25">
      <c r="A340" s="143" t="s">
        <v>101</v>
      </c>
      <c r="B340" s="25"/>
      <c r="C340" s="47"/>
      <c r="D340" s="47"/>
      <c r="E340" s="47"/>
      <c r="F340" s="47"/>
      <c r="G340" s="47"/>
      <c r="H340" s="47"/>
      <c r="I340" s="47"/>
      <c r="J340" s="47"/>
      <c r="K340" s="47"/>
      <c r="L340" s="47"/>
      <c r="M340" s="47"/>
      <c r="N340" s="47"/>
      <c r="O340" s="47"/>
      <c r="P340" s="141">
        <f t="shared" ref="P340:BL340" si="51">(P317-$B$314)/7</f>
        <v>4.4285714285714288</v>
      </c>
      <c r="Q340" s="141">
        <f t="shared" si="51"/>
        <v>5.5714285714285712</v>
      </c>
      <c r="R340" s="145">
        <f t="shared" si="51"/>
        <v>6</v>
      </c>
      <c r="S340" s="145">
        <f t="shared" si="51"/>
        <v>6.2857142857142856</v>
      </c>
      <c r="T340" s="141">
        <f t="shared" si="51"/>
        <v>6.7142857142857144</v>
      </c>
      <c r="U340" s="145">
        <f t="shared" si="51"/>
        <v>7.1428571428571432</v>
      </c>
      <c r="V340" s="141">
        <f t="shared" si="51"/>
        <v>7.5714285714285712</v>
      </c>
      <c r="W340" s="145">
        <f t="shared" si="51"/>
        <v>7.8571428571428568</v>
      </c>
      <c r="X340" s="145">
        <f t="shared" si="51"/>
        <v>8.1428571428571423</v>
      </c>
      <c r="Y340" s="142">
        <f t="shared" si="51"/>
        <v>8.4285714285714288</v>
      </c>
      <c r="Z340" s="145">
        <f t="shared" si="51"/>
        <v>8.7142857142857135</v>
      </c>
      <c r="AA340" s="145">
        <f t="shared" si="51"/>
        <v>9.1428571428571423</v>
      </c>
      <c r="AB340" s="141">
        <f t="shared" si="51"/>
        <v>9.5714285714285712</v>
      </c>
      <c r="AC340" s="142">
        <f t="shared" si="51"/>
        <v>10.285714285714286</v>
      </c>
      <c r="AD340" s="142">
        <f t="shared" si="51"/>
        <v>11.571428571428571</v>
      </c>
      <c r="AE340" s="144">
        <f t="shared" ref="AE340:AG340" si="52">(AE317-$B$314)/7</f>
        <v>12.142857142857142</v>
      </c>
      <c r="AF340" s="144">
        <f t="shared" si="52"/>
        <v>12.714285714285714</v>
      </c>
      <c r="AG340" s="144">
        <f t="shared" si="52"/>
        <v>13.285714285714286</v>
      </c>
      <c r="AH340" s="144">
        <f t="shared" si="51"/>
        <v>13.857142857142858</v>
      </c>
      <c r="AI340" s="144">
        <f t="shared" ref="AI340:AK340" si="53">(AI317-$B$314)/7</f>
        <v>15.392857142857142</v>
      </c>
      <c r="AJ340" s="144">
        <f t="shared" si="53"/>
        <v>16.928571428571427</v>
      </c>
      <c r="AK340" s="144">
        <f t="shared" si="53"/>
        <v>18.58714285714294</v>
      </c>
      <c r="AL340" s="144">
        <f t="shared" si="51"/>
        <v>20</v>
      </c>
      <c r="AM340" s="142">
        <f t="shared" ref="AM340:AP340" si="54">(AM317-$B$314)/7</f>
        <v>22.142857142857142</v>
      </c>
      <c r="AN340" s="142">
        <f t="shared" si="54"/>
        <v>24.285714285714285</v>
      </c>
      <c r="AO340" s="142">
        <f t="shared" si="54"/>
        <v>26.428571428571427</v>
      </c>
      <c r="AP340" s="142">
        <f t="shared" si="54"/>
        <v>28.571428571428573</v>
      </c>
      <c r="AQ340" s="142">
        <f t="shared" si="51"/>
        <v>30.714285714285715</v>
      </c>
      <c r="AR340" s="144">
        <f t="shared" ref="AR340:AU340" si="55">(AR317-$B$314)/7</f>
        <v>35</v>
      </c>
      <c r="AS340" s="144">
        <f t="shared" si="55"/>
        <v>39.285714285714285</v>
      </c>
      <c r="AT340" s="144">
        <f t="shared" si="55"/>
        <v>43.571428571428569</v>
      </c>
      <c r="AU340" s="144">
        <f t="shared" si="55"/>
        <v>47.857142857142854</v>
      </c>
      <c r="AV340" s="144">
        <f t="shared" si="51"/>
        <v>52.142857142857146</v>
      </c>
      <c r="AW340" s="141">
        <f t="shared" ref="AW340:AZ340" si="56">(AW317-$B$314)/7</f>
        <v>60.714285714285715</v>
      </c>
      <c r="AX340" s="141">
        <f t="shared" si="56"/>
        <v>69.285714285714292</v>
      </c>
      <c r="AY340" s="141">
        <f t="shared" si="56"/>
        <v>77.857142857142861</v>
      </c>
      <c r="AZ340" s="141">
        <f t="shared" si="56"/>
        <v>86.428571428571431</v>
      </c>
      <c r="BA340" s="141">
        <f t="shared" si="51"/>
        <v>95</v>
      </c>
      <c r="BB340" s="141">
        <f t="shared" ref="BB340:BE340" si="57">(BB317-$B$314)/7</f>
        <v>103.57142857142857</v>
      </c>
      <c r="BC340" s="141">
        <f t="shared" si="57"/>
        <v>112.14285714285714</v>
      </c>
      <c r="BD340" s="141">
        <f t="shared" si="57"/>
        <v>120.71428571428571</v>
      </c>
      <c r="BE340" s="141">
        <f t="shared" si="57"/>
        <v>129.28571428571428</v>
      </c>
      <c r="BF340" s="141">
        <f t="shared" ref="BF340" si="58">(BF317-$B$314)/7</f>
        <v>137.85714285714286</v>
      </c>
      <c r="BG340" s="141">
        <f>(BG317-$B$314)/7</f>
        <v>180.71428571428572</v>
      </c>
      <c r="BH340" s="141">
        <f>(BH317-$B$314)/7</f>
        <v>223.57142857142858</v>
      </c>
      <c r="BI340" s="141">
        <f>(BI317-$B$314)/7</f>
        <v>266.42857142857144</v>
      </c>
      <c r="BJ340" s="141">
        <f>(BJ317-$B$314)/7</f>
        <v>309.28571428571428</v>
      </c>
      <c r="BK340" s="144">
        <f t="shared" si="51"/>
        <v>352.14285714285717</v>
      </c>
      <c r="BL340" s="144">
        <f t="shared" si="51"/>
        <v>360.14285714285717</v>
      </c>
    </row>
    <row r="341" spans="1:66" s="69" customFormat="1" x14ac:dyDescent="0.25">
      <c r="A341" s="143" t="s">
        <v>100</v>
      </c>
      <c r="B341" s="25"/>
      <c r="C341" s="47"/>
      <c r="D341" s="47"/>
      <c r="E341" s="47"/>
      <c r="F341" s="47"/>
      <c r="G341" s="47"/>
      <c r="H341" s="47"/>
      <c r="I341" s="47"/>
      <c r="J341" s="47"/>
      <c r="K341" s="47"/>
      <c r="L341" s="47"/>
      <c r="M341" s="47"/>
      <c r="N341" s="47"/>
      <c r="O341" s="47"/>
      <c r="P341" s="258">
        <f>P317-$B$314</f>
        <v>31</v>
      </c>
      <c r="Q341" s="230">
        <f t="shared" ref="Q341:U341" si="59">Q317-$B$314</f>
        <v>39</v>
      </c>
      <c r="R341" s="230">
        <f t="shared" si="59"/>
        <v>42</v>
      </c>
      <c r="S341" s="230">
        <f t="shared" si="59"/>
        <v>44</v>
      </c>
      <c r="T341" s="230">
        <f t="shared" si="59"/>
        <v>47</v>
      </c>
      <c r="U341" s="230">
        <f t="shared" si="59"/>
        <v>50</v>
      </c>
      <c r="V341" s="230">
        <f>V317-$B$314</f>
        <v>53</v>
      </c>
      <c r="W341" s="230">
        <f>W317-$B$314</f>
        <v>55</v>
      </c>
      <c r="X341" s="230">
        <f>X317-$B$314</f>
        <v>57</v>
      </c>
      <c r="Y341" s="230">
        <f>Y317-$B$314</f>
        <v>59</v>
      </c>
      <c r="Z341" s="230">
        <f>Z317-$B$314</f>
        <v>61</v>
      </c>
      <c r="AA341" s="230">
        <f>AA317-$B$314</f>
        <v>64</v>
      </c>
      <c r="AB341" s="230">
        <f>AB317-$B$314</f>
        <v>67</v>
      </c>
      <c r="AC341" s="230">
        <f>AC317-$B$314</f>
        <v>72</v>
      </c>
      <c r="AD341" s="230">
        <f>AD317-$B$314</f>
        <v>81</v>
      </c>
      <c r="AE341" s="230">
        <f t="shared" ref="AE341:AG341" si="60">AE317-$B$314</f>
        <v>85</v>
      </c>
      <c r="AF341" s="230">
        <f t="shared" si="60"/>
        <v>89</v>
      </c>
      <c r="AG341" s="230">
        <f t="shared" si="60"/>
        <v>93</v>
      </c>
      <c r="AH341" s="230">
        <f>AH317-$B$314</f>
        <v>97</v>
      </c>
      <c r="AI341" s="230">
        <f t="shared" ref="AI341:AK341" si="61">AI317-$B$314</f>
        <v>107.75</v>
      </c>
      <c r="AJ341" s="230">
        <f t="shared" si="61"/>
        <v>118.5</v>
      </c>
      <c r="AK341" s="230">
        <f t="shared" si="61"/>
        <v>130.11000000000058</v>
      </c>
      <c r="AL341" s="230">
        <f>AL317-$B$314</f>
        <v>140</v>
      </c>
      <c r="AM341" s="230">
        <f t="shared" ref="AM341:AP341" si="62">AM317-$B$314</f>
        <v>155</v>
      </c>
      <c r="AN341" s="230">
        <f t="shared" si="62"/>
        <v>170</v>
      </c>
      <c r="AO341" s="230">
        <f t="shared" si="62"/>
        <v>185</v>
      </c>
      <c r="AP341" s="230">
        <f t="shared" si="62"/>
        <v>200</v>
      </c>
      <c r="AQ341" s="230">
        <f>AQ317-$B$314</f>
        <v>215</v>
      </c>
      <c r="AR341" s="230">
        <f t="shared" ref="AR341:AU341" si="63">AR317-$B$314</f>
        <v>245</v>
      </c>
      <c r="AS341" s="230">
        <f t="shared" si="63"/>
        <v>275</v>
      </c>
      <c r="AT341" s="230">
        <f t="shared" si="63"/>
        <v>305</v>
      </c>
      <c r="AU341" s="230">
        <f t="shared" si="63"/>
        <v>335</v>
      </c>
      <c r="AV341" s="230">
        <f>AV317-$B$314</f>
        <v>365</v>
      </c>
      <c r="AW341" s="231">
        <f t="shared" ref="AW341:AZ341" si="64">AW317-$B$314</f>
        <v>425</v>
      </c>
      <c r="AX341" s="231">
        <f t="shared" si="64"/>
        <v>485</v>
      </c>
      <c r="AY341" s="231">
        <f t="shared" si="64"/>
        <v>545</v>
      </c>
      <c r="AZ341" s="231">
        <f t="shared" si="64"/>
        <v>605</v>
      </c>
      <c r="BA341" s="231">
        <f>BA317-$B$314</f>
        <v>665</v>
      </c>
      <c r="BB341" s="231">
        <f t="shared" ref="BB341:BE341" si="65">BB317-$B$314</f>
        <v>725</v>
      </c>
      <c r="BC341" s="231">
        <f t="shared" si="65"/>
        <v>785</v>
      </c>
      <c r="BD341" s="231">
        <f t="shared" si="65"/>
        <v>845</v>
      </c>
      <c r="BE341" s="231">
        <f t="shared" si="65"/>
        <v>905</v>
      </c>
      <c r="BF341" s="231">
        <f t="shared" ref="BF341" si="66">BF317-$B$314</f>
        <v>965</v>
      </c>
      <c r="BG341" s="188">
        <f>BG317-$B$314</f>
        <v>1265</v>
      </c>
      <c r="BH341" s="188">
        <f>BH317-$B$314</f>
        <v>1565</v>
      </c>
      <c r="BI341" s="188">
        <f>BI317-$B$314</f>
        <v>1865</v>
      </c>
      <c r="BJ341" s="188">
        <f>BJ317-$B$314</f>
        <v>2165</v>
      </c>
      <c r="BK341" s="188">
        <f>BK317-$B$314</f>
        <v>2465</v>
      </c>
      <c r="BL341" s="188">
        <f>BL317-$B$314</f>
        <v>2521</v>
      </c>
    </row>
    <row r="342" spans="1:66" x14ac:dyDescent="0.25">
      <c r="A342" s="41" t="s">
        <v>42</v>
      </c>
      <c r="B342" s="16"/>
      <c r="C342" s="16"/>
      <c r="D342" s="16"/>
      <c r="E342" s="16"/>
      <c r="F342" s="16"/>
      <c r="G342" s="16"/>
      <c r="H342" s="16"/>
      <c r="I342" s="16"/>
      <c r="J342" s="16"/>
      <c r="K342" s="16"/>
      <c r="L342" s="16"/>
      <c r="M342" s="16"/>
      <c r="N342" s="16"/>
      <c r="O342" s="16"/>
      <c r="P342" s="146">
        <v>35</v>
      </c>
      <c r="Q342" s="147">
        <v>68</v>
      </c>
      <c r="R342" s="148">
        <v>124</v>
      </c>
      <c r="S342" s="148">
        <v>221</v>
      </c>
      <c r="T342" s="148">
        <v>541</v>
      </c>
      <c r="U342" s="148">
        <v>1301</v>
      </c>
      <c r="V342" s="148">
        <v>2771</v>
      </c>
      <c r="W342" s="148">
        <v>4604</v>
      </c>
      <c r="X342" s="148">
        <v>9317</v>
      </c>
      <c r="Y342" s="148">
        <v>19551</v>
      </c>
      <c r="Z342" s="148">
        <v>33840</v>
      </c>
      <c r="AA342" s="148">
        <v>68905</v>
      </c>
      <c r="AB342" s="148">
        <v>124788</v>
      </c>
      <c r="AC342" s="148">
        <v>250708</v>
      </c>
      <c r="AD342" s="148">
        <v>539942</v>
      </c>
      <c r="AE342" s="148">
        <v>652474</v>
      </c>
      <c r="AF342" s="148">
        <v>770014</v>
      </c>
      <c r="AG342" s="148">
        <v>886274</v>
      </c>
      <c r="AH342" s="148">
        <v>1010356</v>
      </c>
      <c r="AI342" s="148">
        <v>1292623</v>
      </c>
      <c r="AJ342" s="148">
        <v>1550294</v>
      </c>
      <c r="AK342" s="148">
        <v>1793530</v>
      </c>
      <c r="AL342" s="148">
        <v>2045549</v>
      </c>
      <c r="AM342" s="148">
        <v>2462554</v>
      </c>
      <c r="AN342" s="354">
        <f t="shared" ref="AN342:AZ342" si="67">AN318</f>
        <v>2867200</v>
      </c>
      <c r="AO342" s="354">
        <f t="shared" si="67"/>
        <v>3276800</v>
      </c>
      <c r="AP342" s="354">
        <f t="shared" si="67"/>
        <v>3686400</v>
      </c>
      <c r="AQ342" s="354">
        <f t="shared" si="67"/>
        <v>4096000</v>
      </c>
      <c r="AR342" s="354">
        <f t="shared" si="67"/>
        <v>4915200</v>
      </c>
      <c r="AS342" s="354">
        <f t="shared" si="67"/>
        <v>5734400</v>
      </c>
      <c r="AT342" s="354">
        <f t="shared" si="67"/>
        <v>6553600</v>
      </c>
      <c r="AU342" s="354">
        <f t="shared" si="67"/>
        <v>7372800</v>
      </c>
      <c r="AV342" s="354">
        <f t="shared" si="67"/>
        <v>8192000</v>
      </c>
      <c r="AW342" s="354">
        <f t="shared" si="67"/>
        <v>9830400</v>
      </c>
      <c r="AX342" s="354">
        <f t="shared" si="67"/>
        <v>11468800</v>
      </c>
      <c r="AY342" s="354">
        <f t="shared" si="67"/>
        <v>13107200</v>
      </c>
      <c r="AZ342" s="354">
        <f t="shared" si="67"/>
        <v>14745600</v>
      </c>
      <c r="BA342" s="354">
        <f>BA318</f>
        <v>16384000</v>
      </c>
      <c r="BB342" s="354">
        <f t="shared" ref="BB342:BE342" si="68">BB318</f>
        <v>19660800</v>
      </c>
      <c r="BC342" s="354">
        <f t="shared" si="68"/>
        <v>22937600</v>
      </c>
      <c r="BD342" s="354">
        <f t="shared" si="68"/>
        <v>26214400</v>
      </c>
      <c r="BE342" s="354">
        <f t="shared" si="68"/>
        <v>29491200</v>
      </c>
      <c r="BF342" s="354">
        <f t="shared" ref="BF342" si="69">BF318</f>
        <v>32768000</v>
      </c>
      <c r="BG342" s="184">
        <f t="shared" ref="BG342" si="70">BF342*2</f>
        <v>65536000</v>
      </c>
      <c r="BH342" s="184">
        <f t="shared" ref="BH342" si="71">BG342*2</f>
        <v>131072000</v>
      </c>
      <c r="BI342" s="184">
        <f t="shared" ref="BI342" si="72">BH342*2</f>
        <v>262144000</v>
      </c>
      <c r="BJ342" s="184">
        <f t="shared" ref="BJ342" si="73">BI342*2</f>
        <v>524288000</v>
      </c>
      <c r="BK342" s="184">
        <f>BK318</f>
        <v>330565500</v>
      </c>
      <c r="BL342" s="185">
        <f>BK318</f>
        <v>330565500</v>
      </c>
    </row>
    <row r="343" spans="1:66" x14ac:dyDescent="0.25">
      <c r="A343" s="41" t="s">
        <v>154</v>
      </c>
      <c r="B343" s="16"/>
      <c r="C343" s="16"/>
      <c r="D343" s="16"/>
      <c r="E343" s="16"/>
      <c r="F343" s="16"/>
      <c r="G343" s="16"/>
      <c r="H343" s="16"/>
      <c r="I343" s="16"/>
      <c r="J343" s="16"/>
      <c r="K343" s="16"/>
      <c r="L343" s="16"/>
      <c r="M343" s="16"/>
      <c r="N343" s="16"/>
      <c r="O343" s="16"/>
      <c r="P343" s="191">
        <f>(P317-B314)/(LOG(P342/1)/LOG(2))</f>
        <v>6.0437296787073755</v>
      </c>
      <c r="Q343" s="174">
        <f>(Q317-$P$317)/(LOG(Q342/$P$342)/LOG(2))</f>
        <v>8.3491634837954933</v>
      </c>
      <c r="R343" s="174">
        <f t="shared" ref="R343:BL343" si="74">(R317-$P$317)/(LOG(R342/$P$342)/LOG(2))</f>
        <v>6.0276836381926202</v>
      </c>
      <c r="S343" s="174">
        <f t="shared" si="74"/>
        <v>4.8897556767514709</v>
      </c>
      <c r="T343" s="174">
        <f t="shared" si="74"/>
        <v>4.0504260147273037</v>
      </c>
      <c r="U343" s="174">
        <f t="shared" si="74"/>
        <v>3.6425526786068976</v>
      </c>
      <c r="V343" s="174">
        <f t="shared" si="74"/>
        <v>3.4882386226134869</v>
      </c>
      <c r="W343" s="174">
        <f t="shared" si="74"/>
        <v>3.4093867599891814</v>
      </c>
      <c r="X343" s="174">
        <f t="shared" si="74"/>
        <v>3.2272612172752644</v>
      </c>
      <c r="Y343" s="174">
        <f t="shared" si="74"/>
        <v>3.0682672712732586</v>
      </c>
      <c r="Z343" s="174">
        <f t="shared" si="74"/>
        <v>3.0250599197351313</v>
      </c>
      <c r="AA343" s="174">
        <f t="shared" si="74"/>
        <v>3.0156159459256791</v>
      </c>
      <c r="AB343" s="174">
        <f t="shared" si="74"/>
        <v>3.0508896880563214</v>
      </c>
      <c r="AC343" s="174">
        <f t="shared" si="74"/>
        <v>3.201532865133665</v>
      </c>
      <c r="AD343" s="174">
        <f t="shared" si="74"/>
        <v>3.5937194117521298</v>
      </c>
      <c r="AE343" s="174">
        <f t="shared" si="74"/>
        <v>3.8064952970597021</v>
      </c>
      <c r="AF343" s="174">
        <f t="shared" si="74"/>
        <v>4.020729736229403</v>
      </c>
      <c r="AG343" s="174">
        <f t="shared" si="74"/>
        <v>4.2384148703141689</v>
      </c>
      <c r="AH343" s="174">
        <f t="shared" ref="AH343:AK343" si="75">(AH317-$P$317)/(LOG(AH342/$P$342)/LOG(2))</f>
        <v>4.4542981107309165</v>
      </c>
      <c r="AI343" s="174">
        <f t="shared" si="75"/>
        <v>5.0584649404191362</v>
      </c>
      <c r="AJ343" s="174">
        <f t="shared" si="75"/>
        <v>5.6689976374219366</v>
      </c>
      <c r="AK343" s="174">
        <f t="shared" si="75"/>
        <v>6.3348958864178382</v>
      </c>
      <c r="AL343" s="174">
        <f t="shared" si="74"/>
        <v>6.8835843452041185</v>
      </c>
      <c r="AM343" s="174">
        <f t="shared" ref="AM343:BA343" si="76">(AM317-$P$317)/(LOG(AM342/$P$342)/LOG(2))</f>
        <v>7.7006958551901814</v>
      </c>
      <c r="AN343" s="355">
        <f t="shared" si="76"/>
        <v>8.5161507385601087</v>
      </c>
      <c r="AO343" s="355">
        <f t="shared" si="76"/>
        <v>9.3250971967816376</v>
      </c>
      <c r="AP343" s="355">
        <f t="shared" si="76"/>
        <v>10.12916290527709</v>
      </c>
      <c r="AQ343" s="355">
        <f t="shared" si="76"/>
        <v>10.928636364183804</v>
      </c>
      <c r="AR343" s="355">
        <f t="shared" si="76"/>
        <v>12.51495970916972</v>
      </c>
      <c r="AS343" s="355">
        <f t="shared" si="76"/>
        <v>14.086191713959233</v>
      </c>
      <c r="AT343" s="355">
        <f t="shared" si="76"/>
        <v>15.644115177471431</v>
      </c>
      <c r="AU343" s="355">
        <f t="shared" si="76"/>
        <v>17.19019657805547</v>
      </c>
      <c r="AV343" s="355">
        <f t="shared" si="76"/>
        <v>18.725645516843471</v>
      </c>
      <c r="AW343" s="355">
        <f t="shared" si="76"/>
        <v>21.768514237398769</v>
      </c>
      <c r="AX343" s="355">
        <f t="shared" si="76"/>
        <v>24.779051508595668</v>
      </c>
      <c r="AY343" s="355">
        <f t="shared" si="76"/>
        <v>27.761914638912547</v>
      </c>
      <c r="AZ343" s="355">
        <f t="shared" si="76"/>
        <v>30.720653808641153</v>
      </c>
      <c r="BA343" s="355">
        <f t="shared" si="76"/>
        <v>33.658055229533467</v>
      </c>
      <c r="BB343" s="355">
        <f t="shared" ref="BB343:BE343" si="77">(BB317-$P$317)/(LOG(BB342/$P$342)/LOG(2))</f>
        <v>36.335961871630886</v>
      </c>
      <c r="BC343" s="355">
        <f t="shared" si="77"/>
        <v>39.023020699446171</v>
      </c>
      <c r="BD343" s="355">
        <f t="shared" si="77"/>
        <v>41.71241629477894</v>
      </c>
      <c r="BE343" s="355">
        <f t="shared" si="77"/>
        <v>44.400420689531764</v>
      </c>
      <c r="BF343" s="355">
        <f t="shared" ref="BF343" si="78">(BF317-$P$317)/(LOG(BF342/$P$342)/LOG(2))</f>
        <v>47.08491620546193</v>
      </c>
      <c r="BG343" s="186">
        <f t="shared" ref="BG343" si="79">(BG317-$P$317)/(LOG(BG342/$P$342)/LOG(2))</f>
        <v>59.222994501091634</v>
      </c>
      <c r="BH343" s="186">
        <f t="shared" ref="BH343" si="80">(BH317-$P$317)/(LOG(BH342/$P$342)/LOG(2))</f>
        <v>70.249349068930343</v>
      </c>
      <c r="BI343" s="186">
        <f t="shared" ref="BI343" si="81">(BI317-$P$317)/(LOG(BI342/$P$342)/LOG(2))</f>
        <v>80.310025537608894</v>
      </c>
      <c r="BJ343" s="186">
        <f t="shared" ref="BJ343" si="82">(BJ317-$P$317)/(LOG(BJ342/$P$342)/LOG(2))</f>
        <v>89.526561638900219</v>
      </c>
      <c r="BK343" s="186">
        <f t="shared" si="74"/>
        <v>105.0447462967275</v>
      </c>
      <c r="BL343" s="187">
        <f t="shared" si="74"/>
        <v>107.46155229205073</v>
      </c>
    </row>
    <row r="344" spans="1:66" x14ac:dyDescent="0.25">
      <c r="A344" s="41" t="s">
        <v>190</v>
      </c>
      <c r="B344" s="16"/>
      <c r="C344" s="16"/>
      <c r="D344" s="16"/>
      <c r="E344" s="16"/>
      <c r="F344" s="16"/>
      <c r="G344" s="16"/>
      <c r="H344" s="16"/>
      <c r="I344" s="16"/>
      <c r="J344" s="16"/>
      <c r="K344" s="16"/>
      <c r="L344" s="16"/>
      <c r="M344" s="16"/>
      <c r="N344" s="16"/>
      <c r="O344" s="16"/>
      <c r="P344" s="257">
        <v>14</v>
      </c>
      <c r="Q344" s="254">
        <v>51</v>
      </c>
      <c r="R344" s="254">
        <v>70</v>
      </c>
      <c r="S344" s="254">
        <v>102</v>
      </c>
      <c r="T344" s="254">
        <v>246</v>
      </c>
      <c r="U344" s="254">
        <v>608</v>
      </c>
      <c r="V344" s="254">
        <v>1390</v>
      </c>
      <c r="W344" s="254">
        <v>2355</v>
      </c>
      <c r="X344" s="254">
        <v>4207</v>
      </c>
      <c r="Y344" s="254">
        <v>8341</v>
      </c>
      <c r="Z344" s="254">
        <v>15608</v>
      </c>
      <c r="AA344" s="254">
        <v>36304</v>
      </c>
      <c r="AB344" s="254">
        <v>71401</v>
      </c>
      <c r="AC344" s="254">
        <v>161932</v>
      </c>
      <c r="AD344" s="254">
        <v>400623</v>
      </c>
      <c r="AE344" s="254">
        <v>505584</v>
      </c>
      <c r="AF344" s="254">
        <v>593640</v>
      </c>
      <c r="AG344" s="254">
        <v>680047</v>
      </c>
      <c r="AH344" s="254">
        <v>763531</v>
      </c>
      <c r="AI344" s="254">
        <v>998445</v>
      </c>
      <c r="AJ344" s="254">
        <v>1101930</v>
      </c>
      <c r="AK344" s="254">
        <v>1169419</v>
      </c>
      <c r="AL344" s="254">
        <v>1142539</v>
      </c>
      <c r="AM344" s="254">
        <v>1297668</v>
      </c>
      <c r="AN344" s="356"/>
      <c r="AO344" s="356"/>
      <c r="AP344" s="356"/>
      <c r="AQ344" s="356"/>
      <c r="AR344" s="356"/>
      <c r="AS344" s="356"/>
      <c r="AT344" s="356"/>
      <c r="AU344" s="356"/>
      <c r="AV344" s="356"/>
      <c r="AW344" s="356"/>
      <c r="AX344" s="356"/>
      <c r="AY344" s="356"/>
      <c r="AZ344" s="356"/>
      <c r="BA344" s="356"/>
      <c r="BB344" s="356"/>
      <c r="BC344" s="356"/>
      <c r="BD344" s="356"/>
      <c r="BE344" s="356"/>
      <c r="BF344" s="356"/>
      <c r="BG344" s="186"/>
      <c r="BH344" s="186"/>
      <c r="BI344" s="186"/>
      <c r="BJ344" s="186"/>
      <c r="BK344" s="186"/>
      <c r="BL344" s="187"/>
    </row>
    <row r="345" spans="1:66" x14ac:dyDescent="0.25">
      <c r="A345" s="41" t="s">
        <v>63</v>
      </c>
      <c r="B345" s="16"/>
      <c r="C345" s="16"/>
      <c r="D345" s="16"/>
      <c r="E345" s="16"/>
      <c r="F345" s="16"/>
      <c r="G345" s="16"/>
      <c r="H345" s="16"/>
      <c r="I345" s="16"/>
      <c r="J345" s="16"/>
      <c r="K345" s="16"/>
      <c r="L345" s="16"/>
      <c r="M345" s="16"/>
      <c r="N345" s="16"/>
      <c r="O345" s="16"/>
      <c r="P345" s="229">
        <f>P342-P346-P344</f>
        <v>21</v>
      </c>
      <c r="Q345" s="149">
        <f t="shared" ref="Q345:AE345" si="83">Q342-Q346-Q344</f>
        <v>16</v>
      </c>
      <c r="R345" s="149">
        <f t="shared" si="83"/>
        <v>45</v>
      </c>
      <c r="S345" s="149">
        <f t="shared" si="83"/>
        <v>107</v>
      </c>
      <c r="T345" s="149">
        <f t="shared" si="83"/>
        <v>273</v>
      </c>
      <c r="U345" s="149">
        <f t="shared" si="83"/>
        <v>655</v>
      </c>
      <c r="V345" s="149">
        <f t="shared" si="83"/>
        <v>1323</v>
      </c>
      <c r="W345" s="149">
        <f t="shared" si="83"/>
        <v>2154</v>
      </c>
      <c r="X345" s="149">
        <f t="shared" si="83"/>
        <v>4939</v>
      </c>
      <c r="Y345" s="149">
        <f t="shared" si="83"/>
        <v>10901</v>
      </c>
      <c r="Z345" s="149">
        <f t="shared" si="83"/>
        <v>17723</v>
      </c>
      <c r="AA345" s="149">
        <f t="shared" si="83"/>
        <v>31341</v>
      </c>
      <c r="AB345" s="149">
        <f t="shared" si="83"/>
        <v>50633</v>
      </c>
      <c r="AC345" s="149">
        <f t="shared" si="83"/>
        <v>81200</v>
      </c>
      <c r="AD345" s="149">
        <f t="shared" si="83"/>
        <v>115257</v>
      </c>
      <c r="AE345" s="149">
        <f t="shared" si="83"/>
        <v>114178</v>
      </c>
      <c r="AF345" s="149">
        <f t="shared" ref="AF345:AH345" si="84">AF342-AF346-AF344</f>
        <v>135473</v>
      </c>
      <c r="AG345" s="149">
        <f t="shared" si="84"/>
        <v>155993</v>
      </c>
      <c r="AH345" s="149">
        <f t="shared" si="84"/>
        <v>190030</v>
      </c>
      <c r="AI345" s="149">
        <f t="shared" ref="AI345:AJ345" si="85">AI342-AI346-AI344</f>
        <v>217250</v>
      </c>
      <c r="AJ345" s="149">
        <f t="shared" si="85"/>
        <v>356383</v>
      </c>
      <c r="AK345" s="149">
        <f t="shared" ref="AK345:AL345" si="86">AK342-AK346-AK344</f>
        <v>519569</v>
      </c>
      <c r="AL345" s="149">
        <f t="shared" si="86"/>
        <v>788862</v>
      </c>
      <c r="AM345" s="149">
        <f t="shared" ref="AM345" si="87">AM342-AM346-AM344</f>
        <v>1040605</v>
      </c>
      <c r="AN345" s="357">
        <v>1081437</v>
      </c>
      <c r="AO345" s="357"/>
      <c r="AP345" s="357"/>
      <c r="AQ345" s="357"/>
      <c r="AR345" s="357"/>
      <c r="AS345" s="357"/>
      <c r="AT345" s="357"/>
      <c r="AU345" s="357"/>
      <c r="AV345" s="357"/>
      <c r="AW345" s="357"/>
      <c r="AX345" s="357"/>
      <c r="AY345" s="357"/>
      <c r="AZ345" s="357"/>
      <c r="BA345" s="357"/>
      <c r="BB345" s="357"/>
      <c r="BC345" s="357"/>
      <c r="BD345" s="357"/>
      <c r="BE345" s="357"/>
      <c r="BF345" s="357"/>
      <c r="BG345" s="107"/>
      <c r="BH345" s="107"/>
      <c r="BI345" s="107"/>
      <c r="BJ345" s="107"/>
      <c r="BK345" s="107"/>
      <c r="BL345" s="108"/>
    </row>
    <row r="346" spans="1:66" x14ac:dyDescent="0.25">
      <c r="A346" s="49" t="s">
        <v>43</v>
      </c>
      <c r="B346" s="38"/>
      <c r="C346" s="39"/>
      <c r="D346" s="39"/>
      <c r="E346" s="39"/>
      <c r="F346" s="39"/>
      <c r="G346" s="39"/>
      <c r="H346" s="39"/>
      <c r="I346" s="39"/>
      <c r="J346" s="39"/>
      <c r="K346" s="39"/>
      <c r="L346" s="39"/>
      <c r="M346" s="39"/>
      <c r="N346" s="39"/>
      <c r="O346" s="39"/>
      <c r="P346" s="67">
        <v>0</v>
      </c>
      <c r="Q346" s="68">
        <v>1</v>
      </c>
      <c r="R346" s="52">
        <v>9</v>
      </c>
      <c r="S346" s="52">
        <v>12</v>
      </c>
      <c r="T346" s="52">
        <v>22</v>
      </c>
      <c r="U346" s="52">
        <v>38</v>
      </c>
      <c r="V346" s="52">
        <v>58</v>
      </c>
      <c r="W346" s="52">
        <v>95</v>
      </c>
      <c r="X346" s="52">
        <v>171</v>
      </c>
      <c r="Y346" s="52">
        <v>309</v>
      </c>
      <c r="Z346" s="52">
        <v>509</v>
      </c>
      <c r="AA346" s="52">
        <v>1260</v>
      </c>
      <c r="AB346" s="52">
        <v>2754</v>
      </c>
      <c r="AC346" s="52">
        <v>7576</v>
      </c>
      <c r="AD346" s="52">
        <v>24062</v>
      </c>
      <c r="AE346" s="52">
        <v>32712</v>
      </c>
      <c r="AF346" s="52">
        <v>40901</v>
      </c>
      <c r="AG346" s="52">
        <v>50234</v>
      </c>
      <c r="AH346" s="52">
        <v>56795</v>
      </c>
      <c r="AI346" s="52">
        <v>76928</v>
      </c>
      <c r="AJ346" s="52">
        <v>91981</v>
      </c>
      <c r="AK346" s="52">
        <v>104542</v>
      </c>
      <c r="AL346" s="52">
        <v>114148</v>
      </c>
      <c r="AM346" s="52">
        <v>124281</v>
      </c>
      <c r="AN346" s="358">
        <v>128152</v>
      </c>
      <c r="AO346" s="358"/>
      <c r="AP346" s="358"/>
      <c r="AQ346" s="358"/>
      <c r="AR346" s="358"/>
      <c r="AS346" s="358"/>
      <c r="AT346" s="358"/>
      <c r="AU346" s="358"/>
      <c r="AV346" s="358"/>
      <c r="AW346" s="358"/>
      <c r="AX346" s="358"/>
      <c r="AY346" s="358"/>
      <c r="AZ346" s="358"/>
      <c r="BA346" s="358"/>
      <c r="BB346" s="358"/>
      <c r="BC346" s="358"/>
      <c r="BD346" s="358"/>
      <c r="BE346" s="358"/>
      <c r="BF346" s="358"/>
      <c r="BG346" s="107"/>
      <c r="BH346" s="107"/>
      <c r="BI346" s="107"/>
      <c r="BJ346" s="107"/>
      <c r="BK346" s="107"/>
      <c r="BL346" s="108"/>
    </row>
    <row r="347" spans="1:66" x14ac:dyDescent="0.25">
      <c r="B347" s="3"/>
      <c r="P347" s="35"/>
      <c r="Q347" s="35"/>
      <c r="R347" s="35"/>
      <c r="S347" s="35"/>
      <c r="T347" s="35"/>
      <c r="U347" s="35"/>
      <c r="V347" s="35"/>
      <c r="W347" s="35"/>
      <c r="X347" s="35"/>
      <c r="Y347" s="35"/>
      <c r="Z347" s="35"/>
      <c r="AA347" s="35"/>
      <c r="AB347" s="35"/>
      <c r="AC347" s="35"/>
      <c r="AD347" s="35"/>
      <c r="AE347" s="35"/>
      <c r="AF347" s="35"/>
      <c r="AG347" s="35"/>
      <c r="AH347" s="35"/>
      <c r="AI347" s="35"/>
      <c r="AJ347" s="35"/>
      <c r="AK347" s="35"/>
      <c r="AL347" s="35"/>
      <c r="AM347" s="35"/>
      <c r="AN347" s="35"/>
      <c r="AO347" s="35"/>
      <c r="AP347" s="35"/>
      <c r="AQ347" s="35"/>
      <c r="AR347" s="35"/>
      <c r="AS347" s="35"/>
      <c r="AT347" s="35"/>
      <c r="AU347" s="35"/>
    </row>
    <row r="348" spans="1:66" x14ac:dyDescent="0.25">
      <c r="A348" s="74" t="s">
        <v>49</v>
      </c>
      <c r="AQ348" s="16"/>
      <c r="AR348" s="16"/>
      <c r="AS348" s="16"/>
      <c r="AT348" s="16"/>
      <c r="AU348" s="16"/>
    </row>
    <row r="349" spans="1:66" x14ac:dyDescent="0.25">
      <c r="A349" s="4" t="s">
        <v>0</v>
      </c>
      <c r="B349" s="190" t="s">
        <v>115</v>
      </c>
      <c r="C349" s="5" t="s">
        <v>3</v>
      </c>
      <c r="D349" s="190" t="s">
        <v>51</v>
      </c>
      <c r="E349" s="58" t="s">
        <v>2</v>
      </c>
      <c r="F349" s="9" t="s">
        <v>3</v>
      </c>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c r="AW349" s="9"/>
      <c r="AX349" s="9"/>
      <c r="AY349" s="9"/>
      <c r="AZ349" s="9"/>
      <c r="BA349" s="9"/>
      <c r="BB349" s="9"/>
      <c r="BC349" s="9"/>
      <c r="BD349" s="9"/>
      <c r="BE349" s="9"/>
      <c r="BF349" s="9"/>
      <c r="BG349" s="9"/>
      <c r="BH349" s="9"/>
      <c r="BI349" s="9"/>
      <c r="BJ349" s="9"/>
      <c r="BK349" s="5"/>
      <c r="BL349" s="47"/>
    </row>
    <row r="350" spans="1:66" x14ac:dyDescent="0.25">
      <c r="A350" s="41" t="s">
        <v>12</v>
      </c>
      <c r="B350" s="13">
        <f>'Population by Age - Wikipedia'!D41</f>
        <v>3.6394890344941602E-2</v>
      </c>
      <c r="C350" s="12">
        <f>$B$299*B350</f>
        <v>12030895.124320794</v>
      </c>
      <c r="D350" s="22">
        <f>'AU Infection Rate by Age'!C4</f>
        <v>2.8847876724601325E-2</v>
      </c>
      <c r="E350" s="5"/>
      <c r="F350" s="16"/>
      <c r="G350" s="16"/>
      <c r="H350" s="16"/>
      <c r="I350" s="16"/>
      <c r="J350" s="16"/>
      <c r="K350" s="16"/>
      <c r="L350" s="16"/>
      <c r="M350" s="16"/>
      <c r="N350" s="16"/>
      <c r="O350" s="16"/>
      <c r="P350" s="18">
        <f t="shared" ref="P350:BK350" si="88">P$318*$D$350</f>
        <v>0.90149614764379138</v>
      </c>
      <c r="Q350" s="19">
        <f t="shared" si="88"/>
        <v>1.8029922952875828</v>
      </c>
      <c r="R350" s="19">
        <f t="shared" si="88"/>
        <v>3.6059845905751655</v>
      </c>
      <c r="S350" s="19">
        <f t="shared" si="88"/>
        <v>7.211969181150331</v>
      </c>
      <c r="T350" s="19">
        <f t="shared" si="88"/>
        <v>14.423938362300662</v>
      </c>
      <c r="U350" s="19">
        <f t="shared" si="88"/>
        <v>28.847876724601324</v>
      </c>
      <c r="V350" s="19">
        <f t="shared" si="88"/>
        <v>57.695753449202648</v>
      </c>
      <c r="W350" s="19">
        <f t="shared" si="88"/>
        <v>115.3915068984053</v>
      </c>
      <c r="X350" s="19">
        <f t="shared" si="88"/>
        <v>230.78301379681059</v>
      </c>
      <c r="Y350" s="19">
        <f t="shared" si="88"/>
        <v>461.56602759362119</v>
      </c>
      <c r="Z350" s="19">
        <f t="shared" si="88"/>
        <v>923.13205518724237</v>
      </c>
      <c r="AA350" s="19">
        <f t="shared" si="88"/>
        <v>1846.2641103744847</v>
      </c>
      <c r="AB350" s="19">
        <f t="shared" si="88"/>
        <v>3692.5282207489695</v>
      </c>
      <c r="AC350" s="19">
        <f t="shared" si="88"/>
        <v>7385.056441497939</v>
      </c>
      <c r="AD350" s="19">
        <f t="shared" si="88"/>
        <v>14770.112882995878</v>
      </c>
      <c r="AE350" s="19">
        <f t="shared" si="88"/>
        <v>18462.641103744849</v>
      </c>
      <c r="AF350" s="19">
        <f t="shared" si="88"/>
        <v>22155.169324493818</v>
      </c>
      <c r="AG350" s="19">
        <f t="shared" si="88"/>
        <v>25847.697545242787</v>
      </c>
      <c r="AH350" s="19">
        <f t="shared" si="88"/>
        <v>29540.225765991756</v>
      </c>
      <c r="AI350" s="19">
        <f t="shared" si="88"/>
        <v>37811.488980469447</v>
      </c>
      <c r="AJ350" s="19">
        <f t="shared" si="88"/>
        <v>44310.338648987636</v>
      </c>
      <c r="AK350" s="19">
        <f t="shared" si="88"/>
        <v>51695.395090485574</v>
      </c>
      <c r="AL350" s="19">
        <f t="shared" si="88"/>
        <v>59080.451531983512</v>
      </c>
      <c r="AM350" s="19">
        <f t="shared" si="88"/>
        <v>70896.541838380217</v>
      </c>
      <c r="AN350" s="19">
        <f t="shared" si="88"/>
        <v>82712.632144776915</v>
      </c>
      <c r="AO350" s="19">
        <f t="shared" si="88"/>
        <v>94528.722451173628</v>
      </c>
      <c r="AP350" s="19">
        <f t="shared" si="88"/>
        <v>106344.81275757033</v>
      </c>
      <c r="AQ350" s="19">
        <f t="shared" si="88"/>
        <v>118160.90306396702</v>
      </c>
      <c r="AR350" s="19">
        <f t="shared" si="88"/>
        <v>141793.08367676043</v>
      </c>
      <c r="AS350" s="19">
        <f t="shared" si="88"/>
        <v>165425.26428955383</v>
      </c>
      <c r="AT350" s="19">
        <f t="shared" si="88"/>
        <v>189057.44490234726</v>
      </c>
      <c r="AU350" s="19">
        <f t="shared" si="88"/>
        <v>212689.62551514065</v>
      </c>
      <c r="AV350" s="19">
        <f t="shared" si="88"/>
        <v>236321.80612793405</v>
      </c>
      <c r="AW350" s="19">
        <f t="shared" si="88"/>
        <v>283586.16735352087</v>
      </c>
      <c r="AX350" s="19">
        <f t="shared" si="88"/>
        <v>330850.52857910766</v>
      </c>
      <c r="AY350" s="19">
        <f t="shared" si="88"/>
        <v>378114.88980469451</v>
      </c>
      <c r="AZ350" s="19">
        <f t="shared" si="88"/>
        <v>425379.2510302813</v>
      </c>
      <c r="BA350" s="19">
        <f t="shared" si="88"/>
        <v>472643.61225586809</v>
      </c>
      <c r="BB350" s="19">
        <f t="shared" si="88"/>
        <v>567172.33470704174</v>
      </c>
      <c r="BC350" s="19">
        <f t="shared" si="88"/>
        <v>661701.05715821532</v>
      </c>
      <c r="BD350" s="19">
        <f t="shared" si="88"/>
        <v>756229.77960938902</v>
      </c>
      <c r="BE350" s="19">
        <f t="shared" si="88"/>
        <v>850758.50206056261</v>
      </c>
      <c r="BF350" s="18">
        <f t="shared" si="88"/>
        <v>945287.22451173619</v>
      </c>
      <c r="BG350" s="19">
        <f t="shared" si="88"/>
        <v>1890574.4490234724</v>
      </c>
      <c r="BH350" s="19">
        <f t="shared" si="88"/>
        <v>3781148.8980469448</v>
      </c>
      <c r="BI350" s="19">
        <f t="shared" si="88"/>
        <v>7562297.7960938895</v>
      </c>
      <c r="BJ350" s="19">
        <f t="shared" si="88"/>
        <v>9536112.7934061997</v>
      </c>
      <c r="BK350" s="60">
        <f t="shared" si="88"/>
        <v>9536112.7934061997</v>
      </c>
      <c r="BL350" s="45"/>
    </row>
    <row r="351" spans="1:66" x14ac:dyDescent="0.25">
      <c r="A351" s="41"/>
      <c r="B351" s="6"/>
      <c r="C351" s="10"/>
      <c r="D351" s="8"/>
      <c r="E351" s="27">
        <v>0.14799999999999999</v>
      </c>
      <c r="F351" s="10"/>
      <c r="G351" s="10"/>
      <c r="H351" s="10"/>
      <c r="I351" s="10"/>
      <c r="J351" s="10"/>
      <c r="K351" s="10"/>
      <c r="L351" s="10"/>
      <c r="M351" s="10"/>
      <c r="N351" s="10"/>
      <c r="O351" s="10"/>
      <c r="P351" s="29">
        <f t="shared" ref="P351:BK351" si="89">P$318*$D$350*$E$351</f>
        <v>0.13342142985128111</v>
      </c>
      <c r="Q351" s="30">
        <f t="shared" si="89"/>
        <v>0.26684285970256222</v>
      </c>
      <c r="R351" s="30">
        <f t="shared" si="89"/>
        <v>0.53368571940512444</v>
      </c>
      <c r="S351" s="30">
        <f t="shared" si="89"/>
        <v>1.0673714388102489</v>
      </c>
      <c r="T351" s="30">
        <f t="shared" si="89"/>
        <v>2.1347428776204977</v>
      </c>
      <c r="U351" s="30">
        <f t="shared" si="89"/>
        <v>4.2694857552409955</v>
      </c>
      <c r="V351" s="30">
        <f t="shared" si="89"/>
        <v>8.538971510481991</v>
      </c>
      <c r="W351" s="30">
        <f t="shared" si="89"/>
        <v>17.077943020963982</v>
      </c>
      <c r="X351" s="30">
        <f t="shared" si="89"/>
        <v>34.155886041927964</v>
      </c>
      <c r="Y351" s="30">
        <f t="shared" si="89"/>
        <v>68.311772083855928</v>
      </c>
      <c r="Z351" s="30">
        <f t="shared" si="89"/>
        <v>136.62354416771186</v>
      </c>
      <c r="AA351" s="30">
        <f t="shared" si="89"/>
        <v>273.24708833542371</v>
      </c>
      <c r="AB351" s="30">
        <f t="shared" si="89"/>
        <v>546.49417667084742</v>
      </c>
      <c r="AC351" s="30">
        <f t="shared" si="89"/>
        <v>1092.9883533416948</v>
      </c>
      <c r="AD351" s="30">
        <f t="shared" si="89"/>
        <v>2185.9767066833897</v>
      </c>
      <c r="AE351" s="30">
        <f t="shared" si="89"/>
        <v>2732.4708833542377</v>
      </c>
      <c r="AF351" s="30">
        <f t="shared" si="89"/>
        <v>3278.9650600250848</v>
      </c>
      <c r="AG351" s="30">
        <f t="shared" si="89"/>
        <v>3825.4592366959323</v>
      </c>
      <c r="AH351" s="30">
        <f t="shared" si="89"/>
        <v>4371.9534133667794</v>
      </c>
      <c r="AI351" s="30">
        <f t="shared" si="89"/>
        <v>5596.1003691094775</v>
      </c>
      <c r="AJ351" s="30">
        <f t="shared" si="89"/>
        <v>6557.9301200501695</v>
      </c>
      <c r="AK351" s="30">
        <f t="shared" si="89"/>
        <v>7650.9184733918646</v>
      </c>
      <c r="AL351" s="30">
        <f t="shared" si="89"/>
        <v>8743.9068267335588</v>
      </c>
      <c r="AM351" s="30">
        <f t="shared" si="89"/>
        <v>10492.688192080272</v>
      </c>
      <c r="AN351" s="30">
        <f t="shared" si="89"/>
        <v>12241.469557426983</v>
      </c>
      <c r="AO351" s="30">
        <f t="shared" si="89"/>
        <v>13990.250922773695</v>
      </c>
      <c r="AP351" s="30">
        <f t="shared" si="89"/>
        <v>15739.032288120407</v>
      </c>
      <c r="AQ351" s="30">
        <f t="shared" si="89"/>
        <v>17487.813653467118</v>
      </c>
      <c r="AR351" s="30">
        <f t="shared" si="89"/>
        <v>20985.376384160543</v>
      </c>
      <c r="AS351" s="30">
        <f t="shared" si="89"/>
        <v>24482.939114853965</v>
      </c>
      <c r="AT351" s="30">
        <f t="shared" si="89"/>
        <v>27980.501845547391</v>
      </c>
      <c r="AU351" s="30">
        <f t="shared" si="89"/>
        <v>31478.064576240813</v>
      </c>
      <c r="AV351" s="30">
        <f t="shared" si="89"/>
        <v>34975.627306934235</v>
      </c>
      <c r="AW351" s="30">
        <f t="shared" si="89"/>
        <v>41970.752768321086</v>
      </c>
      <c r="AX351" s="30">
        <f t="shared" si="89"/>
        <v>48965.878229707931</v>
      </c>
      <c r="AY351" s="30">
        <f t="shared" si="89"/>
        <v>55961.003691094782</v>
      </c>
      <c r="AZ351" s="30">
        <f t="shared" si="89"/>
        <v>62956.129152481626</v>
      </c>
      <c r="BA351" s="30">
        <f t="shared" si="89"/>
        <v>69951.25461386847</v>
      </c>
      <c r="BB351" s="30">
        <f t="shared" si="89"/>
        <v>83941.505536642173</v>
      </c>
      <c r="BC351" s="30">
        <f t="shared" si="89"/>
        <v>97931.756459415861</v>
      </c>
      <c r="BD351" s="30">
        <f t="shared" si="89"/>
        <v>111922.00738218956</v>
      </c>
      <c r="BE351" s="30">
        <f t="shared" si="89"/>
        <v>125912.25830496325</v>
      </c>
      <c r="BF351" s="29">
        <f t="shared" si="89"/>
        <v>139902.50922773694</v>
      </c>
      <c r="BG351" s="30">
        <f t="shared" si="89"/>
        <v>279805.01845547388</v>
      </c>
      <c r="BH351" s="30">
        <f t="shared" si="89"/>
        <v>559610.03691094776</v>
      </c>
      <c r="BI351" s="30">
        <f t="shared" si="89"/>
        <v>1119220.0738218955</v>
      </c>
      <c r="BJ351" s="30">
        <f t="shared" si="89"/>
        <v>1411344.6934241175</v>
      </c>
      <c r="BK351" s="71">
        <f t="shared" si="89"/>
        <v>1411344.6934241175</v>
      </c>
      <c r="BL351" s="45"/>
    </row>
    <row r="352" spans="1:66" x14ac:dyDescent="0.25">
      <c r="A352" s="41" t="s">
        <v>13</v>
      </c>
      <c r="B352" s="6">
        <f>'Population by Age - Wikipedia'!D37</f>
        <v>5.3752877231864643E-2</v>
      </c>
      <c r="C352" s="10">
        <f>$B$299*B352</f>
        <v>17768846.73858995</v>
      </c>
      <c r="D352" s="23">
        <f>'AU Infection Rate by Age'!C5</f>
        <v>0.10661171833004837</v>
      </c>
      <c r="E352" s="17"/>
      <c r="F352" s="16"/>
      <c r="G352" s="16"/>
      <c r="H352" s="16"/>
      <c r="I352" s="16"/>
      <c r="J352" s="16"/>
      <c r="K352" s="16"/>
      <c r="L352" s="16"/>
      <c r="M352" s="16"/>
      <c r="N352" s="16"/>
      <c r="O352" s="16"/>
      <c r="P352" s="20">
        <f t="shared" ref="P352:BK352" si="90">P$318*$D$352</f>
        <v>3.3316161978140117</v>
      </c>
      <c r="Q352" s="21">
        <f t="shared" si="90"/>
        <v>6.6632323956280235</v>
      </c>
      <c r="R352" s="21">
        <f t="shared" si="90"/>
        <v>13.326464791256047</v>
      </c>
      <c r="S352" s="21">
        <f t="shared" si="90"/>
        <v>26.652929582512094</v>
      </c>
      <c r="T352" s="21">
        <f t="shared" si="90"/>
        <v>53.305859165024188</v>
      </c>
      <c r="U352" s="21">
        <f t="shared" si="90"/>
        <v>106.61171833004838</v>
      </c>
      <c r="V352" s="21">
        <f t="shared" si="90"/>
        <v>213.22343666009675</v>
      </c>
      <c r="W352" s="21">
        <f t="shared" si="90"/>
        <v>426.4468733201935</v>
      </c>
      <c r="X352" s="21">
        <f t="shared" si="90"/>
        <v>852.89374664038701</v>
      </c>
      <c r="Y352" s="21">
        <f t="shared" si="90"/>
        <v>1705.787493280774</v>
      </c>
      <c r="Z352" s="21">
        <f t="shared" si="90"/>
        <v>3411.574986561548</v>
      </c>
      <c r="AA352" s="21">
        <f t="shared" si="90"/>
        <v>6823.1499731230961</v>
      </c>
      <c r="AB352" s="21">
        <f t="shared" si="90"/>
        <v>13646.299946246192</v>
      </c>
      <c r="AC352" s="21">
        <f t="shared" si="90"/>
        <v>27292.599892492384</v>
      </c>
      <c r="AD352" s="21">
        <f t="shared" si="90"/>
        <v>54585.199784984768</v>
      </c>
      <c r="AE352" s="21">
        <f t="shared" si="90"/>
        <v>68231.499731230957</v>
      </c>
      <c r="AF352" s="21">
        <f t="shared" si="90"/>
        <v>81877.799677477145</v>
      </c>
      <c r="AG352" s="21">
        <f t="shared" si="90"/>
        <v>95524.099623723334</v>
      </c>
      <c r="AH352" s="21">
        <f t="shared" si="90"/>
        <v>109170.39956996954</v>
      </c>
      <c r="AI352" s="21">
        <f t="shared" si="90"/>
        <v>139738.11144956099</v>
      </c>
      <c r="AJ352" s="21">
        <f t="shared" si="90"/>
        <v>163755.59935495429</v>
      </c>
      <c r="AK352" s="21">
        <f t="shared" si="90"/>
        <v>191048.19924744667</v>
      </c>
      <c r="AL352" s="21">
        <f t="shared" si="90"/>
        <v>218340.79913993907</v>
      </c>
      <c r="AM352" s="21">
        <f t="shared" si="90"/>
        <v>262008.95896792688</v>
      </c>
      <c r="AN352" s="21">
        <f t="shared" si="90"/>
        <v>305677.11879591469</v>
      </c>
      <c r="AO352" s="21">
        <f t="shared" si="90"/>
        <v>349345.27862390253</v>
      </c>
      <c r="AP352" s="21">
        <f t="shared" si="90"/>
        <v>393013.43845189031</v>
      </c>
      <c r="AQ352" s="21">
        <f t="shared" si="90"/>
        <v>436681.59827987815</v>
      </c>
      <c r="AR352" s="21">
        <f t="shared" si="90"/>
        <v>524017.91793585377</v>
      </c>
      <c r="AS352" s="21">
        <f t="shared" si="90"/>
        <v>611354.23759182938</v>
      </c>
      <c r="AT352" s="21">
        <f t="shared" si="90"/>
        <v>698690.55724780506</v>
      </c>
      <c r="AU352" s="21">
        <f t="shared" si="90"/>
        <v>786026.87690378062</v>
      </c>
      <c r="AV352" s="21">
        <f t="shared" si="90"/>
        <v>873363.1965597563</v>
      </c>
      <c r="AW352" s="21">
        <f t="shared" si="90"/>
        <v>1048035.8358717075</v>
      </c>
      <c r="AX352" s="21">
        <f t="shared" si="90"/>
        <v>1222708.4751836588</v>
      </c>
      <c r="AY352" s="21">
        <f t="shared" si="90"/>
        <v>1397381.1144956101</v>
      </c>
      <c r="AZ352" s="21">
        <f t="shared" si="90"/>
        <v>1572053.7538075612</v>
      </c>
      <c r="BA352" s="21">
        <f t="shared" si="90"/>
        <v>1746726.3931195126</v>
      </c>
      <c r="BB352" s="21">
        <f t="shared" si="90"/>
        <v>2096071.6717434151</v>
      </c>
      <c r="BC352" s="21">
        <f t="shared" si="90"/>
        <v>2445416.9503673175</v>
      </c>
      <c r="BD352" s="21">
        <f t="shared" si="90"/>
        <v>2794762.2289912202</v>
      </c>
      <c r="BE352" s="21">
        <f t="shared" si="90"/>
        <v>3144107.5076151225</v>
      </c>
      <c r="BF352" s="20">
        <f t="shared" si="90"/>
        <v>3493452.7862390252</v>
      </c>
      <c r="BG352" s="21">
        <f t="shared" si="90"/>
        <v>6986905.5724780504</v>
      </c>
      <c r="BH352" s="21">
        <f t="shared" si="90"/>
        <v>13973811.144956101</v>
      </c>
      <c r="BI352" s="21">
        <f t="shared" si="90"/>
        <v>27947622.289912201</v>
      </c>
      <c r="BJ352" s="21">
        <f t="shared" si="90"/>
        <v>35242155.975631602</v>
      </c>
      <c r="BK352" s="72">
        <f t="shared" si="90"/>
        <v>35242155.975631602</v>
      </c>
      <c r="BL352" s="45"/>
    </row>
    <row r="353" spans="1:64" x14ac:dyDescent="0.25">
      <c r="A353" s="41"/>
      <c r="B353" s="6"/>
      <c r="C353" s="10"/>
      <c r="D353" s="8"/>
      <c r="E353" s="27">
        <v>0.08</v>
      </c>
      <c r="F353" s="10"/>
      <c r="G353" s="10"/>
      <c r="H353" s="10"/>
      <c r="I353" s="10"/>
      <c r="J353" s="10"/>
      <c r="K353" s="10"/>
      <c r="L353" s="10"/>
      <c r="M353" s="10"/>
      <c r="N353" s="10"/>
      <c r="O353" s="10"/>
      <c r="P353" s="29">
        <f t="shared" ref="P353:BK353" si="91">P$318*$D$352*$E$353</f>
        <v>0.26652929582512097</v>
      </c>
      <c r="Q353" s="30">
        <f t="shared" si="91"/>
        <v>0.53305859165024194</v>
      </c>
      <c r="R353" s="30">
        <f t="shared" si="91"/>
        <v>1.0661171833004839</v>
      </c>
      <c r="S353" s="30">
        <f t="shared" si="91"/>
        <v>2.1322343666009678</v>
      </c>
      <c r="T353" s="30">
        <f t="shared" si="91"/>
        <v>4.2644687332019355</v>
      </c>
      <c r="U353" s="30">
        <f t="shared" si="91"/>
        <v>8.5289374664038711</v>
      </c>
      <c r="V353" s="30">
        <f t="shared" si="91"/>
        <v>17.057874932807742</v>
      </c>
      <c r="W353" s="30">
        <f t="shared" si="91"/>
        <v>34.115749865615484</v>
      </c>
      <c r="X353" s="30">
        <f t="shared" si="91"/>
        <v>68.231499731230969</v>
      </c>
      <c r="Y353" s="30">
        <f t="shared" si="91"/>
        <v>136.46299946246194</v>
      </c>
      <c r="Z353" s="30">
        <f t="shared" si="91"/>
        <v>272.92599892492387</v>
      </c>
      <c r="AA353" s="30">
        <f t="shared" si="91"/>
        <v>545.85199784984775</v>
      </c>
      <c r="AB353" s="30">
        <f t="shared" si="91"/>
        <v>1091.7039956996955</v>
      </c>
      <c r="AC353" s="30">
        <f t="shared" si="91"/>
        <v>2183.407991399391</v>
      </c>
      <c r="AD353" s="30">
        <f t="shared" si="91"/>
        <v>4366.815982798782</v>
      </c>
      <c r="AE353" s="30">
        <f t="shared" si="91"/>
        <v>5458.519978498477</v>
      </c>
      <c r="AF353" s="30">
        <f t="shared" si="91"/>
        <v>6550.2239741981721</v>
      </c>
      <c r="AG353" s="30">
        <f t="shared" si="91"/>
        <v>7641.9279698978671</v>
      </c>
      <c r="AH353" s="30">
        <f t="shared" si="91"/>
        <v>8733.631965597564</v>
      </c>
      <c r="AI353" s="30">
        <f t="shared" si="91"/>
        <v>11179.048915964881</v>
      </c>
      <c r="AJ353" s="30">
        <f t="shared" si="91"/>
        <v>13100.447948396344</v>
      </c>
      <c r="AK353" s="30">
        <f t="shared" si="91"/>
        <v>15283.855939795734</v>
      </c>
      <c r="AL353" s="30">
        <f t="shared" si="91"/>
        <v>17467.263931195128</v>
      </c>
      <c r="AM353" s="30">
        <f t="shared" si="91"/>
        <v>20960.716717434152</v>
      </c>
      <c r="AN353" s="30">
        <f t="shared" si="91"/>
        <v>24454.169503673176</v>
      </c>
      <c r="AO353" s="30">
        <f t="shared" si="91"/>
        <v>27947.622289912204</v>
      </c>
      <c r="AP353" s="30">
        <f t="shared" si="91"/>
        <v>31441.075076151224</v>
      </c>
      <c r="AQ353" s="30">
        <f t="shared" si="91"/>
        <v>34934.527862390256</v>
      </c>
      <c r="AR353" s="30">
        <f t="shared" si="91"/>
        <v>41921.433434868304</v>
      </c>
      <c r="AS353" s="30">
        <f t="shared" si="91"/>
        <v>48908.339007346352</v>
      </c>
      <c r="AT353" s="30">
        <f t="shared" si="91"/>
        <v>55895.244579824408</v>
      </c>
      <c r="AU353" s="30">
        <f t="shared" si="91"/>
        <v>62882.150152302449</v>
      </c>
      <c r="AV353" s="30">
        <f t="shared" si="91"/>
        <v>69869.055724780512</v>
      </c>
      <c r="AW353" s="30">
        <f t="shared" si="91"/>
        <v>83842.866869736608</v>
      </c>
      <c r="AX353" s="30">
        <f t="shared" si="91"/>
        <v>97816.678014692705</v>
      </c>
      <c r="AY353" s="30">
        <f t="shared" si="91"/>
        <v>111790.48915964882</v>
      </c>
      <c r="AZ353" s="30">
        <f t="shared" si="91"/>
        <v>125764.3003046049</v>
      </c>
      <c r="BA353" s="30">
        <f t="shared" si="91"/>
        <v>139738.11144956102</v>
      </c>
      <c r="BB353" s="30">
        <f t="shared" si="91"/>
        <v>167685.73373947322</v>
      </c>
      <c r="BC353" s="30">
        <f t="shared" si="91"/>
        <v>195633.35602938541</v>
      </c>
      <c r="BD353" s="30">
        <f t="shared" si="91"/>
        <v>223580.97831929763</v>
      </c>
      <c r="BE353" s="30">
        <f t="shared" si="91"/>
        <v>251528.6006092098</v>
      </c>
      <c r="BF353" s="29">
        <f t="shared" si="91"/>
        <v>279476.22289912205</v>
      </c>
      <c r="BG353" s="30">
        <f t="shared" si="91"/>
        <v>558952.44579824409</v>
      </c>
      <c r="BH353" s="30">
        <f t="shared" si="91"/>
        <v>1117904.8915964882</v>
      </c>
      <c r="BI353" s="30">
        <f t="shared" si="91"/>
        <v>2235809.7831929764</v>
      </c>
      <c r="BJ353" s="30">
        <f t="shared" si="91"/>
        <v>2819372.4780505281</v>
      </c>
      <c r="BK353" s="71">
        <f t="shared" si="91"/>
        <v>2819372.4780505281</v>
      </c>
      <c r="BL353" s="45"/>
    </row>
    <row r="354" spans="1:64" x14ac:dyDescent="0.25">
      <c r="A354" s="41" t="s">
        <v>14</v>
      </c>
      <c r="B354" s="6">
        <f>'Population by Age - Wikipedia'!D33</f>
        <v>9.4748533661399834E-2</v>
      </c>
      <c r="C354" s="10">
        <f>$B$299*B354</f>
        <v>31320596.404047467</v>
      </c>
      <c r="D354" s="23">
        <f>'AU Infection Rate by Age'!C6</f>
        <v>0.16735352087439526</v>
      </c>
      <c r="E354" s="17"/>
      <c r="F354" s="10"/>
      <c r="G354" s="10"/>
      <c r="H354" s="10"/>
      <c r="I354" s="10"/>
      <c r="J354" s="10"/>
      <c r="K354" s="10"/>
      <c r="L354" s="10"/>
      <c r="M354" s="10"/>
      <c r="N354" s="10"/>
      <c r="O354" s="10"/>
      <c r="P354" s="20">
        <f t="shared" ref="P354:BK354" si="92">P$318*$D$354</f>
        <v>5.2297975273248518</v>
      </c>
      <c r="Q354" s="21">
        <f t="shared" si="92"/>
        <v>10.459595054649704</v>
      </c>
      <c r="R354" s="21">
        <f t="shared" si="92"/>
        <v>20.919190109299407</v>
      </c>
      <c r="S354" s="21">
        <f t="shared" si="92"/>
        <v>41.838380218598815</v>
      </c>
      <c r="T354" s="21">
        <f t="shared" si="92"/>
        <v>83.676760437197629</v>
      </c>
      <c r="U354" s="21">
        <f t="shared" si="92"/>
        <v>167.35352087439526</v>
      </c>
      <c r="V354" s="21">
        <f t="shared" si="92"/>
        <v>334.70704174879052</v>
      </c>
      <c r="W354" s="21">
        <f t="shared" si="92"/>
        <v>669.41408349758103</v>
      </c>
      <c r="X354" s="21">
        <f t="shared" si="92"/>
        <v>1338.8281669951621</v>
      </c>
      <c r="Y354" s="21">
        <f t="shared" si="92"/>
        <v>2677.6563339903241</v>
      </c>
      <c r="Z354" s="21">
        <f t="shared" si="92"/>
        <v>5355.3126679806483</v>
      </c>
      <c r="AA354" s="21">
        <f t="shared" si="92"/>
        <v>10710.625335961297</v>
      </c>
      <c r="AB354" s="21">
        <f t="shared" si="92"/>
        <v>21421.250671922593</v>
      </c>
      <c r="AC354" s="21">
        <f t="shared" si="92"/>
        <v>42842.501343845186</v>
      </c>
      <c r="AD354" s="21">
        <f t="shared" si="92"/>
        <v>85685.002687690372</v>
      </c>
      <c r="AE354" s="21">
        <f t="shared" si="92"/>
        <v>107106.25335961297</v>
      </c>
      <c r="AF354" s="21">
        <f t="shared" si="92"/>
        <v>128527.50403153556</v>
      </c>
      <c r="AG354" s="21">
        <f t="shared" si="92"/>
        <v>149948.75470345814</v>
      </c>
      <c r="AH354" s="21">
        <f t="shared" si="92"/>
        <v>171370.00537538074</v>
      </c>
      <c r="AI354" s="21">
        <f t="shared" si="92"/>
        <v>219353.60688048735</v>
      </c>
      <c r="AJ354" s="21">
        <f t="shared" si="92"/>
        <v>257055.00806307112</v>
      </c>
      <c r="AK354" s="21">
        <f t="shared" si="92"/>
        <v>299897.50940691627</v>
      </c>
      <c r="AL354" s="21">
        <f t="shared" si="92"/>
        <v>342740.01075076149</v>
      </c>
      <c r="AM354" s="21">
        <f t="shared" si="92"/>
        <v>411288.01290091377</v>
      </c>
      <c r="AN354" s="21">
        <f t="shared" si="92"/>
        <v>479836.01505106606</v>
      </c>
      <c r="AO354" s="21">
        <f t="shared" si="92"/>
        <v>548384.0172012184</v>
      </c>
      <c r="AP354" s="21">
        <f t="shared" si="92"/>
        <v>616932.01935137063</v>
      </c>
      <c r="AQ354" s="21">
        <f t="shared" si="92"/>
        <v>685480.02150152298</v>
      </c>
      <c r="AR354" s="21">
        <f t="shared" si="92"/>
        <v>822576.02580182755</v>
      </c>
      <c r="AS354" s="21">
        <f t="shared" si="92"/>
        <v>959672.03010213212</v>
      </c>
      <c r="AT354" s="21">
        <f t="shared" si="92"/>
        <v>1096768.0344024368</v>
      </c>
      <c r="AU354" s="21">
        <f t="shared" si="92"/>
        <v>1233864.0387027413</v>
      </c>
      <c r="AV354" s="21">
        <f t="shared" si="92"/>
        <v>1370960.043003046</v>
      </c>
      <c r="AW354" s="21">
        <f t="shared" si="92"/>
        <v>1645152.0516036551</v>
      </c>
      <c r="AX354" s="21">
        <f t="shared" si="92"/>
        <v>1919344.0602042642</v>
      </c>
      <c r="AY354" s="21">
        <f t="shared" si="92"/>
        <v>2193536.0688048736</v>
      </c>
      <c r="AZ354" s="21">
        <f t="shared" si="92"/>
        <v>2467728.0774054825</v>
      </c>
      <c r="BA354" s="21">
        <f t="shared" si="92"/>
        <v>2741920.0860060919</v>
      </c>
      <c r="BB354" s="21">
        <f t="shared" si="92"/>
        <v>3290304.1032073102</v>
      </c>
      <c r="BC354" s="21">
        <f t="shared" si="92"/>
        <v>3838688.1204085285</v>
      </c>
      <c r="BD354" s="21">
        <f t="shared" si="92"/>
        <v>4387072.1376097472</v>
      </c>
      <c r="BE354" s="21">
        <f t="shared" si="92"/>
        <v>4935456.1548109651</v>
      </c>
      <c r="BF354" s="20">
        <f t="shared" si="92"/>
        <v>5483840.1720121838</v>
      </c>
      <c r="BG354" s="21">
        <f t="shared" si="92"/>
        <v>10967680.344024368</v>
      </c>
      <c r="BH354" s="21">
        <f t="shared" si="92"/>
        <v>21935360.688048735</v>
      </c>
      <c r="BI354" s="21">
        <f t="shared" si="92"/>
        <v>43870721.376097471</v>
      </c>
      <c r="BJ354" s="21">
        <f t="shared" si="92"/>
        <v>55321300.304604903</v>
      </c>
      <c r="BK354" s="72">
        <f t="shared" si="92"/>
        <v>55321300.304604903</v>
      </c>
      <c r="BL354" s="45"/>
    </row>
    <row r="355" spans="1:64" x14ac:dyDescent="0.25">
      <c r="A355" s="41"/>
      <c r="B355" s="6"/>
      <c r="C355" s="10"/>
      <c r="D355" s="8"/>
      <c r="E355" s="27">
        <v>3.5999999999999997E-2</v>
      </c>
      <c r="F355" s="10"/>
      <c r="G355" s="10"/>
      <c r="H355" s="10"/>
      <c r="I355" s="10"/>
      <c r="J355" s="10"/>
      <c r="K355" s="10"/>
      <c r="L355" s="10"/>
      <c r="M355" s="10"/>
      <c r="N355" s="10"/>
      <c r="O355" s="10"/>
      <c r="P355" s="29">
        <f t="shared" ref="P355:BK355" si="93">P$318*$D$354*$E$355</f>
        <v>0.18827271098369466</v>
      </c>
      <c r="Q355" s="30">
        <f t="shared" si="93"/>
        <v>0.37654542196738933</v>
      </c>
      <c r="R355" s="30">
        <f t="shared" si="93"/>
        <v>0.75309084393477865</v>
      </c>
      <c r="S355" s="30">
        <f t="shared" si="93"/>
        <v>1.5061816878695573</v>
      </c>
      <c r="T355" s="30">
        <f t="shared" si="93"/>
        <v>3.0123633757391146</v>
      </c>
      <c r="U355" s="30">
        <f t="shared" si="93"/>
        <v>6.0247267514782292</v>
      </c>
      <c r="V355" s="30">
        <f t="shared" si="93"/>
        <v>12.049453502956458</v>
      </c>
      <c r="W355" s="30">
        <f t="shared" si="93"/>
        <v>24.098907005912917</v>
      </c>
      <c r="X355" s="30">
        <f t="shared" si="93"/>
        <v>48.197814011825834</v>
      </c>
      <c r="Y355" s="30">
        <f t="shared" si="93"/>
        <v>96.395628023651668</v>
      </c>
      <c r="Z355" s="30">
        <f t="shared" si="93"/>
        <v>192.79125604730334</v>
      </c>
      <c r="AA355" s="30">
        <f t="shared" si="93"/>
        <v>385.58251209460667</v>
      </c>
      <c r="AB355" s="30">
        <f t="shared" si="93"/>
        <v>771.16502418921334</v>
      </c>
      <c r="AC355" s="30">
        <f t="shared" si="93"/>
        <v>1542.3300483784267</v>
      </c>
      <c r="AD355" s="30">
        <f t="shared" si="93"/>
        <v>3084.6600967568534</v>
      </c>
      <c r="AE355" s="30">
        <f t="shared" si="93"/>
        <v>3855.8251209460664</v>
      </c>
      <c r="AF355" s="30">
        <f t="shared" si="93"/>
        <v>4626.9901451352798</v>
      </c>
      <c r="AG355" s="30">
        <f t="shared" si="93"/>
        <v>5398.1551693244928</v>
      </c>
      <c r="AH355" s="30">
        <f t="shared" si="93"/>
        <v>6169.3201935137067</v>
      </c>
      <c r="AI355" s="30">
        <f t="shared" si="93"/>
        <v>7896.7298476975438</v>
      </c>
      <c r="AJ355" s="30">
        <f t="shared" si="93"/>
        <v>9253.9802902705596</v>
      </c>
      <c r="AK355" s="30">
        <f t="shared" si="93"/>
        <v>10796.310338648986</v>
      </c>
      <c r="AL355" s="30">
        <f t="shared" si="93"/>
        <v>12338.640387027413</v>
      </c>
      <c r="AM355" s="30">
        <f t="shared" si="93"/>
        <v>14806.368464432895</v>
      </c>
      <c r="AN355" s="30">
        <f t="shared" si="93"/>
        <v>17274.096541838378</v>
      </c>
      <c r="AO355" s="30">
        <f t="shared" si="93"/>
        <v>19741.82461924386</v>
      </c>
      <c r="AP355" s="30">
        <f t="shared" si="93"/>
        <v>22209.552696649342</v>
      </c>
      <c r="AQ355" s="30">
        <f t="shared" si="93"/>
        <v>24677.280774054827</v>
      </c>
      <c r="AR355" s="30">
        <f t="shared" si="93"/>
        <v>29612.73692886579</v>
      </c>
      <c r="AS355" s="30">
        <f t="shared" si="93"/>
        <v>34548.193083676757</v>
      </c>
      <c r="AT355" s="30">
        <f t="shared" si="93"/>
        <v>39483.64923848772</v>
      </c>
      <c r="AU355" s="30">
        <f t="shared" si="93"/>
        <v>44419.105393298683</v>
      </c>
      <c r="AV355" s="30">
        <f t="shared" si="93"/>
        <v>49354.561548109654</v>
      </c>
      <c r="AW355" s="30">
        <f t="shared" si="93"/>
        <v>59225.47385773158</v>
      </c>
      <c r="AX355" s="30">
        <f t="shared" si="93"/>
        <v>69096.386167353514</v>
      </c>
      <c r="AY355" s="30">
        <f t="shared" si="93"/>
        <v>78967.29847697544</v>
      </c>
      <c r="AZ355" s="30">
        <f t="shared" si="93"/>
        <v>88838.210786597367</v>
      </c>
      <c r="BA355" s="30">
        <f t="shared" si="93"/>
        <v>98709.123096219308</v>
      </c>
      <c r="BB355" s="30">
        <f t="shared" si="93"/>
        <v>118450.94771546316</v>
      </c>
      <c r="BC355" s="30">
        <f t="shared" si="93"/>
        <v>138192.77233470703</v>
      </c>
      <c r="BD355" s="30">
        <f t="shared" si="93"/>
        <v>157934.59695395088</v>
      </c>
      <c r="BE355" s="30">
        <f t="shared" si="93"/>
        <v>177676.42157319473</v>
      </c>
      <c r="BF355" s="29">
        <f t="shared" si="93"/>
        <v>197418.24619243862</v>
      </c>
      <c r="BG355" s="30">
        <f t="shared" si="93"/>
        <v>394836.49238487723</v>
      </c>
      <c r="BH355" s="30">
        <f t="shared" si="93"/>
        <v>789672.98476975446</v>
      </c>
      <c r="BI355" s="30">
        <f t="shared" si="93"/>
        <v>1579345.9695395089</v>
      </c>
      <c r="BJ355" s="30">
        <f t="shared" si="93"/>
        <v>1991566.8109657764</v>
      </c>
      <c r="BK355" s="71">
        <f t="shared" si="93"/>
        <v>1991566.8109657764</v>
      </c>
      <c r="BL355" s="45"/>
    </row>
    <row r="356" spans="1:64" x14ac:dyDescent="0.25">
      <c r="A356" s="41" t="s">
        <v>15</v>
      </c>
      <c r="B356" s="6">
        <f>'Population by Age - Wikipedia'!D29</f>
        <v>0.13591428809571979</v>
      </c>
      <c r="C356" s="10">
        <f>$B$299*B356</f>
        <v>44928574.60150566</v>
      </c>
      <c r="D356" s="23">
        <f>'AU Infection Rate by Age'!C7</f>
        <v>0.15534850385235621</v>
      </c>
      <c r="E356" s="17"/>
      <c r="F356" s="10"/>
      <c r="G356" s="10"/>
      <c r="H356" s="10"/>
      <c r="I356" s="10"/>
      <c r="J356" s="10"/>
      <c r="K356" s="10"/>
      <c r="L356" s="10"/>
      <c r="M356" s="10"/>
      <c r="N356" s="10"/>
      <c r="O356" s="10"/>
      <c r="P356" s="20">
        <f t="shared" ref="P356:BK356" si="94">P$318*$D$356</f>
        <v>4.8546407453861313</v>
      </c>
      <c r="Q356" s="21">
        <f t="shared" si="94"/>
        <v>9.7092814907722627</v>
      </c>
      <c r="R356" s="21">
        <f t="shared" si="94"/>
        <v>19.418562981544525</v>
      </c>
      <c r="S356" s="21">
        <f t="shared" si="94"/>
        <v>38.837125963089051</v>
      </c>
      <c r="T356" s="21">
        <f t="shared" si="94"/>
        <v>77.674251926178101</v>
      </c>
      <c r="U356" s="21">
        <f t="shared" si="94"/>
        <v>155.3485038523562</v>
      </c>
      <c r="V356" s="21">
        <f t="shared" si="94"/>
        <v>310.69700770471241</v>
      </c>
      <c r="W356" s="21">
        <f t="shared" si="94"/>
        <v>621.39401540942481</v>
      </c>
      <c r="X356" s="21">
        <f t="shared" si="94"/>
        <v>1242.7880308188496</v>
      </c>
      <c r="Y356" s="21">
        <f t="shared" si="94"/>
        <v>2485.5760616376992</v>
      </c>
      <c r="Z356" s="21">
        <f t="shared" si="94"/>
        <v>4971.1521232753985</v>
      </c>
      <c r="AA356" s="21">
        <f t="shared" si="94"/>
        <v>9942.304246550797</v>
      </c>
      <c r="AB356" s="21">
        <f t="shared" si="94"/>
        <v>19884.608493101594</v>
      </c>
      <c r="AC356" s="21">
        <f t="shared" si="94"/>
        <v>39769.216986203188</v>
      </c>
      <c r="AD356" s="21">
        <f t="shared" si="94"/>
        <v>79538.433972406376</v>
      </c>
      <c r="AE356" s="21">
        <f t="shared" si="94"/>
        <v>99423.04246550797</v>
      </c>
      <c r="AF356" s="21">
        <f t="shared" si="94"/>
        <v>119307.65095860958</v>
      </c>
      <c r="AG356" s="21">
        <f t="shared" si="94"/>
        <v>139192.25945171117</v>
      </c>
      <c r="AH356" s="21">
        <f t="shared" si="94"/>
        <v>159076.86794481275</v>
      </c>
      <c r="AI356" s="21">
        <f t="shared" si="94"/>
        <v>203618.39096936033</v>
      </c>
      <c r="AJ356" s="21">
        <f t="shared" si="94"/>
        <v>238615.30191721916</v>
      </c>
      <c r="AK356" s="21">
        <f t="shared" si="94"/>
        <v>278384.51890342234</v>
      </c>
      <c r="AL356" s="21">
        <f t="shared" si="94"/>
        <v>318153.7358896255</v>
      </c>
      <c r="AM356" s="21">
        <f t="shared" si="94"/>
        <v>381784.48306755064</v>
      </c>
      <c r="AN356" s="21">
        <f t="shared" si="94"/>
        <v>445415.23024547572</v>
      </c>
      <c r="AO356" s="21">
        <f t="shared" si="94"/>
        <v>509045.97742340085</v>
      </c>
      <c r="AP356" s="21">
        <f t="shared" si="94"/>
        <v>572676.72460132593</v>
      </c>
      <c r="AQ356" s="21">
        <f t="shared" si="94"/>
        <v>636307.47177925101</v>
      </c>
      <c r="AR356" s="21">
        <f t="shared" si="94"/>
        <v>763568.96613510128</v>
      </c>
      <c r="AS356" s="21">
        <f t="shared" si="94"/>
        <v>890830.46049095143</v>
      </c>
      <c r="AT356" s="21">
        <f t="shared" si="94"/>
        <v>1018091.9548468017</v>
      </c>
      <c r="AU356" s="21">
        <f t="shared" si="94"/>
        <v>1145353.4492026519</v>
      </c>
      <c r="AV356" s="21">
        <f t="shared" si="94"/>
        <v>1272614.943558502</v>
      </c>
      <c r="AW356" s="21">
        <f t="shared" si="94"/>
        <v>1527137.9322702026</v>
      </c>
      <c r="AX356" s="21">
        <f t="shared" si="94"/>
        <v>1781660.9209819029</v>
      </c>
      <c r="AY356" s="21">
        <f t="shared" si="94"/>
        <v>2036183.9096936034</v>
      </c>
      <c r="AZ356" s="21">
        <f t="shared" si="94"/>
        <v>2290706.8984053037</v>
      </c>
      <c r="BA356" s="21">
        <f t="shared" si="94"/>
        <v>2545229.887117004</v>
      </c>
      <c r="BB356" s="21">
        <f t="shared" si="94"/>
        <v>3054275.8645404051</v>
      </c>
      <c r="BC356" s="21">
        <f t="shared" si="94"/>
        <v>3563321.8419638057</v>
      </c>
      <c r="BD356" s="21">
        <f t="shared" si="94"/>
        <v>4072367.8193872068</v>
      </c>
      <c r="BE356" s="21">
        <f t="shared" si="94"/>
        <v>4581413.7968106074</v>
      </c>
      <c r="BF356" s="20">
        <f t="shared" si="94"/>
        <v>5090459.774234008</v>
      </c>
      <c r="BG356" s="21">
        <f t="shared" si="94"/>
        <v>10180919.548468016</v>
      </c>
      <c r="BH356" s="21">
        <f t="shared" si="94"/>
        <v>20361839.096936032</v>
      </c>
      <c r="BI356" s="21">
        <f t="shared" si="94"/>
        <v>40723678.193872064</v>
      </c>
      <c r="BJ356" s="21">
        <f t="shared" si="94"/>
        <v>51352855.850206055</v>
      </c>
      <c r="BK356" s="72">
        <f t="shared" si="94"/>
        <v>51352855.850206055</v>
      </c>
      <c r="BL356" s="45"/>
    </row>
    <row r="357" spans="1:64" x14ac:dyDescent="0.25">
      <c r="A357" s="41"/>
      <c r="B357" s="6"/>
      <c r="C357" s="10"/>
      <c r="D357" s="8"/>
      <c r="E357" s="27">
        <v>1.2999999999999999E-2</v>
      </c>
      <c r="F357" s="10"/>
      <c r="G357" s="10"/>
      <c r="H357" s="10"/>
      <c r="I357" s="10"/>
      <c r="J357" s="10"/>
      <c r="K357" s="10"/>
      <c r="L357" s="10"/>
      <c r="M357" s="10"/>
      <c r="N357" s="10"/>
      <c r="O357" s="10"/>
      <c r="P357" s="29">
        <f t="shared" ref="P357:BK357" si="95">P$318*$D$356*$E$357</f>
        <v>6.3110329690019701E-2</v>
      </c>
      <c r="Q357" s="30">
        <f t="shared" si="95"/>
        <v>0.1262206593800394</v>
      </c>
      <c r="R357" s="30">
        <f t="shared" si="95"/>
        <v>0.2524413187600788</v>
      </c>
      <c r="S357" s="30">
        <f t="shared" si="95"/>
        <v>0.50488263752015761</v>
      </c>
      <c r="T357" s="30">
        <f t="shared" si="95"/>
        <v>1.0097652750403152</v>
      </c>
      <c r="U357" s="30">
        <f t="shared" si="95"/>
        <v>2.0195305500806304</v>
      </c>
      <c r="V357" s="30">
        <f t="shared" si="95"/>
        <v>4.0390611001612609</v>
      </c>
      <c r="W357" s="30">
        <f t="shared" si="95"/>
        <v>8.0781222003225217</v>
      </c>
      <c r="X357" s="30">
        <f t="shared" si="95"/>
        <v>16.156244400645043</v>
      </c>
      <c r="Y357" s="30">
        <f t="shared" si="95"/>
        <v>32.312488801290087</v>
      </c>
      <c r="Z357" s="30">
        <f t="shared" si="95"/>
        <v>64.624977602580174</v>
      </c>
      <c r="AA357" s="30">
        <f t="shared" si="95"/>
        <v>129.24995520516035</v>
      </c>
      <c r="AB357" s="30">
        <f t="shared" si="95"/>
        <v>258.49991041032069</v>
      </c>
      <c r="AC357" s="30">
        <f t="shared" si="95"/>
        <v>516.99982082064139</v>
      </c>
      <c r="AD357" s="30">
        <f t="shared" si="95"/>
        <v>1033.9996416412828</v>
      </c>
      <c r="AE357" s="30">
        <f t="shared" si="95"/>
        <v>1292.4995520516036</v>
      </c>
      <c r="AF357" s="30">
        <f t="shared" si="95"/>
        <v>1550.9994624619244</v>
      </c>
      <c r="AG357" s="30">
        <f t="shared" si="95"/>
        <v>1809.4993728722452</v>
      </c>
      <c r="AH357" s="30">
        <f t="shared" si="95"/>
        <v>2067.9992832825656</v>
      </c>
      <c r="AI357" s="30">
        <f t="shared" si="95"/>
        <v>2647.0390826016842</v>
      </c>
      <c r="AJ357" s="30">
        <f t="shared" si="95"/>
        <v>3101.9989249238488</v>
      </c>
      <c r="AK357" s="30">
        <f t="shared" si="95"/>
        <v>3618.9987457444904</v>
      </c>
      <c r="AL357" s="30">
        <f t="shared" si="95"/>
        <v>4135.9985665651311</v>
      </c>
      <c r="AM357" s="30">
        <f t="shared" si="95"/>
        <v>4963.1982798781582</v>
      </c>
      <c r="AN357" s="30">
        <f t="shared" si="95"/>
        <v>5790.3979931911845</v>
      </c>
      <c r="AO357" s="30">
        <f t="shared" si="95"/>
        <v>6617.5977065042107</v>
      </c>
      <c r="AP357" s="30">
        <f t="shared" si="95"/>
        <v>7444.7974198172369</v>
      </c>
      <c r="AQ357" s="30">
        <f t="shared" si="95"/>
        <v>8271.9971331302622</v>
      </c>
      <c r="AR357" s="30">
        <f t="shared" si="95"/>
        <v>9926.3965597563165</v>
      </c>
      <c r="AS357" s="30">
        <f t="shared" si="95"/>
        <v>11580.795986382369</v>
      </c>
      <c r="AT357" s="30">
        <f t="shared" si="95"/>
        <v>13235.195413008421</v>
      </c>
      <c r="AU357" s="30">
        <f t="shared" si="95"/>
        <v>14889.594839634474</v>
      </c>
      <c r="AV357" s="30">
        <f t="shared" si="95"/>
        <v>16543.994266260524</v>
      </c>
      <c r="AW357" s="30">
        <f t="shared" si="95"/>
        <v>19852.793119512633</v>
      </c>
      <c r="AX357" s="30">
        <f t="shared" si="95"/>
        <v>23161.591972764738</v>
      </c>
      <c r="AY357" s="30">
        <f t="shared" si="95"/>
        <v>26470.390826016843</v>
      </c>
      <c r="AZ357" s="30">
        <f t="shared" si="95"/>
        <v>29779.189679268948</v>
      </c>
      <c r="BA357" s="30">
        <f t="shared" si="95"/>
        <v>33087.988532521049</v>
      </c>
      <c r="BB357" s="30">
        <f t="shared" si="95"/>
        <v>39705.586239025266</v>
      </c>
      <c r="BC357" s="30">
        <f t="shared" si="95"/>
        <v>46323.183945529476</v>
      </c>
      <c r="BD357" s="30">
        <f t="shared" si="95"/>
        <v>52940.781652033686</v>
      </c>
      <c r="BE357" s="30">
        <f t="shared" si="95"/>
        <v>59558.379358537895</v>
      </c>
      <c r="BF357" s="29">
        <f t="shared" si="95"/>
        <v>66175.977065042098</v>
      </c>
      <c r="BG357" s="30">
        <f t="shared" si="95"/>
        <v>132351.9541300842</v>
      </c>
      <c r="BH357" s="30">
        <f t="shared" si="95"/>
        <v>264703.90826016839</v>
      </c>
      <c r="BI357" s="30">
        <f t="shared" si="95"/>
        <v>529407.81652033678</v>
      </c>
      <c r="BJ357" s="30">
        <f t="shared" si="95"/>
        <v>667587.12605267868</v>
      </c>
      <c r="BK357" s="71">
        <f t="shared" si="95"/>
        <v>667587.12605267868</v>
      </c>
      <c r="BL357" s="45"/>
    </row>
    <row r="358" spans="1:64" x14ac:dyDescent="0.25">
      <c r="A358" s="41" t="s">
        <v>16</v>
      </c>
      <c r="B358" s="6">
        <f>'Population by Age - Wikipedia'!D25</f>
        <v>0.14121517441978385</v>
      </c>
      <c r="C358" s="10">
        <f>$B$299*B358</f>
        <v>46680864.739663057</v>
      </c>
      <c r="D358" s="23">
        <f>'AU Infection Rate by Age'!C8</f>
        <v>0.12972585558143701</v>
      </c>
      <c r="E358" s="17"/>
      <c r="F358" s="10"/>
      <c r="G358" s="10"/>
      <c r="H358" s="10"/>
      <c r="I358" s="10"/>
      <c r="J358" s="10"/>
      <c r="K358" s="10"/>
      <c r="L358" s="10"/>
      <c r="M358" s="10"/>
      <c r="N358" s="10"/>
      <c r="O358" s="10"/>
      <c r="P358" s="20">
        <f t="shared" ref="P358:BK358" si="96">P$318*$D$358</f>
        <v>4.0539329869199063</v>
      </c>
      <c r="Q358" s="21">
        <f t="shared" si="96"/>
        <v>8.1078659738398127</v>
      </c>
      <c r="R358" s="21">
        <f t="shared" si="96"/>
        <v>16.215731947679625</v>
      </c>
      <c r="S358" s="21">
        <f t="shared" si="96"/>
        <v>32.431463895359251</v>
      </c>
      <c r="T358" s="21">
        <f t="shared" si="96"/>
        <v>64.862927790718501</v>
      </c>
      <c r="U358" s="21">
        <f t="shared" si="96"/>
        <v>129.725855581437</v>
      </c>
      <c r="V358" s="21">
        <f t="shared" si="96"/>
        <v>259.45171116287401</v>
      </c>
      <c r="W358" s="21">
        <f t="shared" si="96"/>
        <v>518.90342232574801</v>
      </c>
      <c r="X358" s="21">
        <f t="shared" si="96"/>
        <v>1037.806844651496</v>
      </c>
      <c r="Y358" s="21">
        <f t="shared" si="96"/>
        <v>2075.613689302992</v>
      </c>
      <c r="Z358" s="21">
        <f t="shared" si="96"/>
        <v>4151.2273786059841</v>
      </c>
      <c r="AA358" s="21">
        <f t="shared" si="96"/>
        <v>8302.4547572119682</v>
      </c>
      <c r="AB358" s="21">
        <f t="shared" si="96"/>
        <v>16604.909514423936</v>
      </c>
      <c r="AC358" s="21">
        <f t="shared" si="96"/>
        <v>33209.819028847873</v>
      </c>
      <c r="AD358" s="21">
        <f t="shared" si="96"/>
        <v>66419.638057695745</v>
      </c>
      <c r="AE358" s="21">
        <f t="shared" si="96"/>
        <v>83024.547572119685</v>
      </c>
      <c r="AF358" s="21">
        <f t="shared" si="96"/>
        <v>99629.457086543625</v>
      </c>
      <c r="AG358" s="21">
        <f t="shared" si="96"/>
        <v>116234.36660096757</v>
      </c>
      <c r="AH358" s="21">
        <f t="shared" si="96"/>
        <v>132839.27611539149</v>
      </c>
      <c r="AI358" s="21">
        <f t="shared" si="96"/>
        <v>170034.27342770112</v>
      </c>
      <c r="AJ358" s="21">
        <f t="shared" si="96"/>
        <v>199258.91417308725</v>
      </c>
      <c r="AK358" s="21">
        <f t="shared" si="96"/>
        <v>232468.73320193513</v>
      </c>
      <c r="AL358" s="21">
        <f t="shared" si="96"/>
        <v>265678.55223078298</v>
      </c>
      <c r="AM358" s="21">
        <f t="shared" si="96"/>
        <v>318814.2626769396</v>
      </c>
      <c r="AN358" s="21">
        <f t="shared" si="96"/>
        <v>371949.97312309622</v>
      </c>
      <c r="AO358" s="21">
        <f t="shared" si="96"/>
        <v>425085.68356925278</v>
      </c>
      <c r="AP358" s="21">
        <f t="shared" si="96"/>
        <v>478221.3940154094</v>
      </c>
      <c r="AQ358" s="21">
        <f t="shared" si="96"/>
        <v>531357.10446156596</v>
      </c>
      <c r="AR358" s="21">
        <f t="shared" si="96"/>
        <v>637628.5253538792</v>
      </c>
      <c r="AS358" s="21">
        <f t="shared" si="96"/>
        <v>743899.94624619244</v>
      </c>
      <c r="AT358" s="21">
        <f t="shared" si="96"/>
        <v>850171.36713850556</v>
      </c>
      <c r="AU358" s="21">
        <f t="shared" si="96"/>
        <v>956442.7880308188</v>
      </c>
      <c r="AV358" s="21">
        <f t="shared" si="96"/>
        <v>1062714.2089231319</v>
      </c>
      <c r="AW358" s="21">
        <f t="shared" si="96"/>
        <v>1275257.0507077584</v>
      </c>
      <c r="AX358" s="21">
        <f t="shared" si="96"/>
        <v>1487799.8924923849</v>
      </c>
      <c r="AY358" s="21">
        <f t="shared" si="96"/>
        <v>1700342.7342770111</v>
      </c>
      <c r="AZ358" s="21">
        <f t="shared" si="96"/>
        <v>1912885.5760616376</v>
      </c>
      <c r="BA358" s="21">
        <f t="shared" si="96"/>
        <v>2125428.4178462639</v>
      </c>
      <c r="BB358" s="21">
        <f t="shared" si="96"/>
        <v>2550514.1014155168</v>
      </c>
      <c r="BC358" s="21">
        <f t="shared" si="96"/>
        <v>2975599.7849847698</v>
      </c>
      <c r="BD358" s="21">
        <f t="shared" si="96"/>
        <v>3400685.4685540223</v>
      </c>
      <c r="BE358" s="21">
        <f t="shared" si="96"/>
        <v>3825771.1521232752</v>
      </c>
      <c r="BF358" s="20">
        <f t="shared" si="96"/>
        <v>4250856.8356925277</v>
      </c>
      <c r="BG358" s="21">
        <f t="shared" si="96"/>
        <v>8501713.6713850554</v>
      </c>
      <c r="BH358" s="21">
        <f t="shared" si="96"/>
        <v>17003427.342770111</v>
      </c>
      <c r="BI358" s="21">
        <f t="shared" si="96"/>
        <v>34006854.685540222</v>
      </c>
      <c r="BJ358" s="21">
        <f t="shared" si="96"/>
        <v>42882892.313205518</v>
      </c>
      <c r="BK358" s="72">
        <f t="shared" si="96"/>
        <v>42882892.313205518</v>
      </c>
      <c r="BL358" s="45"/>
    </row>
    <row r="359" spans="1:64" x14ac:dyDescent="0.25">
      <c r="A359" s="41"/>
      <c r="B359" s="6"/>
      <c r="C359" s="10"/>
      <c r="D359" s="8"/>
      <c r="E359" s="27">
        <v>4.0000000000000001E-3</v>
      </c>
      <c r="F359" s="10"/>
      <c r="G359" s="10"/>
      <c r="H359" s="10"/>
      <c r="I359" s="10"/>
      <c r="J359" s="10"/>
      <c r="K359" s="10"/>
      <c r="L359" s="10"/>
      <c r="M359" s="10"/>
      <c r="N359" s="10"/>
      <c r="O359" s="10"/>
      <c r="P359" s="29">
        <f t="shared" ref="P359:BK359" si="97">P$318*$D$358*$E$359</f>
        <v>1.6215731947679626E-2</v>
      </c>
      <c r="Q359" s="30">
        <f t="shared" si="97"/>
        <v>3.2431463895359253E-2</v>
      </c>
      <c r="R359" s="30">
        <f t="shared" si="97"/>
        <v>6.4862927790718505E-2</v>
      </c>
      <c r="S359" s="30">
        <f t="shared" si="97"/>
        <v>0.12972585558143701</v>
      </c>
      <c r="T359" s="30">
        <f t="shared" si="97"/>
        <v>0.25945171116287402</v>
      </c>
      <c r="U359" s="30">
        <f t="shared" si="97"/>
        <v>0.51890342232574804</v>
      </c>
      <c r="V359" s="30">
        <f t="shared" si="97"/>
        <v>1.0378068446514961</v>
      </c>
      <c r="W359" s="30">
        <f t="shared" si="97"/>
        <v>2.0756136893029922</v>
      </c>
      <c r="X359" s="30">
        <f t="shared" si="97"/>
        <v>4.1512273786059843</v>
      </c>
      <c r="Y359" s="30">
        <f t="shared" si="97"/>
        <v>8.3024547572119687</v>
      </c>
      <c r="Z359" s="30">
        <f t="shared" si="97"/>
        <v>16.604909514423937</v>
      </c>
      <c r="AA359" s="30">
        <f t="shared" si="97"/>
        <v>33.209819028847875</v>
      </c>
      <c r="AB359" s="30">
        <f t="shared" si="97"/>
        <v>66.419638057695749</v>
      </c>
      <c r="AC359" s="30">
        <f t="shared" si="97"/>
        <v>132.8392761153915</v>
      </c>
      <c r="AD359" s="30">
        <f t="shared" si="97"/>
        <v>265.678552230783</v>
      </c>
      <c r="AE359" s="30">
        <f t="shared" si="97"/>
        <v>332.09819028847875</v>
      </c>
      <c r="AF359" s="30">
        <f t="shared" si="97"/>
        <v>398.5178283461745</v>
      </c>
      <c r="AG359" s="30">
        <f t="shared" si="97"/>
        <v>464.93746640387025</v>
      </c>
      <c r="AH359" s="30">
        <f t="shared" si="97"/>
        <v>531.357104461566</v>
      </c>
      <c r="AI359" s="30">
        <f t="shared" si="97"/>
        <v>680.13709371080449</v>
      </c>
      <c r="AJ359" s="30">
        <f t="shared" si="97"/>
        <v>797.03565669234899</v>
      </c>
      <c r="AK359" s="30">
        <f t="shared" si="97"/>
        <v>929.87493280774049</v>
      </c>
      <c r="AL359" s="30">
        <f t="shared" si="97"/>
        <v>1062.714208923132</v>
      </c>
      <c r="AM359" s="30">
        <f t="shared" si="97"/>
        <v>1275.2570507077585</v>
      </c>
      <c r="AN359" s="30">
        <f t="shared" si="97"/>
        <v>1487.799892492385</v>
      </c>
      <c r="AO359" s="30">
        <f t="shared" si="97"/>
        <v>1700.3427342770112</v>
      </c>
      <c r="AP359" s="30">
        <f t="shared" si="97"/>
        <v>1912.8855760616377</v>
      </c>
      <c r="AQ359" s="30">
        <f t="shared" si="97"/>
        <v>2125.428417846264</v>
      </c>
      <c r="AR359" s="30">
        <f t="shared" si="97"/>
        <v>2550.514101415517</v>
      </c>
      <c r="AS359" s="30">
        <f t="shared" si="97"/>
        <v>2975.5997849847699</v>
      </c>
      <c r="AT359" s="30">
        <f t="shared" si="97"/>
        <v>3400.6854685540225</v>
      </c>
      <c r="AU359" s="30">
        <f t="shared" si="97"/>
        <v>3825.7711521232754</v>
      </c>
      <c r="AV359" s="30">
        <f t="shared" si="97"/>
        <v>4250.856835692528</v>
      </c>
      <c r="AW359" s="30">
        <f t="shared" si="97"/>
        <v>5101.0282028310339</v>
      </c>
      <c r="AX359" s="30">
        <f t="shared" si="97"/>
        <v>5951.1995699695399</v>
      </c>
      <c r="AY359" s="30">
        <f t="shared" si="97"/>
        <v>6801.3709371080449</v>
      </c>
      <c r="AZ359" s="30">
        <f t="shared" si="97"/>
        <v>7651.5423042465509</v>
      </c>
      <c r="BA359" s="30">
        <f t="shared" si="97"/>
        <v>8501.7136713850559</v>
      </c>
      <c r="BB359" s="30">
        <f t="shared" si="97"/>
        <v>10202.056405662068</v>
      </c>
      <c r="BC359" s="30">
        <f t="shared" si="97"/>
        <v>11902.39913993908</v>
      </c>
      <c r="BD359" s="30">
        <f t="shared" si="97"/>
        <v>13602.74187421609</v>
      </c>
      <c r="BE359" s="30">
        <f t="shared" si="97"/>
        <v>15303.084608493102</v>
      </c>
      <c r="BF359" s="29">
        <f t="shared" si="97"/>
        <v>17003.427342770112</v>
      </c>
      <c r="BG359" s="30">
        <f t="shared" si="97"/>
        <v>34006.854685540224</v>
      </c>
      <c r="BH359" s="30">
        <f t="shared" si="97"/>
        <v>68013.709371080447</v>
      </c>
      <c r="BI359" s="30">
        <f t="shared" si="97"/>
        <v>136027.41874216089</v>
      </c>
      <c r="BJ359" s="30">
        <f t="shared" si="97"/>
        <v>171531.56925282208</v>
      </c>
      <c r="BK359" s="71">
        <f t="shared" si="97"/>
        <v>171531.56925282208</v>
      </c>
      <c r="BL359" s="45"/>
    </row>
    <row r="360" spans="1:64" x14ac:dyDescent="0.25">
      <c r="A360" s="41" t="s">
        <v>17</v>
      </c>
      <c r="B360" s="6">
        <f>'Population by Age - Wikipedia'!D21</f>
        <v>0.13001561499489589</v>
      </c>
      <c r="C360" s="10">
        <f>$B$299*B360</f>
        <v>42978676.778595254</v>
      </c>
      <c r="D360" s="23">
        <f>'AU Infection Rate by Age'!C9</f>
        <v>0.15731947679627306</v>
      </c>
      <c r="E360" s="17"/>
      <c r="F360" s="10"/>
      <c r="G360" s="14"/>
      <c r="H360" s="14"/>
      <c r="I360" s="14"/>
      <c r="J360" s="14"/>
      <c r="K360" s="14"/>
      <c r="L360" s="14"/>
      <c r="M360" s="14"/>
      <c r="N360" s="10"/>
      <c r="O360" s="10"/>
      <c r="P360" s="20">
        <f t="shared" ref="P360:BK360" si="98">P$318*$D$360</f>
        <v>4.9162336498835328</v>
      </c>
      <c r="Q360" s="21">
        <f t="shared" si="98"/>
        <v>9.8324672997670657</v>
      </c>
      <c r="R360" s="21">
        <f t="shared" si="98"/>
        <v>19.664934599534131</v>
      </c>
      <c r="S360" s="21">
        <f t="shared" si="98"/>
        <v>39.329869199068263</v>
      </c>
      <c r="T360" s="21">
        <f t="shared" si="98"/>
        <v>78.659738398136525</v>
      </c>
      <c r="U360" s="21">
        <f t="shared" si="98"/>
        <v>157.31947679627305</v>
      </c>
      <c r="V360" s="21">
        <f t="shared" si="98"/>
        <v>314.6389535925461</v>
      </c>
      <c r="W360" s="21">
        <f t="shared" si="98"/>
        <v>629.2779071850922</v>
      </c>
      <c r="X360" s="21">
        <f t="shared" si="98"/>
        <v>1258.5558143701844</v>
      </c>
      <c r="Y360" s="21">
        <f t="shared" si="98"/>
        <v>2517.1116287403688</v>
      </c>
      <c r="Z360" s="21">
        <f t="shared" si="98"/>
        <v>5034.2232574807376</v>
      </c>
      <c r="AA360" s="21">
        <f t="shared" si="98"/>
        <v>10068.446514961475</v>
      </c>
      <c r="AB360" s="21">
        <f t="shared" si="98"/>
        <v>20136.893029922951</v>
      </c>
      <c r="AC360" s="21">
        <f t="shared" si="98"/>
        <v>40273.786059845901</v>
      </c>
      <c r="AD360" s="21">
        <f t="shared" si="98"/>
        <v>80547.572119691802</v>
      </c>
      <c r="AE360" s="21">
        <f t="shared" si="98"/>
        <v>100684.46514961476</v>
      </c>
      <c r="AF360" s="21">
        <f t="shared" si="98"/>
        <v>120821.35817953771</v>
      </c>
      <c r="AG360" s="21">
        <f t="shared" si="98"/>
        <v>140958.25120946066</v>
      </c>
      <c r="AH360" s="21">
        <f t="shared" si="98"/>
        <v>161095.1442393836</v>
      </c>
      <c r="AI360" s="21">
        <f t="shared" si="98"/>
        <v>206201.78462641104</v>
      </c>
      <c r="AJ360" s="21">
        <f t="shared" si="98"/>
        <v>241642.71635907542</v>
      </c>
      <c r="AK360" s="21">
        <f t="shared" si="98"/>
        <v>281916.50241892133</v>
      </c>
      <c r="AL360" s="21">
        <f t="shared" si="98"/>
        <v>322190.28847876721</v>
      </c>
      <c r="AM360" s="21">
        <f t="shared" si="98"/>
        <v>386628.34617452067</v>
      </c>
      <c r="AN360" s="21">
        <f t="shared" si="98"/>
        <v>451066.40387027414</v>
      </c>
      <c r="AO360" s="21">
        <f t="shared" si="98"/>
        <v>515504.46156602754</v>
      </c>
      <c r="AP360" s="21">
        <f t="shared" si="98"/>
        <v>579942.51926178101</v>
      </c>
      <c r="AQ360" s="21">
        <f t="shared" si="98"/>
        <v>644380.57695753442</v>
      </c>
      <c r="AR360" s="21">
        <f t="shared" si="98"/>
        <v>773256.69234904135</v>
      </c>
      <c r="AS360" s="21">
        <f t="shared" si="98"/>
        <v>902132.80774054828</v>
      </c>
      <c r="AT360" s="21">
        <f t="shared" si="98"/>
        <v>1031008.9231320551</v>
      </c>
      <c r="AU360" s="21">
        <f t="shared" si="98"/>
        <v>1159885.038523562</v>
      </c>
      <c r="AV360" s="21">
        <f t="shared" si="98"/>
        <v>1288761.1539150688</v>
      </c>
      <c r="AW360" s="21">
        <f t="shared" si="98"/>
        <v>1546513.3846980827</v>
      </c>
      <c r="AX360" s="21">
        <f t="shared" si="98"/>
        <v>1804265.6154810966</v>
      </c>
      <c r="AY360" s="21">
        <f t="shared" si="98"/>
        <v>2062017.8462641102</v>
      </c>
      <c r="AZ360" s="21">
        <f t="shared" si="98"/>
        <v>2319770.077047124</v>
      </c>
      <c r="BA360" s="21">
        <f t="shared" si="98"/>
        <v>2577522.3078301377</v>
      </c>
      <c r="BB360" s="21">
        <f t="shared" si="98"/>
        <v>3093026.7693961654</v>
      </c>
      <c r="BC360" s="21">
        <f t="shared" si="98"/>
        <v>3608531.2309621931</v>
      </c>
      <c r="BD360" s="21">
        <f t="shared" si="98"/>
        <v>4124035.6925282204</v>
      </c>
      <c r="BE360" s="21">
        <f t="shared" si="98"/>
        <v>4639540.1540942481</v>
      </c>
      <c r="BF360" s="20">
        <f t="shared" si="98"/>
        <v>5155044.6156602753</v>
      </c>
      <c r="BG360" s="21">
        <f t="shared" si="98"/>
        <v>10310089.231320551</v>
      </c>
      <c r="BH360" s="21">
        <f t="shared" si="98"/>
        <v>20620178.462641101</v>
      </c>
      <c r="BI360" s="21">
        <f t="shared" si="98"/>
        <v>41240356.925282203</v>
      </c>
      <c r="BJ360" s="21">
        <f t="shared" si="98"/>
        <v>52004391.506898403</v>
      </c>
      <c r="BK360" s="72">
        <f t="shared" si="98"/>
        <v>52004391.506898403</v>
      </c>
      <c r="BL360" s="45"/>
    </row>
    <row r="361" spans="1:64" x14ac:dyDescent="0.25">
      <c r="A361" s="41"/>
      <c r="B361" s="6"/>
      <c r="C361" s="10"/>
      <c r="D361" s="8"/>
      <c r="E361" s="27">
        <v>2E-3</v>
      </c>
      <c r="F361" s="10"/>
      <c r="G361" s="10"/>
      <c r="H361" s="10"/>
      <c r="I361" s="10"/>
      <c r="J361" s="10"/>
      <c r="K361" s="10"/>
      <c r="L361" s="10"/>
      <c r="M361" s="10"/>
      <c r="N361" s="10"/>
      <c r="O361" s="10"/>
      <c r="P361" s="29">
        <f t="shared" ref="P361:BK361" si="99">P$318*$D$360*$E$361</f>
        <v>9.8324672997670663E-3</v>
      </c>
      <c r="Q361" s="30">
        <f t="shared" si="99"/>
        <v>1.9664934599534133E-2</v>
      </c>
      <c r="R361" s="30">
        <f t="shared" si="99"/>
        <v>3.9329869199068265E-2</v>
      </c>
      <c r="S361" s="30">
        <f t="shared" si="99"/>
        <v>7.8659738398136531E-2</v>
      </c>
      <c r="T361" s="30">
        <f t="shared" si="99"/>
        <v>0.15731947679627306</v>
      </c>
      <c r="U361" s="30">
        <f t="shared" si="99"/>
        <v>0.31463895359254612</v>
      </c>
      <c r="V361" s="30">
        <f t="shared" si="99"/>
        <v>0.62927790718509224</v>
      </c>
      <c r="W361" s="30">
        <f t="shared" si="99"/>
        <v>1.2585558143701845</v>
      </c>
      <c r="X361" s="30">
        <f t="shared" si="99"/>
        <v>2.517111628740369</v>
      </c>
      <c r="Y361" s="30">
        <f t="shared" si="99"/>
        <v>5.034223257480738</v>
      </c>
      <c r="Z361" s="30">
        <f t="shared" si="99"/>
        <v>10.068446514961476</v>
      </c>
      <c r="AA361" s="30">
        <f t="shared" si="99"/>
        <v>20.136893029922952</v>
      </c>
      <c r="AB361" s="30">
        <f t="shared" si="99"/>
        <v>40.273786059845904</v>
      </c>
      <c r="AC361" s="30">
        <f t="shared" si="99"/>
        <v>80.547572119691807</v>
      </c>
      <c r="AD361" s="30">
        <f t="shared" si="99"/>
        <v>161.09514423938361</v>
      </c>
      <c r="AE361" s="30">
        <f t="shared" si="99"/>
        <v>201.3689302992295</v>
      </c>
      <c r="AF361" s="30">
        <f t="shared" si="99"/>
        <v>241.64271635907542</v>
      </c>
      <c r="AG361" s="30">
        <f t="shared" si="99"/>
        <v>281.91650241892131</v>
      </c>
      <c r="AH361" s="30">
        <f t="shared" si="99"/>
        <v>322.19028847876723</v>
      </c>
      <c r="AI361" s="30">
        <f t="shared" si="99"/>
        <v>412.40356925282208</v>
      </c>
      <c r="AJ361" s="30">
        <f t="shared" si="99"/>
        <v>483.28543271815084</v>
      </c>
      <c r="AK361" s="30">
        <f t="shared" si="99"/>
        <v>563.83300483784262</v>
      </c>
      <c r="AL361" s="30">
        <f t="shared" si="99"/>
        <v>644.38057695753446</v>
      </c>
      <c r="AM361" s="30">
        <f t="shared" si="99"/>
        <v>773.25669234904137</v>
      </c>
      <c r="AN361" s="30">
        <f t="shared" si="99"/>
        <v>902.13280774054829</v>
      </c>
      <c r="AO361" s="30">
        <f t="shared" si="99"/>
        <v>1031.0089231320551</v>
      </c>
      <c r="AP361" s="30">
        <f t="shared" si="99"/>
        <v>1159.8850385235621</v>
      </c>
      <c r="AQ361" s="30">
        <f t="shared" si="99"/>
        <v>1288.7611539150689</v>
      </c>
      <c r="AR361" s="30">
        <f t="shared" si="99"/>
        <v>1546.5133846980827</v>
      </c>
      <c r="AS361" s="30">
        <f t="shared" si="99"/>
        <v>1804.2656154810966</v>
      </c>
      <c r="AT361" s="30">
        <f t="shared" si="99"/>
        <v>2062.0178462641102</v>
      </c>
      <c r="AU361" s="30">
        <f t="shared" si="99"/>
        <v>2319.7700770471242</v>
      </c>
      <c r="AV361" s="30">
        <f t="shared" si="99"/>
        <v>2577.5223078301378</v>
      </c>
      <c r="AW361" s="30">
        <f t="shared" si="99"/>
        <v>3093.0267693961655</v>
      </c>
      <c r="AX361" s="30">
        <f t="shared" si="99"/>
        <v>3608.5312309621931</v>
      </c>
      <c r="AY361" s="30">
        <f t="shared" si="99"/>
        <v>4124.0356925282204</v>
      </c>
      <c r="AZ361" s="30">
        <f t="shared" si="99"/>
        <v>4639.5401540942485</v>
      </c>
      <c r="BA361" s="30">
        <f t="shared" si="99"/>
        <v>5155.0446156602757</v>
      </c>
      <c r="BB361" s="30">
        <f t="shared" si="99"/>
        <v>6186.053538792331</v>
      </c>
      <c r="BC361" s="30">
        <f t="shared" si="99"/>
        <v>7217.0624619243863</v>
      </c>
      <c r="BD361" s="30">
        <f t="shared" si="99"/>
        <v>8248.0713850564407</v>
      </c>
      <c r="BE361" s="30">
        <f t="shared" si="99"/>
        <v>9279.0803081884969</v>
      </c>
      <c r="BF361" s="29">
        <f t="shared" si="99"/>
        <v>10310.089231320551</v>
      </c>
      <c r="BG361" s="30">
        <f t="shared" si="99"/>
        <v>20620.178462641103</v>
      </c>
      <c r="BH361" s="30">
        <f t="shared" si="99"/>
        <v>41240.356925282205</v>
      </c>
      <c r="BI361" s="30">
        <f t="shared" si="99"/>
        <v>82480.713850564411</v>
      </c>
      <c r="BJ361" s="30">
        <f t="shared" si="99"/>
        <v>104008.78301379681</v>
      </c>
      <c r="BK361" s="71">
        <f t="shared" si="99"/>
        <v>104008.78301379681</v>
      </c>
      <c r="BL361" s="45"/>
    </row>
    <row r="362" spans="1:64" x14ac:dyDescent="0.25">
      <c r="A362" s="41" t="s">
        <v>18</v>
      </c>
      <c r="B362" s="6">
        <f>'Population by Age - Wikipedia'!D17</f>
        <v>0.13826223457843137</v>
      </c>
      <c r="C362" s="10">
        <f>$B$299*B362</f>
        <v>45704724.704536453</v>
      </c>
      <c r="D362" s="23">
        <f>'AU Infection Rate by Age'!C10</f>
        <v>0.2160903063967031</v>
      </c>
      <c r="E362" s="17"/>
      <c r="F362" s="10"/>
      <c r="G362" s="10"/>
      <c r="H362" s="10"/>
      <c r="I362" s="10"/>
      <c r="J362" s="10"/>
      <c r="K362" s="10"/>
      <c r="L362" s="10"/>
      <c r="M362" s="10"/>
      <c r="N362" s="10"/>
      <c r="O362" s="10"/>
      <c r="P362" s="20">
        <f t="shared" ref="P362:BK362" si="100">P$318*$D$362</f>
        <v>6.7528220748969714</v>
      </c>
      <c r="Q362" s="21">
        <f t="shared" si="100"/>
        <v>13.505644149793943</v>
      </c>
      <c r="R362" s="21">
        <f t="shared" si="100"/>
        <v>27.011288299587886</v>
      </c>
      <c r="S362" s="21">
        <f t="shared" si="100"/>
        <v>54.022576599175771</v>
      </c>
      <c r="T362" s="21">
        <f t="shared" si="100"/>
        <v>108.04515319835154</v>
      </c>
      <c r="U362" s="21">
        <f t="shared" si="100"/>
        <v>216.09030639670308</v>
      </c>
      <c r="V362" s="21">
        <f t="shared" si="100"/>
        <v>432.18061279340617</v>
      </c>
      <c r="W362" s="21">
        <f t="shared" si="100"/>
        <v>864.36122558681234</v>
      </c>
      <c r="X362" s="21">
        <f t="shared" si="100"/>
        <v>1728.7224511736247</v>
      </c>
      <c r="Y362" s="21">
        <f t="shared" si="100"/>
        <v>3457.4449023472494</v>
      </c>
      <c r="Z362" s="21">
        <f t="shared" si="100"/>
        <v>6914.8898046944987</v>
      </c>
      <c r="AA362" s="21">
        <f t="shared" si="100"/>
        <v>13829.779609388997</v>
      </c>
      <c r="AB362" s="21">
        <f t="shared" si="100"/>
        <v>27659.559218777995</v>
      </c>
      <c r="AC362" s="21">
        <f t="shared" si="100"/>
        <v>55319.11843755599</v>
      </c>
      <c r="AD362" s="21">
        <f t="shared" si="100"/>
        <v>110638.23687511198</v>
      </c>
      <c r="AE362" s="21">
        <f t="shared" si="100"/>
        <v>138297.79609388998</v>
      </c>
      <c r="AF362" s="21">
        <f t="shared" si="100"/>
        <v>165957.35531266799</v>
      </c>
      <c r="AG362" s="21">
        <f t="shared" si="100"/>
        <v>193616.91453144597</v>
      </c>
      <c r="AH362" s="21">
        <f t="shared" si="100"/>
        <v>221276.47375022396</v>
      </c>
      <c r="AI362" s="21">
        <f t="shared" si="100"/>
        <v>283233.88640028669</v>
      </c>
      <c r="AJ362" s="21">
        <f t="shared" si="100"/>
        <v>331914.71062533598</v>
      </c>
      <c r="AK362" s="21">
        <f t="shared" si="100"/>
        <v>387233.82906289195</v>
      </c>
      <c r="AL362" s="21">
        <f t="shared" si="100"/>
        <v>442552.94750044792</v>
      </c>
      <c r="AM362" s="21">
        <f t="shared" si="100"/>
        <v>531063.5370005375</v>
      </c>
      <c r="AN362" s="21">
        <f t="shared" si="100"/>
        <v>619574.12650062714</v>
      </c>
      <c r="AO362" s="21">
        <f t="shared" si="100"/>
        <v>708084.71600071667</v>
      </c>
      <c r="AP362" s="21">
        <f t="shared" si="100"/>
        <v>796595.30550080631</v>
      </c>
      <c r="AQ362" s="21">
        <f t="shared" si="100"/>
        <v>885105.89500089583</v>
      </c>
      <c r="AR362" s="21">
        <f t="shared" si="100"/>
        <v>1062127.074001075</v>
      </c>
      <c r="AS362" s="21">
        <f t="shared" si="100"/>
        <v>1239148.2530012543</v>
      </c>
      <c r="AT362" s="21">
        <f t="shared" si="100"/>
        <v>1416169.4320014333</v>
      </c>
      <c r="AU362" s="21">
        <f t="shared" si="100"/>
        <v>1593190.6110016126</v>
      </c>
      <c r="AV362" s="21">
        <f t="shared" si="100"/>
        <v>1770211.7900017917</v>
      </c>
      <c r="AW362" s="21">
        <f t="shared" si="100"/>
        <v>2124254.14800215</v>
      </c>
      <c r="AX362" s="21">
        <f t="shared" si="100"/>
        <v>2478296.5060025086</v>
      </c>
      <c r="AY362" s="21">
        <f t="shared" si="100"/>
        <v>2832338.8640028667</v>
      </c>
      <c r="AZ362" s="21">
        <f t="shared" si="100"/>
        <v>3186381.2220032252</v>
      </c>
      <c r="BA362" s="21">
        <f t="shared" si="100"/>
        <v>3540423.5800035833</v>
      </c>
      <c r="BB362" s="21">
        <f t="shared" si="100"/>
        <v>4248508.2960043</v>
      </c>
      <c r="BC362" s="21">
        <f t="shared" si="100"/>
        <v>4956593.0120050171</v>
      </c>
      <c r="BD362" s="21">
        <f t="shared" si="100"/>
        <v>5664677.7280057333</v>
      </c>
      <c r="BE362" s="21">
        <f t="shared" si="100"/>
        <v>6372762.4440064505</v>
      </c>
      <c r="BF362" s="20">
        <f t="shared" si="100"/>
        <v>7080847.1600071667</v>
      </c>
      <c r="BG362" s="21">
        <f t="shared" si="100"/>
        <v>14161694.320014333</v>
      </c>
      <c r="BH362" s="21">
        <f t="shared" si="100"/>
        <v>28323388.640028667</v>
      </c>
      <c r="BI362" s="21">
        <f t="shared" si="100"/>
        <v>56646777.280057333</v>
      </c>
      <c r="BJ362" s="21">
        <f t="shared" si="100"/>
        <v>71432000.179179356</v>
      </c>
      <c r="BK362" s="72">
        <f t="shared" si="100"/>
        <v>71432000.179179356</v>
      </c>
      <c r="BL362" s="45"/>
    </row>
    <row r="363" spans="1:64" x14ac:dyDescent="0.25">
      <c r="A363" s="41"/>
      <c r="B363" s="6"/>
      <c r="C363" s="10"/>
      <c r="D363" s="8"/>
      <c r="E363" s="27">
        <v>2E-3</v>
      </c>
      <c r="F363" s="10"/>
      <c r="G363" s="10"/>
      <c r="H363" s="10"/>
      <c r="I363" s="10"/>
      <c r="J363" s="10"/>
      <c r="K363" s="10"/>
      <c r="L363" s="10"/>
      <c r="M363" s="10"/>
      <c r="N363" s="10"/>
      <c r="O363" s="10"/>
      <c r="P363" s="29">
        <f t="shared" ref="P363:BK363" si="101">P$318*$D$362*$E$363</f>
        <v>1.3505644149793944E-2</v>
      </c>
      <c r="Q363" s="30">
        <f t="shared" si="101"/>
        <v>2.7011288299587887E-2</v>
      </c>
      <c r="R363" s="30">
        <f t="shared" si="101"/>
        <v>5.4022576599175774E-2</v>
      </c>
      <c r="S363" s="30">
        <f t="shared" si="101"/>
        <v>0.10804515319835155</v>
      </c>
      <c r="T363" s="30">
        <f t="shared" si="101"/>
        <v>0.2160903063967031</v>
      </c>
      <c r="U363" s="30">
        <f t="shared" si="101"/>
        <v>0.43218061279340619</v>
      </c>
      <c r="V363" s="30">
        <f t="shared" si="101"/>
        <v>0.86436122558681239</v>
      </c>
      <c r="W363" s="30">
        <f t="shared" si="101"/>
        <v>1.7287224511736248</v>
      </c>
      <c r="X363" s="30">
        <f t="shared" si="101"/>
        <v>3.4574449023472495</v>
      </c>
      <c r="Y363" s="30">
        <f t="shared" si="101"/>
        <v>6.9148898046944991</v>
      </c>
      <c r="Z363" s="30">
        <f t="shared" si="101"/>
        <v>13.829779609388998</v>
      </c>
      <c r="AA363" s="30">
        <f t="shared" si="101"/>
        <v>27.659559218777996</v>
      </c>
      <c r="AB363" s="30">
        <f t="shared" si="101"/>
        <v>55.319118437555993</v>
      </c>
      <c r="AC363" s="30">
        <f t="shared" si="101"/>
        <v>110.63823687511199</v>
      </c>
      <c r="AD363" s="30">
        <f t="shared" si="101"/>
        <v>221.27647375022397</v>
      </c>
      <c r="AE363" s="30">
        <f t="shared" si="101"/>
        <v>276.59559218777997</v>
      </c>
      <c r="AF363" s="30">
        <f t="shared" si="101"/>
        <v>331.914710625336</v>
      </c>
      <c r="AG363" s="30">
        <f t="shared" si="101"/>
        <v>387.23382906289197</v>
      </c>
      <c r="AH363" s="30">
        <f t="shared" si="101"/>
        <v>442.55294750044794</v>
      </c>
      <c r="AI363" s="30">
        <f t="shared" si="101"/>
        <v>566.46777280057336</v>
      </c>
      <c r="AJ363" s="30">
        <f t="shared" si="101"/>
        <v>663.829421250672</v>
      </c>
      <c r="AK363" s="30">
        <f t="shared" si="101"/>
        <v>774.46765812578394</v>
      </c>
      <c r="AL363" s="30">
        <f t="shared" si="101"/>
        <v>885.10589500089588</v>
      </c>
      <c r="AM363" s="30">
        <f t="shared" si="101"/>
        <v>1062.127074001075</v>
      </c>
      <c r="AN363" s="30">
        <f t="shared" si="101"/>
        <v>1239.1482530012543</v>
      </c>
      <c r="AO363" s="30">
        <f t="shared" si="101"/>
        <v>1416.1694320014333</v>
      </c>
      <c r="AP363" s="30">
        <f t="shared" si="101"/>
        <v>1593.1906110016128</v>
      </c>
      <c r="AQ363" s="30">
        <f t="shared" si="101"/>
        <v>1770.2117900017918</v>
      </c>
      <c r="AR363" s="30">
        <f t="shared" si="101"/>
        <v>2124.25414800215</v>
      </c>
      <c r="AS363" s="30">
        <f t="shared" si="101"/>
        <v>2478.2965060025085</v>
      </c>
      <c r="AT363" s="30">
        <f t="shared" si="101"/>
        <v>2832.3388640028666</v>
      </c>
      <c r="AU363" s="30">
        <f t="shared" si="101"/>
        <v>3186.3812220032255</v>
      </c>
      <c r="AV363" s="30">
        <f t="shared" si="101"/>
        <v>3540.4235800035835</v>
      </c>
      <c r="AW363" s="30">
        <f t="shared" si="101"/>
        <v>4248.5082960043001</v>
      </c>
      <c r="AX363" s="30">
        <f t="shared" si="101"/>
        <v>4956.593012005017</v>
      </c>
      <c r="AY363" s="30">
        <f t="shared" si="101"/>
        <v>5664.6777280057331</v>
      </c>
      <c r="AZ363" s="30">
        <f t="shared" si="101"/>
        <v>6372.762444006451</v>
      </c>
      <c r="BA363" s="30">
        <f t="shared" si="101"/>
        <v>7080.8471600071671</v>
      </c>
      <c r="BB363" s="30">
        <f t="shared" si="101"/>
        <v>8497.0165920086001</v>
      </c>
      <c r="BC363" s="30">
        <f t="shared" si="101"/>
        <v>9913.1860240100341</v>
      </c>
      <c r="BD363" s="30">
        <f t="shared" si="101"/>
        <v>11329.355456011466</v>
      </c>
      <c r="BE363" s="30">
        <f t="shared" si="101"/>
        <v>12745.524888012902</v>
      </c>
      <c r="BF363" s="29">
        <f t="shared" si="101"/>
        <v>14161.694320014334</v>
      </c>
      <c r="BG363" s="30">
        <f t="shared" si="101"/>
        <v>28323.388640028668</v>
      </c>
      <c r="BH363" s="30">
        <f t="shared" si="101"/>
        <v>56646.777280057337</v>
      </c>
      <c r="BI363" s="30">
        <f t="shared" si="101"/>
        <v>113293.55456011467</v>
      </c>
      <c r="BJ363" s="30">
        <f t="shared" si="101"/>
        <v>142864.00035835872</v>
      </c>
      <c r="BK363" s="71">
        <f t="shared" si="101"/>
        <v>142864.00035835872</v>
      </c>
      <c r="BL363" s="45"/>
    </row>
    <row r="364" spans="1:64" x14ac:dyDescent="0.25">
      <c r="A364" s="42" t="s">
        <v>19</v>
      </c>
      <c r="B364" s="6">
        <f>'Population by Age - Wikipedia'!D13</f>
        <v>0.13835839467257338</v>
      </c>
      <c r="C364" s="10">
        <f>$B$299*B364</f>
        <v>45736511.914136559</v>
      </c>
      <c r="D364" s="23">
        <f>'AU Infection Rate by Age'!C11</f>
        <v>2.8847876724601325E-2</v>
      </c>
      <c r="E364" s="17"/>
      <c r="F364" s="10"/>
      <c r="G364" s="10"/>
      <c r="H364" s="10"/>
      <c r="I364" s="10"/>
      <c r="J364" s="10"/>
      <c r="K364" s="10"/>
      <c r="L364" s="10"/>
      <c r="M364" s="10"/>
      <c r="N364" s="10"/>
      <c r="O364" s="10"/>
      <c r="P364" s="20">
        <f t="shared" ref="P364:BK364" si="102">P$318*$D$364</f>
        <v>0.90149614764379138</v>
      </c>
      <c r="Q364" s="21">
        <f t="shared" si="102"/>
        <v>1.8029922952875828</v>
      </c>
      <c r="R364" s="21">
        <f t="shared" si="102"/>
        <v>3.6059845905751655</v>
      </c>
      <c r="S364" s="21">
        <f t="shared" si="102"/>
        <v>7.211969181150331</v>
      </c>
      <c r="T364" s="21">
        <f t="shared" si="102"/>
        <v>14.423938362300662</v>
      </c>
      <c r="U364" s="21">
        <f t="shared" si="102"/>
        <v>28.847876724601324</v>
      </c>
      <c r="V364" s="21">
        <f t="shared" si="102"/>
        <v>57.695753449202648</v>
      </c>
      <c r="W364" s="21">
        <f t="shared" si="102"/>
        <v>115.3915068984053</v>
      </c>
      <c r="X364" s="21">
        <f t="shared" si="102"/>
        <v>230.78301379681059</v>
      </c>
      <c r="Y364" s="21">
        <f t="shared" si="102"/>
        <v>461.56602759362119</v>
      </c>
      <c r="Z364" s="21">
        <f t="shared" si="102"/>
        <v>923.13205518724237</v>
      </c>
      <c r="AA364" s="21">
        <f t="shared" si="102"/>
        <v>1846.2641103744847</v>
      </c>
      <c r="AB364" s="21">
        <f t="shared" si="102"/>
        <v>3692.5282207489695</v>
      </c>
      <c r="AC364" s="21">
        <f t="shared" si="102"/>
        <v>7385.056441497939</v>
      </c>
      <c r="AD364" s="21">
        <f t="shared" si="102"/>
        <v>14770.112882995878</v>
      </c>
      <c r="AE364" s="21">
        <f t="shared" si="102"/>
        <v>18462.641103744849</v>
      </c>
      <c r="AF364" s="21">
        <f t="shared" si="102"/>
        <v>22155.169324493818</v>
      </c>
      <c r="AG364" s="21">
        <f t="shared" si="102"/>
        <v>25847.697545242787</v>
      </c>
      <c r="AH364" s="21">
        <f t="shared" si="102"/>
        <v>29540.225765991756</v>
      </c>
      <c r="AI364" s="21">
        <f t="shared" si="102"/>
        <v>37811.488980469447</v>
      </c>
      <c r="AJ364" s="21">
        <f t="shared" si="102"/>
        <v>44310.338648987636</v>
      </c>
      <c r="AK364" s="21">
        <f t="shared" si="102"/>
        <v>51695.395090485574</v>
      </c>
      <c r="AL364" s="21">
        <f t="shared" si="102"/>
        <v>59080.451531983512</v>
      </c>
      <c r="AM364" s="21">
        <f t="shared" si="102"/>
        <v>70896.541838380217</v>
      </c>
      <c r="AN364" s="21">
        <f t="shared" si="102"/>
        <v>82712.632144776915</v>
      </c>
      <c r="AO364" s="21">
        <f t="shared" si="102"/>
        <v>94528.722451173628</v>
      </c>
      <c r="AP364" s="21">
        <f t="shared" si="102"/>
        <v>106344.81275757033</v>
      </c>
      <c r="AQ364" s="21">
        <f t="shared" si="102"/>
        <v>118160.90306396702</v>
      </c>
      <c r="AR364" s="21">
        <f t="shared" si="102"/>
        <v>141793.08367676043</v>
      </c>
      <c r="AS364" s="21">
        <f t="shared" si="102"/>
        <v>165425.26428955383</v>
      </c>
      <c r="AT364" s="21">
        <f t="shared" si="102"/>
        <v>189057.44490234726</v>
      </c>
      <c r="AU364" s="21">
        <f t="shared" si="102"/>
        <v>212689.62551514065</v>
      </c>
      <c r="AV364" s="21">
        <f t="shared" si="102"/>
        <v>236321.80612793405</v>
      </c>
      <c r="AW364" s="21">
        <f t="shared" si="102"/>
        <v>283586.16735352087</v>
      </c>
      <c r="AX364" s="21">
        <f t="shared" si="102"/>
        <v>330850.52857910766</v>
      </c>
      <c r="AY364" s="21">
        <f t="shared" si="102"/>
        <v>378114.88980469451</v>
      </c>
      <c r="AZ364" s="21">
        <f t="shared" si="102"/>
        <v>425379.2510302813</v>
      </c>
      <c r="BA364" s="21">
        <f t="shared" si="102"/>
        <v>472643.61225586809</v>
      </c>
      <c r="BB364" s="21">
        <f t="shared" si="102"/>
        <v>567172.33470704174</v>
      </c>
      <c r="BC364" s="21">
        <f t="shared" si="102"/>
        <v>661701.05715821532</v>
      </c>
      <c r="BD364" s="21">
        <f t="shared" si="102"/>
        <v>756229.77960938902</v>
      </c>
      <c r="BE364" s="21">
        <f t="shared" si="102"/>
        <v>850758.50206056261</v>
      </c>
      <c r="BF364" s="20">
        <f t="shared" si="102"/>
        <v>945287.22451173619</v>
      </c>
      <c r="BG364" s="21">
        <f t="shared" si="102"/>
        <v>1890574.4490234724</v>
      </c>
      <c r="BH364" s="21">
        <f t="shared" si="102"/>
        <v>3781148.8980469448</v>
      </c>
      <c r="BI364" s="21">
        <f t="shared" si="102"/>
        <v>7562297.7960938895</v>
      </c>
      <c r="BJ364" s="21">
        <f t="shared" si="102"/>
        <v>9536112.7934061997</v>
      </c>
      <c r="BK364" s="72">
        <f t="shared" si="102"/>
        <v>9536112.7934061997</v>
      </c>
      <c r="BL364" s="45"/>
    </row>
    <row r="365" spans="1:64" x14ac:dyDescent="0.25">
      <c r="A365" s="42"/>
      <c r="B365" s="6"/>
      <c r="C365" s="10"/>
      <c r="D365" s="8"/>
      <c r="E365" s="27">
        <v>2E-3</v>
      </c>
      <c r="F365" s="10"/>
      <c r="G365" s="10"/>
      <c r="H365" s="10"/>
      <c r="I365" s="10"/>
      <c r="J365" s="10"/>
      <c r="K365" s="10"/>
      <c r="L365" s="10"/>
      <c r="M365" s="10"/>
      <c r="N365" s="10"/>
      <c r="O365" s="10"/>
      <c r="P365" s="29">
        <f t="shared" ref="P365:BK365" si="103">P$318*$D$364*$E$365</f>
        <v>1.8029922952875828E-3</v>
      </c>
      <c r="Q365" s="30">
        <f t="shared" si="103"/>
        <v>3.6059845905751656E-3</v>
      </c>
      <c r="R365" s="30">
        <f t="shared" si="103"/>
        <v>7.2119691811503312E-3</v>
      </c>
      <c r="S365" s="30">
        <f t="shared" si="103"/>
        <v>1.4423938362300662E-2</v>
      </c>
      <c r="T365" s="30">
        <f t="shared" si="103"/>
        <v>2.8847876724601325E-2</v>
      </c>
      <c r="U365" s="30">
        <f t="shared" si="103"/>
        <v>5.769575344920265E-2</v>
      </c>
      <c r="V365" s="30">
        <f t="shared" si="103"/>
        <v>0.1153915068984053</v>
      </c>
      <c r="W365" s="30">
        <f t="shared" si="103"/>
        <v>0.2307830137968106</v>
      </c>
      <c r="X365" s="30">
        <f t="shared" si="103"/>
        <v>0.4615660275936212</v>
      </c>
      <c r="Y365" s="30">
        <f t="shared" si="103"/>
        <v>0.9231320551872424</v>
      </c>
      <c r="Z365" s="30">
        <f t="shared" si="103"/>
        <v>1.8462641103744848</v>
      </c>
      <c r="AA365" s="30">
        <f t="shared" si="103"/>
        <v>3.6925282207489696</v>
      </c>
      <c r="AB365" s="30">
        <f t="shared" si="103"/>
        <v>7.3850564414979392</v>
      </c>
      <c r="AC365" s="30">
        <f t="shared" si="103"/>
        <v>14.770112882995878</v>
      </c>
      <c r="AD365" s="30">
        <f t="shared" si="103"/>
        <v>29.540225765991757</v>
      </c>
      <c r="AE365" s="30">
        <f t="shared" si="103"/>
        <v>36.925282207489701</v>
      </c>
      <c r="AF365" s="30">
        <f t="shared" si="103"/>
        <v>44.310338648987639</v>
      </c>
      <c r="AG365" s="30">
        <f t="shared" si="103"/>
        <v>51.695395090485576</v>
      </c>
      <c r="AH365" s="30">
        <f t="shared" si="103"/>
        <v>59.080451531983513</v>
      </c>
      <c r="AI365" s="30">
        <f t="shared" si="103"/>
        <v>75.622977960938897</v>
      </c>
      <c r="AJ365" s="30">
        <f t="shared" si="103"/>
        <v>88.620677297975277</v>
      </c>
      <c r="AK365" s="30">
        <f t="shared" si="103"/>
        <v>103.39079018097115</v>
      </c>
      <c r="AL365" s="30">
        <f t="shared" si="103"/>
        <v>118.16090306396703</v>
      </c>
      <c r="AM365" s="30">
        <f t="shared" si="103"/>
        <v>141.79308367676043</v>
      </c>
      <c r="AN365" s="30">
        <f t="shared" si="103"/>
        <v>165.42526428955384</v>
      </c>
      <c r="AO365" s="30">
        <f t="shared" si="103"/>
        <v>189.05744490234727</v>
      </c>
      <c r="AP365" s="30">
        <f t="shared" si="103"/>
        <v>212.68962551514065</v>
      </c>
      <c r="AQ365" s="30">
        <f t="shared" si="103"/>
        <v>236.32180612793405</v>
      </c>
      <c r="AR365" s="30">
        <f t="shared" si="103"/>
        <v>283.58616735352086</v>
      </c>
      <c r="AS365" s="30">
        <f t="shared" si="103"/>
        <v>330.85052857910767</v>
      </c>
      <c r="AT365" s="30">
        <f t="shared" si="103"/>
        <v>378.11488980469454</v>
      </c>
      <c r="AU365" s="30">
        <f t="shared" si="103"/>
        <v>425.3792510302813</v>
      </c>
      <c r="AV365" s="30">
        <f t="shared" si="103"/>
        <v>472.64361225586811</v>
      </c>
      <c r="AW365" s="30">
        <f t="shared" si="103"/>
        <v>567.17233470704173</v>
      </c>
      <c r="AX365" s="30">
        <f t="shared" si="103"/>
        <v>661.70105715821535</v>
      </c>
      <c r="AY365" s="30">
        <f t="shared" si="103"/>
        <v>756.22977960938908</v>
      </c>
      <c r="AZ365" s="30">
        <f t="shared" si="103"/>
        <v>850.75850206056259</v>
      </c>
      <c r="BA365" s="30">
        <f t="shared" si="103"/>
        <v>945.28722451173621</v>
      </c>
      <c r="BB365" s="30">
        <f t="shared" si="103"/>
        <v>1134.3446694140835</v>
      </c>
      <c r="BC365" s="30">
        <f t="shared" si="103"/>
        <v>1323.4021143164307</v>
      </c>
      <c r="BD365" s="30">
        <f t="shared" si="103"/>
        <v>1512.4595592187782</v>
      </c>
      <c r="BE365" s="30">
        <f t="shared" si="103"/>
        <v>1701.5170041211252</v>
      </c>
      <c r="BF365" s="29">
        <f t="shared" si="103"/>
        <v>1890.5744490234724</v>
      </c>
      <c r="BG365" s="30">
        <f t="shared" si="103"/>
        <v>3781.1488980469449</v>
      </c>
      <c r="BH365" s="30">
        <f t="shared" si="103"/>
        <v>7562.2977960938897</v>
      </c>
      <c r="BI365" s="30">
        <f t="shared" si="103"/>
        <v>15124.595592187779</v>
      </c>
      <c r="BJ365" s="30">
        <f t="shared" si="103"/>
        <v>19072.225586812401</v>
      </c>
      <c r="BK365" s="71">
        <f t="shared" si="103"/>
        <v>19072.225586812401</v>
      </c>
      <c r="BL365" s="45"/>
    </row>
    <row r="366" spans="1:64" x14ac:dyDescent="0.25">
      <c r="A366" s="42" t="s">
        <v>20</v>
      </c>
      <c r="B366" s="6">
        <f>'Population by Age - Wikipedia'!D9</f>
        <v>0.13133799200038965</v>
      </c>
      <c r="C366" s="10">
        <f>$B$299*B366</f>
        <v>43415808.994604804</v>
      </c>
      <c r="D366" s="23">
        <f>'AU Infection Rate by Age'!C12</f>
        <v>9.8548647195843032E-3</v>
      </c>
      <c r="E366" s="17"/>
      <c r="F366" s="10"/>
      <c r="G366" s="10"/>
      <c r="H366" s="10"/>
      <c r="I366" s="10"/>
      <c r="J366" s="10"/>
      <c r="K366" s="10"/>
      <c r="L366" s="10"/>
      <c r="M366" s="10"/>
      <c r="N366" s="10"/>
      <c r="O366" s="10"/>
      <c r="P366" s="20">
        <f t="shared" ref="P366:BK366" si="104">P$318*$D$366</f>
        <v>0.30796452248700945</v>
      </c>
      <c r="Q366" s="21">
        <f t="shared" si="104"/>
        <v>0.6159290449740189</v>
      </c>
      <c r="R366" s="21">
        <f t="shared" si="104"/>
        <v>1.2318580899480378</v>
      </c>
      <c r="S366" s="21">
        <f t="shared" si="104"/>
        <v>2.4637161798960756</v>
      </c>
      <c r="T366" s="21">
        <f t="shared" si="104"/>
        <v>4.9274323597921512</v>
      </c>
      <c r="U366" s="21">
        <f t="shared" si="104"/>
        <v>9.8548647195843024</v>
      </c>
      <c r="V366" s="21">
        <f t="shared" si="104"/>
        <v>19.709729439168605</v>
      </c>
      <c r="W366" s="21">
        <f t="shared" si="104"/>
        <v>39.41945887833721</v>
      </c>
      <c r="X366" s="21">
        <f t="shared" si="104"/>
        <v>78.838917756674419</v>
      </c>
      <c r="Y366" s="21">
        <f t="shared" si="104"/>
        <v>157.67783551334884</v>
      </c>
      <c r="Z366" s="21">
        <f t="shared" si="104"/>
        <v>315.35567102669768</v>
      </c>
      <c r="AA366" s="21">
        <f t="shared" si="104"/>
        <v>630.71134205339536</v>
      </c>
      <c r="AB366" s="21">
        <f t="shared" si="104"/>
        <v>1261.4226841067907</v>
      </c>
      <c r="AC366" s="21">
        <f t="shared" si="104"/>
        <v>2522.8453682135814</v>
      </c>
      <c r="AD366" s="21">
        <f t="shared" si="104"/>
        <v>5045.6907364271628</v>
      </c>
      <c r="AE366" s="21">
        <f t="shared" si="104"/>
        <v>6307.113420533954</v>
      </c>
      <c r="AF366" s="21">
        <f t="shared" si="104"/>
        <v>7568.5361046407452</v>
      </c>
      <c r="AG366" s="21">
        <f t="shared" si="104"/>
        <v>8829.9587887475354</v>
      </c>
      <c r="AH366" s="21">
        <f t="shared" si="104"/>
        <v>10091.381472854326</v>
      </c>
      <c r="AI366" s="21">
        <f t="shared" si="104"/>
        <v>12916.968285253537</v>
      </c>
      <c r="AJ366" s="21">
        <f t="shared" si="104"/>
        <v>15137.07220928149</v>
      </c>
      <c r="AK366" s="21">
        <f t="shared" si="104"/>
        <v>17659.917577495071</v>
      </c>
      <c r="AL366" s="21">
        <f t="shared" si="104"/>
        <v>20182.762945708651</v>
      </c>
      <c r="AM366" s="21">
        <f t="shared" si="104"/>
        <v>24219.315534850382</v>
      </c>
      <c r="AN366" s="21">
        <f t="shared" si="104"/>
        <v>28255.868123992113</v>
      </c>
      <c r="AO366" s="21">
        <f t="shared" si="104"/>
        <v>32292.420713133844</v>
      </c>
      <c r="AP366" s="21">
        <f t="shared" si="104"/>
        <v>36328.973302275575</v>
      </c>
      <c r="AQ366" s="21">
        <f t="shared" si="104"/>
        <v>40365.525891417303</v>
      </c>
      <c r="AR366" s="21">
        <f t="shared" si="104"/>
        <v>48438.631069700765</v>
      </c>
      <c r="AS366" s="21">
        <f t="shared" si="104"/>
        <v>56511.736247984227</v>
      </c>
      <c r="AT366" s="21">
        <f t="shared" si="104"/>
        <v>64584.841426267689</v>
      </c>
      <c r="AU366" s="21">
        <f t="shared" si="104"/>
        <v>72657.946604551151</v>
      </c>
      <c r="AV366" s="21">
        <f t="shared" si="104"/>
        <v>80731.051782834606</v>
      </c>
      <c r="AW366" s="21">
        <f t="shared" si="104"/>
        <v>96877.26213940153</v>
      </c>
      <c r="AX366" s="21">
        <f t="shared" si="104"/>
        <v>113023.47249596845</v>
      </c>
      <c r="AY366" s="21">
        <f t="shared" si="104"/>
        <v>129169.68285253538</v>
      </c>
      <c r="AZ366" s="21">
        <f t="shared" si="104"/>
        <v>145315.8932091023</v>
      </c>
      <c r="BA366" s="21">
        <f t="shared" si="104"/>
        <v>161462.10356566921</v>
      </c>
      <c r="BB366" s="21">
        <f t="shared" si="104"/>
        <v>193754.52427880306</v>
      </c>
      <c r="BC366" s="21">
        <f t="shared" si="104"/>
        <v>226046.94499193691</v>
      </c>
      <c r="BD366" s="21">
        <f t="shared" si="104"/>
        <v>258339.36570507076</v>
      </c>
      <c r="BE366" s="21">
        <f t="shared" si="104"/>
        <v>290631.7864182046</v>
      </c>
      <c r="BF366" s="20">
        <f t="shared" si="104"/>
        <v>322924.20713133842</v>
      </c>
      <c r="BG366" s="21">
        <f t="shared" si="104"/>
        <v>645848.41426267684</v>
      </c>
      <c r="BH366" s="21">
        <f t="shared" si="104"/>
        <v>1291696.8285253537</v>
      </c>
      <c r="BI366" s="21">
        <f t="shared" si="104"/>
        <v>2583393.6570507074</v>
      </c>
      <c r="BJ366" s="21">
        <f t="shared" si="104"/>
        <v>3257678.2834617449</v>
      </c>
      <c r="BK366" s="72">
        <f t="shared" si="104"/>
        <v>3257678.2834617449</v>
      </c>
      <c r="BL366" s="45"/>
    </row>
    <row r="367" spans="1:64" x14ac:dyDescent="0.25">
      <c r="A367" s="42"/>
      <c r="B367" s="7"/>
      <c r="C367" s="11"/>
      <c r="D367" s="26"/>
      <c r="E367" s="28">
        <v>0</v>
      </c>
      <c r="F367" s="10"/>
      <c r="G367" s="10"/>
      <c r="H367" s="10"/>
      <c r="I367" s="10"/>
      <c r="J367" s="10"/>
      <c r="K367" s="10"/>
      <c r="L367" s="10"/>
      <c r="M367" s="10"/>
      <c r="N367" s="10"/>
      <c r="O367" s="10"/>
      <c r="P367" s="31">
        <f t="shared" ref="P367:BK367" si="105">P$318*$D$366*$E$367</f>
        <v>0</v>
      </c>
      <c r="Q367" s="32">
        <f t="shared" si="105"/>
        <v>0</v>
      </c>
      <c r="R367" s="32">
        <f t="shared" si="105"/>
        <v>0</v>
      </c>
      <c r="S367" s="32">
        <f t="shared" si="105"/>
        <v>0</v>
      </c>
      <c r="T367" s="32">
        <f t="shared" si="105"/>
        <v>0</v>
      </c>
      <c r="U367" s="32">
        <f t="shared" si="105"/>
        <v>0</v>
      </c>
      <c r="V367" s="32">
        <f t="shared" si="105"/>
        <v>0</v>
      </c>
      <c r="W367" s="32">
        <f t="shared" si="105"/>
        <v>0</v>
      </c>
      <c r="X367" s="32">
        <f t="shared" si="105"/>
        <v>0</v>
      </c>
      <c r="Y367" s="32">
        <f t="shared" si="105"/>
        <v>0</v>
      </c>
      <c r="Z367" s="32">
        <f t="shared" si="105"/>
        <v>0</v>
      </c>
      <c r="AA367" s="32">
        <f t="shared" si="105"/>
        <v>0</v>
      </c>
      <c r="AB367" s="32">
        <f t="shared" si="105"/>
        <v>0</v>
      </c>
      <c r="AC367" s="32">
        <f t="shared" si="105"/>
        <v>0</v>
      </c>
      <c r="AD367" s="32">
        <f t="shared" si="105"/>
        <v>0</v>
      </c>
      <c r="AE367" s="32">
        <f t="shared" si="105"/>
        <v>0</v>
      </c>
      <c r="AF367" s="32">
        <f t="shared" si="105"/>
        <v>0</v>
      </c>
      <c r="AG367" s="32">
        <f t="shared" si="105"/>
        <v>0</v>
      </c>
      <c r="AH367" s="32">
        <f t="shared" si="105"/>
        <v>0</v>
      </c>
      <c r="AI367" s="32">
        <f t="shared" si="105"/>
        <v>0</v>
      </c>
      <c r="AJ367" s="32">
        <f t="shared" si="105"/>
        <v>0</v>
      </c>
      <c r="AK367" s="32">
        <f t="shared" si="105"/>
        <v>0</v>
      </c>
      <c r="AL367" s="32">
        <f t="shared" si="105"/>
        <v>0</v>
      </c>
      <c r="AM367" s="32">
        <f t="shared" si="105"/>
        <v>0</v>
      </c>
      <c r="AN367" s="32">
        <f t="shared" si="105"/>
        <v>0</v>
      </c>
      <c r="AO367" s="32">
        <f t="shared" si="105"/>
        <v>0</v>
      </c>
      <c r="AP367" s="32">
        <f t="shared" si="105"/>
        <v>0</v>
      </c>
      <c r="AQ367" s="32">
        <f t="shared" si="105"/>
        <v>0</v>
      </c>
      <c r="AR367" s="32">
        <f t="shared" si="105"/>
        <v>0</v>
      </c>
      <c r="AS367" s="32">
        <f t="shared" si="105"/>
        <v>0</v>
      </c>
      <c r="AT367" s="32">
        <f t="shared" si="105"/>
        <v>0</v>
      </c>
      <c r="AU367" s="32">
        <f t="shared" si="105"/>
        <v>0</v>
      </c>
      <c r="AV367" s="32">
        <f t="shared" si="105"/>
        <v>0</v>
      </c>
      <c r="AW367" s="32">
        <f t="shared" si="105"/>
        <v>0</v>
      </c>
      <c r="AX367" s="32">
        <f t="shared" si="105"/>
        <v>0</v>
      </c>
      <c r="AY367" s="32">
        <f t="shared" si="105"/>
        <v>0</v>
      </c>
      <c r="AZ367" s="32">
        <f t="shared" si="105"/>
        <v>0</v>
      </c>
      <c r="BA367" s="32">
        <f t="shared" si="105"/>
        <v>0</v>
      </c>
      <c r="BB367" s="32">
        <f t="shared" si="105"/>
        <v>0</v>
      </c>
      <c r="BC367" s="32">
        <f t="shared" si="105"/>
        <v>0</v>
      </c>
      <c r="BD367" s="32">
        <f t="shared" si="105"/>
        <v>0</v>
      </c>
      <c r="BE367" s="32">
        <f t="shared" si="105"/>
        <v>0</v>
      </c>
      <c r="BF367" s="29">
        <f t="shared" si="105"/>
        <v>0</v>
      </c>
      <c r="BG367" s="30">
        <f t="shared" si="105"/>
        <v>0</v>
      </c>
      <c r="BH367" s="30">
        <f t="shared" si="105"/>
        <v>0</v>
      </c>
      <c r="BI367" s="30">
        <f t="shared" si="105"/>
        <v>0</v>
      </c>
      <c r="BJ367" s="30">
        <f t="shared" si="105"/>
        <v>0</v>
      </c>
      <c r="BK367" s="71">
        <f t="shared" si="105"/>
        <v>0</v>
      </c>
      <c r="BL367" s="45"/>
    </row>
    <row r="368" spans="1:64" x14ac:dyDescent="0.25">
      <c r="A368" s="41" t="s">
        <v>39</v>
      </c>
      <c r="B368" s="14"/>
      <c r="C368" s="10"/>
      <c r="D368" s="10"/>
      <c r="E368" s="15"/>
      <c r="F368" s="10"/>
      <c r="G368" s="10"/>
      <c r="H368" s="10"/>
      <c r="I368" s="10"/>
      <c r="J368" s="10"/>
      <c r="K368" s="10"/>
      <c r="L368" s="10"/>
      <c r="M368" s="10"/>
      <c r="N368" s="10"/>
      <c r="O368" s="10"/>
      <c r="P368" s="18">
        <f t="shared" ref="P368:AP368" si="106">SUM(P350,P352,P354,P356,P358,P360,P362,P364,P366)</f>
        <v>31.249999999999996</v>
      </c>
      <c r="Q368" s="19">
        <f t="shared" si="106"/>
        <v>62.499999999999993</v>
      </c>
      <c r="R368" s="19">
        <f t="shared" si="106"/>
        <v>124.99999999999999</v>
      </c>
      <c r="S368" s="19">
        <f t="shared" si="106"/>
        <v>249.99999999999997</v>
      </c>
      <c r="T368" s="19">
        <f t="shared" si="106"/>
        <v>499.99999999999994</v>
      </c>
      <c r="U368" s="19">
        <f>SUM(U350,U352,U354,U356,U358,U360,U362,U364,U366)</f>
        <v>999.99999999999989</v>
      </c>
      <c r="V368" s="19">
        <f t="shared" si="106"/>
        <v>1999.9999999999998</v>
      </c>
      <c r="W368" s="19">
        <f t="shared" si="106"/>
        <v>3999.9999999999995</v>
      </c>
      <c r="X368" s="19">
        <f t="shared" si="106"/>
        <v>7999.9999999999991</v>
      </c>
      <c r="Y368" s="19">
        <f t="shared" si="106"/>
        <v>15999.999999999998</v>
      </c>
      <c r="Z368" s="19">
        <f t="shared" si="106"/>
        <v>31999.999999999996</v>
      </c>
      <c r="AA368" s="19">
        <f t="shared" si="106"/>
        <v>63999.999999999993</v>
      </c>
      <c r="AB368" s="19">
        <f t="shared" si="106"/>
        <v>127999.99999999999</v>
      </c>
      <c r="AC368" s="19">
        <f t="shared" si="106"/>
        <v>255999.99999999997</v>
      </c>
      <c r="AD368" s="19">
        <f t="shared" si="106"/>
        <v>511999.99999999994</v>
      </c>
      <c r="AE368" s="19">
        <f t="shared" ref="AE368:AG368" si="107">SUM(AE350,AE352,AE354,AE356,AE358,AE360,AE362,AE364,AE366)</f>
        <v>640000</v>
      </c>
      <c r="AF368" s="19">
        <f t="shared" si="107"/>
        <v>768000</v>
      </c>
      <c r="AG368" s="19">
        <f t="shared" si="107"/>
        <v>895999.99999999988</v>
      </c>
      <c r="AH368" s="19">
        <f t="shared" si="106"/>
        <v>1023999.9999999999</v>
      </c>
      <c r="AI368" s="19">
        <f t="shared" ref="AI368:AK368" si="108">SUM(AI350,AI352,AI354,AI356,AI358,AI360,AI362,AI364,AI366)</f>
        <v>1310720</v>
      </c>
      <c r="AJ368" s="19">
        <f t="shared" si="108"/>
        <v>1536000</v>
      </c>
      <c r="AK368" s="19">
        <f t="shared" si="108"/>
        <v>1791999.9999999998</v>
      </c>
      <c r="AL368" s="19">
        <f t="shared" si="106"/>
        <v>2047999.9999999998</v>
      </c>
      <c r="AM368" s="19">
        <f t="shared" si="106"/>
        <v>2457600</v>
      </c>
      <c r="AN368" s="19">
        <f t="shared" si="106"/>
        <v>2867200</v>
      </c>
      <c r="AO368" s="19">
        <f t="shared" si="106"/>
        <v>3276799.9999999995</v>
      </c>
      <c r="AP368" s="19">
        <f t="shared" si="106"/>
        <v>3686400</v>
      </c>
      <c r="AQ368" s="19">
        <f t="shared" ref="AQ368:BA369" si="109">SUM(AQ350,AQ352,AQ354,AQ356,AQ358,AQ360,AQ362,AQ364,AQ366)</f>
        <v>4095999.9999999995</v>
      </c>
      <c r="AR368" s="19">
        <f t="shared" ref="AR368:AU368" si="110">SUM(AR350,AR352,AR354,AR356,AR358,AR360,AR362,AR364,AR366)</f>
        <v>4915200</v>
      </c>
      <c r="AS368" s="19">
        <f t="shared" si="110"/>
        <v>5734400</v>
      </c>
      <c r="AT368" s="19">
        <f t="shared" si="110"/>
        <v>6553599.9999999991</v>
      </c>
      <c r="AU368" s="19">
        <f t="shared" si="110"/>
        <v>7372800</v>
      </c>
      <c r="AV368" s="19">
        <f t="shared" si="109"/>
        <v>8191999.9999999991</v>
      </c>
      <c r="AW368" s="19">
        <f t="shared" ref="AW368:AZ368" si="111">SUM(AW350,AW352,AW354,AW356,AW358,AW360,AW362,AW364,AW366)</f>
        <v>9830400</v>
      </c>
      <c r="AX368" s="19">
        <f t="shared" si="111"/>
        <v>11468800</v>
      </c>
      <c r="AY368" s="19">
        <f t="shared" si="111"/>
        <v>13107199.999999998</v>
      </c>
      <c r="AZ368" s="19">
        <f t="shared" si="111"/>
        <v>14745600</v>
      </c>
      <c r="BA368" s="19">
        <f t="shared" si="109"/>
        <v>16383999.999999998</v>
      </c>
      <c r="BB368" s="19">
        <f t="shared" ref="BB368:BE368" si="112">SUM(BB350,BB352,BB354,BB356,BB358,BB360,BB362,BB364,BB366)</f>
        <v>19660800</v>
      </c>
      <c r="BC368" s="19">
        <f t="shared" si="112"/>
        <v>22937600</v>
      </c>
      <c r="BD368" s="19">
        <f t="shared" si="112"/>
        <v>26214399.999999996</v>
      </c>
      <c r="BE368" s="19">
        <f t="shared" si="112"/>
        <v>29491200</v>
      </c>
      <c r="BF368" s="18">
        <f t="shared" ref="BF368:BK368" si="113">SUM(BF350,BF352,BF354,BF356,BF358,BF360,BF362,BF364,BF366)</f>
        <v>32767999.999999996</v>
      </c>
      <c r="BG368" s="19">
        <f t="shared" si="113"/>
        <v>65535999.999999993</v>
      </c>
      <c r="BH368" s="19">
        <f t="shared" si="113"/>
        <v>131071999.99999999</v>
      </c>
      <c r="BI368" s="19">
        <f t="shared" si="113"/>
        <v>262143999.99999997</v>
      </c>
      <c r="BJ368" s="19">
        <f t="shared" si="113"/>
        <v>330565499.99999994</v>
      </c>
      <c r="BK368" s="60">
        <f t="shared" si="113"/>
        <v>330565499.99999994</v>
      </c>
      <c r="BL368" s="45"/>
    </row>
    <row r="369" spans="1:64" x14ac:dyDescent="0.25">
      <c r="A369" s="43" t="s">
        <v>38</v>
      </c>
      <c r="B369" s="44"/>
      <c r="C369" s="11"/>
      <c r="D369" s="11"/>
      <c r="E369" s="38"/>
      <c r="F369" s="11"/>
      <c r="G369" s="11"/>
      <c r="H369" s="11"/>
      <c r="I369" s="11"/>
      <c r="J369" s="11"/>
      <c r="K369" s="11"/>
      <c r="L369" s="11"/>
      <c r="M369" s="11"/>
      <c r="N369" s="11"/>
      <c r="O369" s="11"/>
      <c r="P369" s="31">
        <f>SUM(P351,P353,P355,P357,P359,P361,P363,P365,P367)</f>
        <v>0.69269060204264477</v>
      </c>
      <c r="Q369" s="32">
        <f>SUM(Q351,Q353,Q355,Q357,Q359,Q361,Q363,Q365,Q367)</f>
        <v>1.3853812040852895</v>
      </c>
      <c r="R369" s="32">
        <f t="shared" ref="R369:AP369" si="114">SUM(R351,R353,R355,R357,R359,R361,R363,R365,R367)</f>
        <v>2.7707624081705791</v>
      </c>
      <c r="S369" s="32">
        <f t="shared" si="114"/>
        <v>5.5415248163411581</v>
      </c>
      <c r="T369" s="32">
        <f t="shared" si="114"/>
        <v>11.083049632682316</v>
      </c>
      <c r="U369" s="32">
        <f t="shared" si="114"/>
        <v>22.166099265364632</v>
      </c>
      <c r="V369" s="32">
        <f t="shared" si="114"/>
        <v>44.332198530729265</v>
      </c>
      <c r="W369" s="32">
        <f t="shared" si="114"/>
        <v>88.66439706145853</v>
      </c>
      <c r="X369" s="32">
        <f t="shared" si="114"/>
        <v>177.32879412291706</v>
      </c>
      <c r="Y369" s="32">
        <f t="shared" si="114"/>
        <v>354.65758824583412</v>
      </c>
      <c r="Z369" s="32">
        <f t="shared" si="114"/>
        <v>709.31517649166824</v>
      </c>
      <c r="AA369" s="32">
        <f t="shared" si="114"/>
        <v>1418.6303529833365</v>
      </c>
      <c r="AB369" s="32">
        <f t="shared" si="114"/>
        <v>2837.260705966673</v>
      </c>
      <c r="AC369" s="32">
        <f t="shared" si="114"/>
        <v>5674.5214119333459</v>
      </c>
      <c r="AD369" s="32">
        <f t="shared" si="114"/>
        <v>11349.042823866692</v>
      </c>
      <c r="AE369" s="32">
        <f t="shared" ref="AE369:AG369" si="115">SUM(AE351,AE353,AE355,AE357,AE359,AE361,AE363,AE365,AE367)</f>
        <v>14186.303529833365</v>
      </c>
      <c r="AF369" s="32">
        <f t="shared" si="115"/>
        <v>17023.564235800037</v>
      </c>
      <c r="AG369" s="32">
        <f t="shared" si="115"/>
        <v>19860.824941766703</v>
      </c>
      <c r="AH369" s="32">
        <f t="shared" si="114"/>
        <v>22698.085647733384</v>
      </c>
      <c r="AI369" s="32">
        <f t="shared" ref="AI369:AK369" si="116">SUM(AI351,AI353,AI355,AI357,AI359,AI361,AI363,AI365,AI367)</f>
        <v>29053.549629098728</v>
      </c>
      <c r="AJ369" s="32">
        <f t="shared" si="116"/>
        <v>34047.128471600074</v>
      </c>
      <c r="AK369" s="32">
        <f t="shared" si="116"/>
        <v>39721.649883533406</v>
      </c>
      <c r="AL369" s="32">
        <f t="shared" si="114"/>
        <v>45396.171295466767</v>
      </c>
      <c r="AM369" s="32">
        <f t="shared" si="114"/>
        <v>54475.405554560122</v>
      </c>
      <c r="AN369" s="32">
        <f t="shared" si="114"/>
        <v>63554.639813653455</v>
      </c>
      <c r="AO369" s="32">
        <f t="shared" si="114"/>
        <v>72633.874072746825</v>
      </c>
      <c r="AP369" s="32">
        <f t="shared" si="114"/>
        <v>81713.108331840151</v>
      </c>
      <c r="AQ369" s="32">
        <f t="shared" si="109"/>
        <v>90792.342590933535</v>
      </c>
      <c r="AR369" s="32">
        <f t="shared" ref="AR369:AU369" si="117">SUM(AR351,AR353,AR355,AR357,AR359,AR361,AR363,AR365,AR367)</f>
        <v>108950.81110912024</v>
      </c>
      <c r="AS369" s="32">
        <f t="shared" si="117"/>
        <v>127109.27962730691</v>
      </c>
      <c r="AT369" s="32">
        <f t="shared" si="117"/>
        <v>145267.74814549365</v>
      </c>
      <c r="AU369" s="32">
        <f t="shared" si="117"/>
        <v>163426.2166636803</v>
      </c>
      <c r="AV369" s="32">
        <f t="shared" si="109"/>
        <v>181584.68518186707</v>
      </c>
      <c r="AW369" s="32">
        <f t="shared" ref="AW369:AZ369" si="118">SUM(AW351,AW353,AW355,AW357,AW359,AW361,AW363,AW365,AW367)</f>
        <v>217901.62221824049</v>
      </c>
      <c r="AX369" s="32">
        <f t="shared" si="118"/>
        <v>254218.55925461382</v>
      </c>
      <c r="AY369" s="32">
        <f t="shared" si="118"/>
        <v>290535.4962909873</v>
      </c>
      <c r="AZ369" s="32">
        <f t="shared" si="118"/>
        <v>326852.4333273606</v>
      </c>
      <c r="BA369" s="32">
        <f t="shared" si="109"/>
        <v>363169.37036373414</v>
      </c>
      <c r="BB369" s="32">
        <f t="shared" ref="BB369:BE369" si="119">SUM(BB351,BB353,BB355,BB357,BB359,BB361,BB363,BB365,BB367)</f>
        <v>435803.24443648098</v>
      </c>
      <c r="BC369" s="32">
        <f t="shared" si="119"/>
        <v>508437.11850922764</v>
      </c>
      <c r="BD369" s="32">
        <f t="shared" si="119"/>
        <v>581070.9925819746</v>
      </c>
      <c r="BE369" s="32">
        <f t="shared" si="119"/>
        <v>653704.86665472121</v>
      </c>
      <c r="BF369" s="31">
        <f t="shared" ref="BF369:BK369" si="120">SUM(BF351,BF353,BF355,BF357,BF359,BF361,BF363,BF365,BF367)</f>
        <v>726338.74072746828</v>
      </c>
      <c r="BG369" s="32">
        <f t="shared" si="120"/>
        <v>1452677.4814549366</v>
      </c>
      <c r="BH369" s="32">
        <f t="shared" si="120"/>
        <v>2905354.9629098731</v>
      </c>
      <c r="BI369" s="32">
        <f t="shared" si="120"/>
        <v>5810709.9258197462</v>
      </c>
      <c r="BJ369" s="32">
        <f t="shared" si="120"/>
        <v>7327347.6867048908</v>
      </c>
      <c r="BK369" s="73">
        <f t="shared" si="120"/>
        <v>7327347.6867048908</v>
      </c>
      <c r="BL369" s="45"/>
    </row>
    <row r="370" spans="1:64" x14ac:dyDescent="0.25">
      <c r="A370" s="42"/>
      <c r="B370" s="14"/>
      <c r="C370" s="10"/>
      <c r="D370" s="10"/>
      <c r="E370" s="15"/>
      <c r="F370" s="10"/>
      <c r="G370" s="10"/>
      <c r="H370" s="10"/>
      <c r="I370" s="10"/>
      <c r="J370" s="10"/>
      <c r="K370" s="10"/>
      <c r="L370" s="10"/>
      <c r="M370" s="10"/>
      <c r="N370" s="10"/>
      <c r="O370" s="10"/>
      <c r="P370" s="45"/>
      <c r="Q370" s="45"/>
      <c r="R370" s="45"/>
      <c r="S370" s="45"/>
      <c r="T370" s="45"/>
      <c r="U370" s="45"/>
      <c r="V370" s="45"/>
      <c r="W370" s="45"/>
      <c r="X370" s="45"/>
      <c r="Y370" s="45"/>
      <c r="Z370" s="45"/>
      <c r="AA370" s="45"/>
      <c r="AB370" s="45"/>
      <c r="AC370" s="45"/>
      <c r="AD370" s="45"/>
      <c r="AE370" s="45"/>
      <c r="AF370" s="45"/>
      <c r="AG370" s="45"/>
      <c r="AH370" s="45"/>
      <c r="AI370" s="45"/>
      <c r="AJ370" s="45"/>
      <c r="AK370" s="45"/>
      <c r="AL370" s="45"/>
      <c r="AM370" s="45"/>
      <c r="AN370" s="45"/>
      <c r="AO370" s="45"/>
      <c r="AP370" s="45"/>
      <c r="AQ370" s="45"/>
      <c r="AR370" s="45"/>
      <c r="AS370" s="45"/>
      <c r="AT370" s="45"/>
      <c r="AU370" s="45"/>
    </row>
    <row r="371" spans="1:64" x14ac:dyDescent="0.25">
      <c r="A371" s="54" t="s">
        <v>50</v>
      </c>
      <c r="B371" s="14"/>
      <c r="C371" s="10"/>
      <c r="D371" s="10"/>
      <c r="E371" s="15"/>
      <c r="F371" s="10"/>
      <c r="G371" s="10"/>
      <c r="H371" s="10"/>
      <c r="I371" s="10"/>
      <c r="J371" s="10"/>
      <c r="K371" s="10"/>
      <c r="L371" s="10"/>
      <c r="M371" s="10"/>
      <c r="N371" s="10"/>
      <c r="O371" s="10"/>
      <c r="P371" s="45"/>
      <c r="Q371" s="45"/>
      <c r="R371" s="45"/>
      <c r="S371" s="45"/>
      <c r="T371" s="45"/>
      <c r="U371" s="45"/>
      <c r="V371" s="45"/>
      <c r="W371" s="45"/>
      <c r="X371" s="45"/>
      <c r="Y371" s="45"/>
      <c r="Z371" s="45"/>
      <c r="AA371" s="45"/>
      <c r="AB371" s="45"/>
      <c r="AC371" s="45"/>
      <c r="AD371" s="45"/>
      <c r="AE371" s="45"/>
      <c r="AF371" s="45"/>
      <c r="AG371" s="45"/>
      <c r="AH371" s="45"/>
      <c r="AI371" s="45"/>
      <c r="AJ371" s="45"/>
      <c r="AK371" s="45"/>
      <c r="AL371" s="45"/>
      <c r="AM371" s="45"/>
      <c r="AN371" s="45"/>
      <c r="AO371" s="45"/>
      <c r="AP371" s="45"/>
      <c r="AQ371" s="45"/>
      <c r="AR371" s="45"/>
      <c r="AS371" s="45"/>
      <c r="AT371" s="45"/>
      <c r="AU371" s="45"/>
    </row>
    <row r="372" spans="1:64" x14ac:dyDescent="0.25">
      <c r="A372" s="4"/>
      <c r="B372" s="9" t="s">
        <v>5</v>
      </c>
      <c r="C372" s="9" t="s">
        <v>3</v>
      </c>
      <c r="D372" s="9"/>
      <c r="E372" s="59" t="s">
        <v>2</v>
      </c>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c r="AW372" s="9"/>
      <c r="AX372" s="9"/>
      <c r="AY372" s="9"/>
      <c r="AZ372" s="9"/>
      <c r="BA372" s="9"/>
      <c r="BB372" s="9"/>
      <c r="BC372" s="9"/>
      <c r="BD372" s="9"/>
      <c r="BE372" s="9"/>
      <c r="BF372" s="9"/>
      <c r="BG372" s="9"/>
      <c r="BH372" s="9"/>
      <c r="BI372" s="9"/>
      <c r="BJ372" s="9"/>
      <c r="BK372" s="5"/>
      <c r="BL372" s="47"/>
    </row>
    <row r="373" spans="1:64" x14ac:dyDescent="0.25">
      <c r="A373" s="48" t="s">
        <v>1</v>
      </c>
      <c r="B373" s="24">
        <v>0.36799999999999999</v>
      </c>
      <c r="C373" s="10">
        <f>$B$299 * B373</f>
        <v>121648104</v>
      </c>
      <c r="D373" s="16"/>
      <c r="E373" s="16"/>
      <c r="F373" s="16"/>
      <c r="G373" s="16"/>
      <c r="H373" s="16"/>
      <c r="I373" s="16"/>
      <c r="J373" s="16"/>
      <c r="K373" s="16"/>
      <c r="L373" s="16"/>
      <c r="M373" s="16"/>
      <c r="N373" s="16"/>
      <c r="O373" s="16"/>
      <c r="P373" s="18">
        <f t="shared" ref="P373:BK373" si="121">P$318*$B$373</f>
        <v>11.5</v>
      </c>
      <c r="Q373" s="19">
        <f t="shared" si="121"/>
        <v>23</v>
      </c>
      <c r="R373" s="19">
        <f t="shared" si="121"/>
        <v>46</v>
      </c>
      <c r="S373" s="19">
        <f t="shared" si="121"/>
        <v>92</v>
      </c>
      <c r="T373" s="19">
        <f t="shared" si="121"/>
        <v>184</v>
      </c>
      <c r="U373" s="19">
        <f t="shared" si="121"/>
        <v>368</v>
      </c>
      <c r="V373" s="19">
        <f t="shared" si="121"/>
        <v>736</v>
      </c>
      <c r="W373" s="19">
        <f t="shared" si="121"/>
        <v>1472</v>
      </c>
      <c r="X373" s="19">
        <f t="shared" si="121"/>
        <v>2944</v>
      </c>
      <c r="Y373" s="19">
        <f t="shared" si="121"/>
        <v>5888</v>
      </c>
      <c r="Z373" s="19">
        <f t="shared" si="121"/>
        <v>11776</v>
      </c>
      <c r="AA373" s="19">
        <f t="shared" si="121"/>
        <v>23552</v>
      </c>
      <c r="AB373" s="19">
        <f t="shared" si="121"/>
        <v>47104</v>
      </c>
      <c r="AC373" s="19">
        <f t="shared" si="121"/>
        <v>94208</v>
      </c>
      <c r="AD373" s="19">
        <f t="shared" si="121"/>
        <v>188416</v>
      </c>
      <c r="AE373" s="19">
        <f t="shared" si="121"/>
        <v>235520</v>
      </c>
      <c r="AF373" s="19">
        <f t="shared" si="121"/>
        <v>282624</v>
      </c>
      <c r="AG373" s="19">
        <f t="shared" si="121"/>
        <v>329728</v>
      </c>
      <c r="AH373" s="19">
        <f t="shared" si="121"/>
        <v>376832</v>
      </c>
      <c r="AI373" s="19">
        <f t="shared" si="121"/>
        <v>482344.95999999996</v>
      </c>
      <c r="AJ373" s="19">
        <f t="shared" si="121"/>
        <v>565248</v>
      </c>
      <c r="AK373" s="19">
        <f t="shared" si="121"/>
        <v>659456</v>
      </c>
      <c r="AL373" s="19">
        <f t="shared" si="121"/>
        <v>753664</v>
      </c>
      <c r="AM373" s="19">
        <f t="shared" si="121"/>
        <v>904396.79999999993</v>
      </c>
      <c r="AN373" s="19">
        <f t="shared" si="121"/>
        <v>1055129.6000000001</v>
      </c>
      <c r="AO373" s="19">
        <f t="shared" si="121"/>
        <v>1205862.3999999999</v>
      </c>
      <c r="AP373" s="19">
        <f t="shared" si="121"/>
        <v>1356595.2</v>
      </c>
      <c r="AQ373" s="19">
        <f t="shared" si="121"/>
        <v>1507328</v>
      </c>
      <c r="AR373" s="19">
        <f t="shared" si="121"/>
        <v>1808793.5999999999</v>
      </c>
      <c r="AS373" s="19">
        <f t="shared" si="121"/>
        <v>2110259.2000000002</v>
      </c>
      <c r="AT373" s="19">
        <f t="shared" si="121"/>
        <v>2411724.7999999998</v>
      </c>
      <c r="AU373" s="19">
        <f t="shared" si="121"/>
        <v>2713190.3999999999</v>
      </c>
      <c r="AV373" s="19">
        <f t="shared" si="121"/>
        <v>3014656</v>
      </c>
      <c r="AW373" s="19">
        <f t="shared" si="121"/>
        <v>3617587.1999999997</v>
      </c>
      <c r="AX373" s="19">
        <f t="shared" si="121"/>
        <v>4220518.4000000004</v>
      </c>
      <c r="AY373" s="19">
        <f t="shared" si="121"/>
        <v>4823449.5999999996</v>
      </c>
      <c r="AZ373" s="19">
        <f t="shared" si="121"/>
        <v>5426380.7999999998</v>
      </c>
      <c r="BA373" s="19">
        <f t="shared" si="121"/>
        <v>6029312</v>
      </c>
      <c r="BB373" s="19">
        <f t="shared" si="121"/>
        <v>7235174.3999999994</v>
      </c>
      <c r="BC373" s="19">
        <f t="shared" si="121"/>
        <v>8441036.8000000007</v>
      </c>
      <c r="BD373" s="19">
        <f t="shared" si="121"/>
        <v>9646899.1999999993</v>
      </c>
      <c r="BE373" s="19">
        <f t="shared" si="121"/>
        <v>10852761.6</v>
      </c>
      <c r="BF373" s="18">
        <f t="shared" si="121"/>
        <v>12058624</v>
      </c>
      <c r="BG373" s="19">
        <f t="shared" si="121"/>
        <v>24117248</v>
      </c>
      <c r="BH373" s="19">
        <f t="shared" si="121"/>
        <v>48234496</v>
      </c>
      <c r="BI373" s="19">
        <f t="shared" si="121"/>
        <v>96468992</v>
      </c>
      <c r="BJ373" s="19">
        <f t="shared" si="121"/>
        <v>121648104</v>
      </c>
      <c r="BK373" s="60">
        <f t="shared" si="121"/>
        <v>121648104</v>
      </c>
      <c r="BL373" s="45"/>
    </row>
    <row r="374" spans="1:64" x14ac:dyDescent="0.25">
      <c r="A374" s="48"/>
      <c r="B374" s="16"/>
      <c r="C374" s="16"/>
      <c r="D374" s="25"/>
      <c r="E374" s="46">
        <v>0.105</v>
      </c>
      <c r="F374" s="16"/>
      <c r="G374" s="16"/>
      <c r="H374" s="16"/>
      <c r="I374" s="16"/>
      <c r="J374" s="16"/>
      <c r="K374" s="16"/>
      <c r="L374" s="16"/>
      <c r="M374" s="16"/>
      <c r="N374" s="16"/>
      <c r="O374" s="16"/>
      <c r="P374" s="29">
        <f>P373*$E$374</f>
        <v>1.2075</v>
      </c>
      <c r="Q374" s="30">
        <f t="shared" ref="Q374:AP374" si="122">Q373*$E$374</f>
        <v>2.415</v>
      </c>
      <c r="R374" s="30">
        <f t="shared" si="122"/>
        <v>4.83</v>
      </c>
      <c r="S374" s="30">
        <f t="shared" si="122"/>
        <v>9.66</v>
      </c>
      <c r="T374" s="30">
        <f t="shared" si="122"/>
        <v>19.32</v>
      </c>
      <c r="U374" s="30">
        <f t="shared" si="122"/>
        <v>38.64</v>
      </c>
      <c r="V374" s="30">
        <f t="shared" si="122"/>
        <v>77.28</v>
      </c>
      <c r="W374" s="30">
        <f t="shared" si="122"/>
        <v>154.56</v>
      </c>
      <c r="X374" s="30">
        <f t="shared" si="122"/>
        <v>309.12</v>
      </c>
      <c r="Y374" s="30">
        <f t="shared" si="122"/>
        <v>618.24</v>
      </c>
      <c r="Z374" s="30">
        <f t="shared" si="122"/>
        <v>1236.48</v>
      </c>
      <c r="AA374" s="30">
        <f t="shared" si="122"/>
        <v>2472.96</v>
      </c>
      <c r="AB374" s="30">
        <f t="shared" si="122"/>
        <v>4945.92</v>
      </c>
      <c r="AC374" s="30">
        <f t="shared" si="122"/>
        <v>9891.84</v>
      </c>
      <c r="AD374" s="30">
        <f t="shared" si="122"/>
        <v>19783.68</v>
      </c>
      <c r="AE374" s="30">
        <f t="shared" ref="AE374:AG374" si="123">AE373*$E$374</f>
        <v>24729.599999999999</v>
      </c>
      <c r="AF374" s="30">
        <f t="shared" si="123"/>
        <v>29675.52</v>
      </c>
      <c r="AG374" s="30">
        <f t="shared" si="123"/>
        <v>34621.440000000002</v>
      </c>
      <c r="AH374" s="30">
        <f t="shared" si="122"/>
        <v>39567.360000000001</v>
      </c>
      <c r="AI374" s="30">
        <f t="shared" ref="AI374:AK374" si="124">AI373*$E$374</f>
        <v>50646.220799999996</v>
      </c>
      <c r="AJ374" s="30">
        <f t="shared" si="124"/>
        <v>59351.040000000001</v>
      </c>
      <c r="AK374" s="30">
        <f t="shared" si="124"/>
        <v>69242.880000000005</v>
      </c>
      <c r="AL374" s="30">
        <f t="shared" si="122"/>
        <v>79134.720000000001</v>
      </c>
      <c r="AM374" s="30">
        <f t="shared" si="122"/>
        <v>94961.66399999999</v>
      </c>
      <c r="AN374" s="30">
        <f t="shared" si="122"/>
        <v>110788.60800000001</v>
      </c>
      <c r="AO374" s="30">
        <f t="shared" si="122"/>
        <v>126615.55199999998</v>
      </c>
      <c r="AP374" s="30">
        <f t="shared" si="122"/>
        <v>142442.49599999998</v>
      </c>
      <c r="AQ374" s="30">
        <f>AQ373*$E$374</f>
        <v>158269.44</v>
      </c>
      <c r="AR374" s="30">
        <f t="shared" ref="AR374:AU374" si="125">AR373*$E$374</f>
        <v>189923.32799999998</v>
      </c>
      <c r="AS374" s="30">
        <f t="shared" si="125"/>
        <v>221577.21600000001</v>
      </c>
      <c r="AT374" s="30">
        <f t="shared" si="125"/>
        <v>253231.10399999996</v>
      </c>
      <c r="AU374" s="30">
        <f t="shared" si="125"/>
        <v>284884.99199999997</v>
      </c>
      <c r="AV374" s="30">
        <f>AV373*$E$374</f>
        <v>316538.88</v>
      </c>
      <c r="AW374" s="30">
        <f t="shared" ref="AW374:AZ374" si="126">AW373*$E$374</f>
        <v>379846.65599999996</v>
      </c>
      <c r="AX374" s="30">
        <f t="shared" si="126"/>
        <v>443154.43200000003</v>
      </c>
      <c r="AY374" s="30">
        <f t="shared" si="126"/>
        <v>506462.20799999993</v>
      </c>
      <c r="AZ374" s="30">
        <f t="shared" si="126"/>
        <v>569769.98399999994</v>
      </c>
      <c r="BA374" s="30">
        <f>BA373*$E$374</f>
        <v>633077.76000000001</v>
      </c>
      <c r="BB374" s="30">
        <f t="shared" ref="BB374:BE374" si="127">BB373*$E$374</f>
        <v>759693.31199999992</v>
      </c>
      <c r="BC374" s="30">
        <f t="shared" si="127"/>
        <v>886308.86400000006</v>
      </c>
      <c r="BD374" s="30">
        <f t="shared" si="127"/>
        <v>1012924.4159999999</v>
      </c>
      <c r="BE374" s="30">
        <f t="shared" si="127"/>
        <v>1139539.9679999999</v>
      </c>
      <c r="BF374" s="29">
        <f t="shared" ref="BF374:BK374" si="128">BF373*$E$374</f>
        <v>1266155.52</v>
      </c>
      <c r="BG374" s="30">
        <f t="shared" si="128"/>
        <v>2532311.04</v>
      </c>
      <c r="BH374" s="30">
        <f t="shared" si="128"/>
        <v>5064622.0800000001</v>
      </c>
      <c r="BI374" s="30">
        <f t="shared" si="128"/>
        <v>10129244.16</v>
      </c>
      <c r="BJ374" s="30">
        <f t="shared" si="128"/>
        <v>12773050.92</v>
      </c>
      <c r="BK374" s="71">
        <f t="shared" si="128"/>
        <v>12773050.92</v>
      </c>
      <c r="BL374" s="45"/>
    </row>
    <row r="375" spans="1:64" x14ac:dyDescent="0.25">
      <c r="A375" s="48" t="s">
        <v>4</v>
      </c>
      <c r="B375" s="24">
        <v>9.8000000000000004E-2</v>
      </c>
      <c r="C375" s="10">
        <f>$B$299 * B375</f>
        <v>32395419</v>
      </c>
      <c r="D375" s="47"/>
      <c r="E375" s="16"/>
      <c r="F375" s="16"/>
      <c r="G375" s="16"/>
      <c r="H375" s="16"/>
      <c r="I375" s="16"/>
      <c r="J375" s="16"/>
      <c r="K375" s="16"/>
      <c r="L375" s="16"/>
      <c r="M375" s="16"/>
      <c r="N375" s="16"/>
      <c r="O375" s="16"/>
      <c r="P375" s="20">
        <f t="shared" ref="P375:BK375" si="129">P$318*$B$375</f>
        <v>3.0625</v>
      </c>
      <c r="Q375" s="21">
        <f t="shared" si="129"/>
        <v>6.125</v>
      </c>
      <c r="R375" s="21">
        <f t="shared" si="129"/>
        <v>12.25</v>
      </c>
      <c r="S375" s="21">
        <f t="shared" si="129"/>
        <v>24.5</v>
      </c>
      <c r="T375" s="21">
        <f t="shared" si="129"/>
        <v>49</v>
      </c>
      <c r="U375" s="21">
        <f t="shared" si="129"/>
        <v>98</v>
      </c>
      <c r="V375" s="21">
        <f t="shared" si="129"/>
        <v>196</v>
      </c>
      <c r="W375" s="21">
        <f t="shared" si="129"/>
        <v>392</v>
      </c>
      <c r="X375" s="21">
        <f t="shared" si="129"/>
        <v>784</v>
      </c>
      <c r="Y375" s="21">
        <f t="shared" si="129"/>
        <v>1568</v>
      </c>
      <c r="Z375" s="21">
        <f t="shared" si="129"/>
        <v>3136</v>
      </c>
      <c r="AA375" s="21">
        <f t="shared" si="129"/>
        <v>6272</v>
      </c>
      <c r="AB375" s="21">
        <f t="shared" si="129"/>
        <v>12544</v>
      </c>
      <c r="AC375" s="21">
        <f t="shared" si="129"/>
        <v>25088</v>
      </c>
      <c r="AD375" s="21">
        <f t="shared" si="129"/>
        <v>50176</v>
      </c>
      <c r="AE375" s="21">
        <f t="shared" si="129"/>
        <v>62720</v>
      </c>
      <c r="AF375" s="21">
        <f t="shared" si="129"/>
        <v>75264</v>
      </c>
      <c r="AG375" s="21">
        <f t="shared" si="129"/>
        <v>87808</v>
      </c>
      <c r="AH375" s="21">
        <f t="shared" si="129"/>
        <v>100352</v>
      </c>
      <c r="AI375" s="21">
        <f t="shared" si="129"/>
        <v>128450.56</v>
      </c>
      <c r="AJ375" s="21">
        <f t="shared" si="129"/>
        <v>150528</v>
      </c>
      <c r="AK375" s="21">
        <f t="shared" si="129"/>
        <v>175616</v>
      </c>
      <c r="AL375" s="21">
        <f t="shared" si="129"/>
        <v>200704</v>
      </c>
      <c r="AM375" s="21">
        <f t="shared" si="129"/>
        <v>240844.80000000002</v>
      </c>
      <c r="AN375" s="21">
        <f t="shared" si="129"/>
        <v>280985.60000000003</v>
      </c>
      <c r="AO375" s="21">
        <f t="shared" si="129"/>
        <v>321126.40000000002</v>
      </c>
      <c r="AP375" s="21">
        <f t="shared" si="129"/>
        <v>361267.20000000001</v>
      </c>
      <c r="AQ375" s="21">
        <f t="shared" si="129"/>
        <v>401408</v>
      </c>
      <c r="AR375" s="21">
        <f t="shared" si="129"/>
        <v>481689.60000000003</v>
      </c>
      <c r="AS375" s="21">
        <f t="shared" si="129"/>
        <v>561971.20000000007</v>
      </c>
      <c r="AT375" s="21">
        <f t="shared" si="129"/>
        <v>642252.80000000005</v>
      </c>
      <c r="AU375" s="21">
        <f t="shared" si="129"/>
        <v>722534.40000000002</v>
      </c>
      <c r="AV375" s="21">
        <f t="shared" si="129"/>
        <v>802816</v>
      </c>
      <c r="AW375" s="21">
        <f t="shared" si="129"/>
        <v>963379.20000000007</v>
      </c>
      <c r="AX375" s="21">
        <f t="shared" si="129"/>
        <v>1123942.4000000001</v>
      </c>
      <c r="AY375" s="21">
        <f t="shared" si="129"/>
        <v>1284505.6000000001</v>
      </c>
      <c r="AZ375" s="21">
        <f t="shared" si="129"/>
        <v>1445068.8</v>
      </c>
      <c r="BA375" s="21">
        <f t="shared" si="129"/>
        <v>1605632</v>
      </c>
      <c r="BB375" s="21">
        <f t="shared" si="129"/>
        <v>1926758.4000000001</v>
      </c>
      <c r="BC375" s="21">
        <f t="shared" si="129"/>
        <v>2247884.8000000003</v>
      </c>
      <c r="BD375" s="21">
        <f t="shared" si="129"/>
        <v>2569011.2000000002</v>
      </c>
      <c r="BE375" s="21">
        <f t="shared" si="129"/>
        <v>2890137.6000000001</v>
      </c>
      <c r="BF375" s="20">
        <f t="shared" si="129"/>
        <v>3211264</v>
      </c>
      <c r="BG375" s="21">
        <f t="shared" si="129"/>
        <v>6422528</v>
      </c>
      <c r="BH375" s="21">
        <f t="shared" si="129"/>
        <v>12845056</v>
      </c>
      <c r="BI375" s="21">
        <f t="shared" si="129"/>
        <v>25690112</v>
      </c>
      <c r="BJ375" s="21">
        <f t="shared" si="129"/>
        <v>32395419</v>
      </c>
      <c r="BK375" s="72">
        <f t="shared" si="129"/>
        <v>32395419</v>
      </c>
      <c r="BL375" s="45"/>
    </row>
    <row r="376" spans="1:64" x14ac:dyDescent="0.25">
      <c r="A376" s="48"/>
      <c r="B376" s="16"/>
      <c r="C376" s="16"/>
      <c r="D376" s="25"/>
      <c r="E376" s="46">
        <v>7.2999999999999995E-2</v>
      </c>
      <c r="F376" s="16"/>
      <c r="G376" s="16"/>
      <c r="H376" s="16"/>
      <c r="I376" s="16"/>
      <c r="J376" s="16"/>
      <c r="K376" s="16"/>
      <c r="L376" s="16"/>
      <c r="M376" s="16"/>
      <c r="N376" s="16"/>
      <c r="O376" s="16"/>
      <c r="P376" s="29">
        <f t="shared" ref="P376:AP376" si="130">P375*$E$376</f>
        <v>0.2235625</v>
      </c>
      <c r="Q376" s="30">
        <f t="shared" si="130"/>
        <v>0.44712499999999999</v>
      </c>
      <c r="R376" s="30">
        <f t="shared" si="130"/>
        <v>0.89424999999999999</v>
      </c>
      <c r="S376" s="30">
        <f t="shared" si="130"/>
        <v>1.7885</v>
      </c>
      <c r="T376" s="30">
        <f t="shared" si="130"/>
        <v>3.577</v>
      </c>
      <c r="U376" s="30">
        <f t="shared" si="130"/>
        <v>7.1539999999999999</v>
      </c>
      <c r="V376" s="30">
        <f t="shared" si="130"/>
        <v>14.308</v>
      </c>
      <c r="W376" s="30">
        <f t="shared" si="130"/>
        <v>28.616</v>
      </c>
      <c r="X376" s="30">
        <f t="shared" si="130"/>
        <v>57.231999999999999</v>
      </c>
      <c r="Y376" s="30">
        <f t="shared" si="130"/>
        <v>114.464</v>
      </c>
      <c r="Z376" s="30">
        <f t="shared" si="130"/>
        <v>228.928</v>
      </c>
      <c r="AA376" s="30">
        <f t="shared" si="130"/>
        <v>457.85599999999999</v>
      </c>
      <c r="AB376" s="30">
        <f t="shared" si="130"/>
        <v>915.71199999999999</v>
      </c>
      <c r="AC376" s="30">
        <f t="shared" si="130"/>
        <v>1831.424</v>
      </c>
      <c r="AD376" s="30">
        <f t="shared" si="130"/>
        <v>3662.848</v>
      </c>
      <c r="AE376" s="30">
        <f t="shared" ref="AE376:AG376" si="131">AE375*$E$376</f>
        <v>4578.5599999999995</v>
      </c>
      <c r="AF376" s="30">
        <f t="shared" si="131"/>
        <v>5494.2719999999999</v>
      </c>
      <c r="AG376" s="30">
        <f t="shared" si="131"/>
        <v>6409.9839999999995</v>
      </c>
      <c r="AH376" s="30">
        <f t="shared" si="130"/>
        <v>7325.6959999999999</v>
      </c>
      <c r="AI376" s="30">
        <f t="shared" ref="AI376:AK376" si="132">AI375*$E$376</f>
        <v>9376.890879999999</v>
      </c>
      <c r="AJ376" s="30">
        <f t="shared" si="132"/>
        <v>10988.544</v>
      </c>
      <c r="AK376" s="30">
        <f t="shared" si="132"/>
        <v>12819.967999999999</v>
      </c>
      <c r="AL376" s="30">
        <f t="shared" si="130"/>
        <v>14651.392</v>
      </c>
      <c r="AM376" s="30">
        <f t="shared" si="130"/>
        <v>17581.670399999999</v>
      </c>
      <c r="AN376" s="30">
        <f t="shared" si="130"/>
        <v>20511.948800000002</v>
      </c>
      <c r="AO376" s="30">
        <f t="shared" si="130"/>
        <v>23442.227200000001</v>
      </c>
      <c r="AP376" s="30">
        <f t="shared" si="130"/>
        <v>26372.5056</v>
      </c>
      <c r="AQ376" s="30">
        <f>AQ375*$E$376</f>
        <v>29302.784</v>
      </c>
      <c r="AR376" s="30">
        <f t="shared" ref="AR376:AU376" si="133">AR375*$E$376</f>
        <v>35163.340799999998</v>
      </c>
      <c r="AS376" s="30">
        <f t="shared" si="133"/>
        <v>41023.897600000004</v>
      </c>
      <c r="AT376" s="30">
        <f t="shared" si="133"/>
        <v>46884.454400000002</v>
      </c>
      <c r="AU376" s="30">
        <f t="shared" si="133"/>
        <v>52745.011200000001</v>
      </c>
      <c r="AV376" s="30">
        <f>AV375*$E$376</f>
        <v>58605.567999999999</v>
      </c>
      <c r="AW376" s="30">
        <f t="shared" ref="AW376:AZ376" si="134">AW375*$E$376</f>
        <v>70326.681599999996</v>
      </c>
      <c r="AX376" s="30">
        <f t="shared" si="134"/>
        <v>82047.795200000008</v>
      </c>
      <c r="AY376" s="30">
        <f t="shared" si="134"/>
        <v>93768.908800000005</v>
      </c>
      <c r="AZ376" s="30">
        <f t="shared" si="134"/>
        <v>105490.0224</v>
      </c>
      <c r="BA376" s="30">
        <f>BA375*$E$376</f>
        <v>117211.136</v>
      </c>
      <c r="BB376" s="30">
        <f t="shared" ref="BB376:BE376" si="135">BB375*$E$376</f>
        <v>140653.36319999999</v>
      </c>
      <c r="BC376" s="30">
        <f t="shared" si="135"/>
        <v>164095.59040000002</v>
      </c>
      <c r="BD376" s="30">
        <f t="shared" si="135"/>
        <v>187537.81760000001</v>
      </c>
      <c r="BE376" s="30">
        <f t="shared" si="135"/>
        <v>210980.0448</v>
      </c>
      <c r="BF376" s="29">
        <f t="shared" ref="BF376:BK376" si="136">BF375*$E$376</f>
        <v>234422.272</v>
      </c>
      <c r="BG376" s="30">
        <f t="shared" si="136"/>
        <v>468844.54399999999</v>
      </c>
      <c r="BH376" s="30">
        <f t="shared" si="136"/>
        <v>937689.08799999999</v>
      </c>
      <c r="BI376" s="30">
        <f t="shared" si="136"/>
        <v>1875378.176</v>
      </c>
      <c r="BJ376" s="30">
        <f t="shared" si="136"/>
        <v>2364865.5869999998</v>
      </c>
      <c r="BK376" s="71">
        <f t="shared" si="136"/>
        <v>2364865.5869999998</v>
      </c>
      <c r="BL376" s="45"/>
    </row>
    <row r="377" spans="1:64" x14ac:dyDescent="0.25">
      <c r="A377" s="48" t="s">
        <v>6</v>
      </c>
      <c r="B377" s="24">
        <v>0.13400000000000001</v>
      </c>
      <c r="C377" s="10">
        <f>$B$299 * B377</f>
        <v>44295777</v>
      </c>
      <c r="D377" s="47"/>
      <c r="E377" s="16"/>
      <c r="F377" s="16"/>
      <c r="G377" s="16"/>
      <c r="H377" s="16"/>
      <c r="I377" s="16"/>
      <c r="J377" s="16"/>
      <c r="K377" s="16"/>
      <c r="L377" s="16"/>
      <c r="M377" s="16"/>
      <c r="N377" s="16"/>
      <c r="O377" s="16"/>
      <c r="P377" s="20">
        <f t="shared" ref="P377:BK377" si="137">P$318*$B$377</f>
        <v>4.1875</v>
      </c>
      <c r="Q377" s="21">
        <f t="shared" si="137"/>
        <v>8.375</v>
      </c>
      <c r="R377" s="21">
        <f t="shared" si="137"/>
        <v>16.75</v>
      </c>
      <c r="S377" s="21">
        <f t="shared" si="137"/>
        <v>33.5</v>
      </c>
      <c r="T377" s="21">
        <f t="shared" si="137"/>
        <v>67</v>
      </c>
      <c r="U377" s="21">
        <f t="shared" si="137"/>
        <v>134</v>
      </c>
      <c r="V377" s="21">
        <f t="shared" si="137"/>
        <v>268</v>
      </c>
      <c r="W377" s="21">
        <f t="shared" si="137"/>
        <v>536</v>
      </c>
      <c r="X377" s="21">
        <f t="shared" si="137"/>
        <v>1072</v>
      </c>
      <c r="Y377" s="21">
        <f t="shared" si="137"/>
        <v>2144</v>
      </c>
      <c r="Z377" s="21">
        <f t="shared" si="137"/>
        <v>4288</v>
      </c>
      <c r="AA377" s="21">
        <f t="shared" si="137"/>
        <v>8576</v>
      </c>
      <c r="AB377" s="21">
        <f t="shared" si="137"/>
        <v>17152</v>
      </c>
      <c r="AC377" s="21">
        <f t="shared" si="137"/>
        <v>34304</v>
      </c>
      <c r="AD377" s="21">
        <f t="shared" si="137"/>
        <v>68608</v>
      </c>
      <c r="AE377" s="21">
        <f t="shared" si="137"/>
        <v>85760</v>
      </c>
      <c r="AF377" s="21">
        <f t="shared" si="137"/>
        <v>102912</v>
      </c>
      <c r="AG377" s="21">
        <f t="shared" si="137"/>
        <v>120064</v>
      </c>
      <c r="AH377" s="21">
        <f t="shared" si="137"/>
        <v>137216</v>
      </c>
      <c r="AI377" s="21">
        <f t="shared" si="137"/>
        <v>175636.48000000001</v>
      </c>
      <c r="AJ377" s="21">
        <f t="shared" si="137"/>
        <v>205824</v>
      </c>
      <c r="AK377" s="21">
        <f t="shared" si="137"/>
        <v>240128</v>
      </c>
      <c r="AL377" s="21">
        <f t="shared" si="137"/>
        <v>274432</v>
      </c>
      <c r="AM377" s="21">
        <f t="shared" si="137"/>
        <v>329318.40000000002</v>
      </c>
      <c r="AN377" s="21">
        <f t="shared" si="137"/>
        <v>384204.80000000005</v>
      </c>
      <c r="AO377" s="21">
        <f t="shared" si="137"/>
        <v>439091.20000000001</v>
      </c>
      <c r="AP377" s="21">
        <f t="shared" si="137"/>
        <v>493977.60000000003</v>
      </c>
      <c r="AQ377" s="21">
        <f t="shared" si="137"/>
        <v>548864</v>
      </c>
      <c r="AR377" s="21">
        <f t="shared" si="137"/>
        <v>658636.80000000005</v>
      </c>
      <c r="AS377" s="21">
        <f t="shared" si="137"/>
        <v>768409.60000000009</v>
      </c>
      <c r="AT377" s="21">
        <f t="shared" si="137"/>
        <v>878182.40000000002</v>
      </c>
      <c r="AU377" s="21">
        <f t="shared" si="137"/>
        <v>987955.20000000007</v>
      </c>
      <c r="AV377" s="21">
        <f t="shared" si="137"/>
        <v>1097728</v>
      </c>
      <c r="AW377" s="21">
        <f t="shared" si="137"/>
        <v>1317273.6000000001</v>
      </c>
      <c r="AX377" s="21">
        <f t="shared" si="137"/>
        <v>1536819.2000000002</v>
      </c>
      <c r="AY377" s="21">
        <f t="shared" si="137"/>
        <v>1756364.8</v>
      </c>
      <c r="AZ377" s="21">
        <f t="shared" si="137"/>
        <v>1975910.4000000001</v>
      </c>
      <c r="BA377" s="21">
        <f t="shared" si="137"/>
        <v>2195456</v>
      </c>
      <c r="BB377" s="21">
        <f t="shared" si="137"/>
        <v>2634547.2000000002</v>
      </c>
      <c r="BC377" s="21">
        <f t="shared" si="137"/>
        <v>3073638.4000000004</v>
      </c>
      <c r="BD377" s="21">
        <f t="shared" si="137"/>
        <v>3512729.6000000001</v>
      </c>
      <c r="BE377" s="21">
        <f t="shared" si="137"/>
        <v>3951820.8000000003</v>
      </c>
      <c r="BF377" s="20">
        <f t="shared" si="137"/>
        <v>4390912</v>
      </c>
      <c r="BG377" s="21">
        <f t="shared" si="137"/>
        <v>8781824</v>
      </c>
      <c r="BH377" s="21">
        <f t="shared" si="137"/>
        <v>17563648</v>
      </c>
      <c r="BI377" s="21">
        <f t="shared" si="137"/>
        <v>35127296</v>
      </c>
      <c r="BJ377" s="21">
        <f t="shared" si="137"/>
        <v>44295777</v>
      </c>
      <c r="BK377" s="72">
        <f t="shared" si="137"/>
        <v>44295777</v>
      </c>
      <c r="BL377" s="45"/>
    </row>
    <row r="378" spans="1:64" x14ac:dyDescent="0.25">
      <c r="A378" s="48"/>
      <c r="B378" s="16"/>
      <c r="C378" s="16"/>
      <c r="D378" s="25"/>
      <c r="E378" s="46">
        <v>6.3E-2</v>
      </c>
      <c r="F378" s="16"/>
      <c r="G378" s="16"/>
      <c r="H378" s="16"/>
      <c r="I378" s="16"/>
      <c r="J378" s="16"/>
      <c r="K378" s="16"/>
      <c r="L378" s="16"/>
      <c r="M378" s="16"/>
      <c r="N378" s="16"/>
      <c r="O378" s="16"/>
      <c r="P378" s="29">
        <f t="shared" ref="P378:AP378" si="138">P377*$E$378</f>
        <v>0.26381250000000001</v>
      </c>
      <c r="Q378" s="30">
        <f t="shared" si="138"/>
        <v>0.52762500000000001</v>
      </c>
      <c r="R378" s="30">
        <f t="shared" si="138"/>
        <v>1.05525</v>
      </c>
      <c r="S378" s="30">
        <f t="shared" si="138"/>
        <v>2.1105</v>
      </c>
      <c r="T378" s="30">
        <f t="shared" si="138"/>
        <v>4.2210000000000001</v>
      </c>
      <c r="U378" s="30">
        <f t="shared" si="138"/>
        <v>8.4420000000000002</v>
      </c>
      <c r="V378" s="30">
        <f t="shared" si="138"/>
        <v>16.884</v>
      </c>
      <c r="W378" s="30">
        <f t="shared" si="138"/>
        <v>33.768000000000001</v>
      </c>
      <c r="X378" s="30">
        <f t="shared" si="138"/>
        <v>67.536000000000001</v>
      </c>
      <c r="Y378" s="30">
        <f t="shared" si="138"/>
        <v>135.072</v>
      </c>
      <c r="Z378" s="30">
        <f t="shared" si="138"/>
        <v>270.14400000000001</v>
      </c>
      <c r="AA378" s="30">
        <f t="shared" si="138"/>
        <v>540.28800000000001</v>
      </c>
      <c r="AB378" s="30">
        <f t="shared" si="138"/>
        <v>1080.576</v>
      </c>
      <c r="AC378" s="30">
        <f t="shared" si="138"/>
        <v>2161.152</v>
      </c>
      <c r="AD378" s="30">
        <f t="shared" si="138"/>
        <v>4322.3040000000001</v>
      </c>
      <c r="AE378" s="30">
        <f t="shared" ref="AE378:AG378" si="139">AE377*$E$378</f>
        <v>5402.88</v>
      </c>
      <c r="AF378" s="30">
        <f t="shared" si="139"/>
        <v>6483.4560000000001</v>
      </c>
      <c r="AG378" s="30">
        <f t="shared" si="139"/>
        <v>7564.0320000000002</v>
      </c>
      <c r="AH378" s="30">
        <f t="shared" si="138"/>
        <v>8644.6080000000002</v>
      </c>
      <c r="AI378" s="30">
        <f t="shared" ref="AI378:AK378" si="140">AI377*$E$378</f>
        <v>11065.098240000001</v>
      </c>
      <c r="AJ378" s="30">
        <f t="shared" si="140"/>
        <v>12966.912</v>
      </c>
      <c r="AK378" s="30">
        <f t="shared" si="140"/>
        <v>15128.064</v>
      </c>
      <c r="AL378" s="30">
        <f t="shared" si="138"/>
        <v>17289.216</v>
      </c>
      <c r="AM378" s="30">
        <f t="shared" si="138"/>
        <v>20747.059200000003</v>
      </c>
      <c r="AN378" s="30">
        <f t="shared" si="138"/>
        <v>24204.902400000003</v>
      </c>
      <c r="AO378" s="30">
        <f t="shared" si="138"/>
        <v>27662.745600000002</v>
      </c>
      <c r="AP378" s="30">
        <f t="shared" si="138"/>
        <v>31120.588800000001</v>
      </c>
      <c r="AQ378" s="30">
        <f>AQ377*$E$378</f>
        <v>34578.432000000001</v>
      </c>
      <c r="AR378" s="30">
        <f t="shared" ref="AR378:AU378" si="141">AR377*$E$378</f>
        <v>41494.118400000007</v>
      </c>
      <c r="AS378" s="30">
        <f t="shared" si="141"/>
        <v>48409.804800000005</v>
      </c>
      <c r="AT378" s="30">
        <f t="shared" si="141"/>
        <v>55325.491200000004</v>
      </c>
      <c r="AU378" s="30">
        <f t="shared" si="141"/>
        <v>62241.177600000003</v>
      </c>
      <c r="AV378" s="30">
        <f>AV377*$E$378</f>
        <v>69156.864000000001</v>
      </c>
      <c r="AW378" s="30">
        <f t="shared" ref="AW378:AZ378" si="142">AW377*$E$378</f>
        <v>82988.236800000013</v>
      </c>
      <c r="AX378" s="30">
        <f t="shared" si="142"/>
        <v>96819.609600000011</v>
      </c>
      <c r="AY378" s="30">
        <f t="shared" si="142"/>
        <v>110650.98240000001</v>
      </c>
      <c r="AZ378" s="30">
        <f t="shared" si="142"/>
        <v>124482.35520000001</v>
      </c>
      <c r="BA378" s="30">
        <f>BA377*$E$378</f>
        <v>138313.728</v>
      </c>
      <c r="BB378" s="30">
        <f t="shared" ref="BB378:BE378" si="143">BB377*$E$378</f>
        <v>165976.47360000003</v>
      </c>
      <c r="BC378" s="30">
        <f t="shared" si="143"/>
        <v>193639.21920000002</v>
      </c>
      <c r="BD378" s="30">
        <f t="shared" si="143"/>
        <v>221301.96480000002</v>
      </c>
      <c r="BE378" s="30">
        <f t="shared" si="143"/>
        <v>248964.71040000001</v>
      </c>
      <c r="BF378" s="29">
        <f t="shared" ref="BF378:BK378" si="144">BF377*$E$378</f>
        <v>276627.45600000001</v>
      </c>
      <c r="BG378" s="30">
        <f t="shared" si="144"/>
        <v>553254.91200000001</v>
      </c>
      <c r="BH378" s="30">
        <f t="shared" si="144"/>
        <v>1106509.824</v>
      </c>
      <c r="BI378" s="30">
        <f t="shared" si="144"/>
        <v>2213019.648</v>
      </c>
      <c r="BJ378" s="30">
        <f t="shared" si="144"/>
        <v>2790633.9509999999</v>
      </c>
      <c r="BK378" s="71">
        <f t="shared" si="144"/>
        <v>2790633.9509999999</v>
      </c>
      <c r="BL378" s="45"/>
    </row>
    <row r="379" spans="1:64" x14ac:dyDescent="0.25">
      <c r="A379" s="48" t="s">
        <v>7</v>
      </c>
      <c r="B379" s="24">
        <v>0.46</v>
      </c>
      <c r="C379" s="10">
        <f>$B$299 * B379</f>
        <v>152060130</v>
      </c>
      <c r="D379" s="47"/>
      <c r="E379" s="16"/>
      <c r="F379" s="16"/>
      <c r="G379" s="16"/>
      <c r="H379" s="16"/>
      <c r="I379" s="16"/>
      <c r="J379" s="16"/>
      <c r="K379" s="16"/>
      <c r="L379" s="16"/>
      <c r="M379" s="16"/>
      <c r="N379" s="16"/>
      <c r="O379" s="16"/>
      <c r="P379" s="20">
        <f t="shared" ref="P379:BK379" si="145">P$318*$B$379</f>
        <v>14.375</v>
      </c>
      <c r="Q379" s="21">
        <f t="shared" si="145"/>
        <v>28.75</v>
      </c>
      <c r="R379" s="21">
        <f t="shared" si="145"/>
        <v>57.5</v>
      </c>
      <c r="S379" s="21">
        <f t="shared" si="145"/>
        <v>115</v>
      </c>
      <c r="T379" s="21">
        <f t="shared" si="145"/>
        <v>230</v>
      </c>
      <c r="U379" s="21">
        <f t="shared" si="145"/>
        <v>460</v>
      </c>
      <c r="V379" s="21">
        <f t="shared" si="145"/>
        <v>920</v>
      </c>
      <c r="W379" s="21">
        <f t="shared" si="145"/>
        <v>1840</v>
      </c>
      <c r="X379" s="21">
        <f t="shared" si="145"/>
        <v>3680</v>
      </c>
      <c r="Y379" s="21">
        <f t="shared" si="145"/>
        <v>7360</v>
      </c>
      <c r="Z379" s="21">
        <f t="shared" si="145"/>
        <v>14720</v>
      </c>
      <c r="AA379" s="21">
        <f t="shared" si="145"/>
        <v>29440</v>
      </c>
      <c r="AB379" s="21">
        <f t="shared" si="145"/>
        <v>58880</v>
      </c>
      <c r="AC379" s="21">
        <f t="shared" si="145"/>
        <v>117760</v>
      </c>
      <c r="AD379" s="21">
        <f t="shared" si="145"/>
        <v>235520</v>
      </c>
      <c r="AE379" s="21">
        <f t="shared" si="145"/>
        <v>294400</v>
      </c>
      <c r="AF379" s="21">
        <f t="shared" si="145"/>
        <v>353280</v>
      </c>
      <c r="AG379" s="21">
        <f t="shared" si="145"/>
        <v>412160</v>
      </c>
      <c r="AH379" s="21">
        <f t="shared" si="145"/>
        <v>471040</v>
      </c>
      <c r="AI379" s="21">
        <f t="shared" si="145"/>
        <v>602931.20000000007</v>
      </c>
      <c r="AJ379" s="21">
        <f t="shared" si="145"/>
        <v>706560</v>
      </c>
      <c r="AK379" s="21">
        <f t="shared" si="145"/>
        <v>824320</v>
      </c>
      <c r="AL379" s="21">
        <f t="shared" si="145"/>
        <v>942080</v>
      </c>
      <c r="AM379" s="21">
        <f t="shared" si="145"/>
        <v>1130496</v>
      </c>
      <c r="AN379" s="21">
        <f t="shared" si="145"/>
        <v>1318912</v>
      </c>
      <c r="AO379" s="21">
        <f t="shared" si="145"/>
        <v>1507328</v>
      </c>
      <c r="AP379" s="21">
        <f t="shared" si="145"/>
        <v>1695744</v>
      </c>
      <c r="AQ379" s="21">
        <f t="shared" si="145"/>
        <v>1884160</v>
      </c>
      <c r="AR379" s="21">
        <f t="shared" si="145"/>
        <v>2260992</v>
      </c>
      <c r="AS379" s="21">
        <f t="shared" si="145"/>
        <v>2637824</v>
      </c>
      <c r="AT379" s="21">
        <f t="shared" si="145"/>
        <v>3014656</v>
      </c>
      <c r="AU379" s="21">
        <f t="shared" si="145"/>
        <v>3391488</v>
      </c>
      <c r="AV379" s="21">
        <f t="shared" si="145"/>
        <v>3768320</v>
      </c>
      <c r="AW379" s="21">
        <f t="shared" si="145"/>
        <v>4521984</v>
      </c>
      <c r="AX379" s="21">
        <f t="shared" si="145"/>
        <v>5275648</v>
      </c>
      <c r="AY379" s="21">
        <f t="shared" si="145"/>
        <v>6029312</v>
      </c>
      <c r="AZ379" s="21">
        <f t="shared" si="145"/>
        <v>6782976</v>
      </c>
      <c r="BA379" s="21">
        <f t="shared" si="145"/>
        <v>7536640</v>
      </c>
      <c r="BB379" s="21">
        <f t="shared" si="145"/>
        <v>9043968</v>
      </c>
      <c r="BC379" s="21">
        <f t="shared" si="145"/>
        <v>10551296</v>
      </c>
      <c r="BD379" s="21">
        <f t="shared" si="145"/>
        <v>12058624</v>
      </c>
      <c r="BE379" s="21">
        <f t="shared" si="145"/>
        <v>13565952</v>
      </c>
      <c r="BF379" s="20">
        <f t="shared" si="145"/>
        <v>15073280</v>
      </c>
      <c r="BG379" s="21">
        <f t="shared" si="145"/>
        <v>30146560</v>
      </c>
      <c r="BH379" s="21">
        <f t="shared" si="145"/>
        <v>60293120</v>
      </c>
      <c r="BI379" s="21">
        <f t="shared" si="145"/>
        <v>120586240</v>
      </c>
      <c r="BJ379" s="21">
        <f t="shared" si="145"/>
        <v>152060130</v>
      </c>
      <c r="BK379" s="72">
        <f t="shared" si="145"/>
        <v>152060130</v>
      </c>
      <c r="BL379" s="45"/>
    </row>
    <row r="380" spans="1:64" x14ac:dyDescent="0.25">
      <c r="A380" s="48"/>
      <c r="B380" s="16"/>
      <c r="C380" s="16"/>
      <c r="D380" s="25"/>
      <c r="E380" s="46">
        <v>0.06</v>
      </c>
      <c r="F380" s="16"/>
      <c r="G380" s="16"/>
      <c r="H380" s="16"/>
      <c r="I380" s="16"/>
      <c r="J380" s="16"/>
      <c r="K380" s="16"/>
      <c r="L380" s="16"/>
      <c r="M380" s="16"/>
      <c r="N380" s="16"/>
      <c r="O380" s="16"/>
      <c r="P380" s="29">
        <f t="shared" ref="P380:AP380" si="146">P379*$E$380</f>
        <v>0.86249999999999993</v>
      </c>
      <c r="Q380" s="30">
        <f t="shared" si="146"/>
        <v>1.7249999999999999</v>
      </c>
      <c r="R380" s="30">
        <f t="shared" si="146"/>
        <v>3.4499999999999997</v>
      </c>
      <c r="S380" s="30">
        <f t="shared" si="146"/>
        <v>6.8999999999999995</v>
      </c>
      <c r="T380" s="30">
        <f t="shared" si="146"/>
        <v>13.799999999999999</v>
      </c>
      <c r="U380" s="30">
        <f t="shared" si="146"/>
        <v>27.599999999999998</v>
      </c>
      <c r="V380" s="30">
        <f t="shared" si="146"/>
        <v>55.199999999999996</v>
      </c>
      <c r="W380" s="30">
        <f t="shared" si="146"/>
        <v>110.39999999999999</v>
      </c>
      <c r="X380" s="30">
        <f t="shared" si="146"/>
        <v>220.79999999999998</v>
      </c>
      <c r="Y380" s="30">
        <f t="shared" si="146"/>
        <v>441.59999999999997</v>
      </c>
      <c r="Z380" s="30">
        <f t="shared" si="146"/>
        <v>883.19999999999993</v>
      </c>
      <c r="AA380" s="30">
        <f t="shared" si="146"/>
        <v>1766.3999999999999</v>
      </c>
      <c r="AB380" s="30">
        <f t="shared" si="146"/>
        <v>3532.7999999999997</v>
      </c>
      <c r="AC380" s="30">
        <f t="shared" si="146"/>
        <v>7065.5999999999995</v>
      </c>
      <c r="AD380" s="30">
        <f t="shared" si="146"/>
        <v>14131.199999999999</v>
      </c>
      <c r="AE380" s="30">
        <f t="shared" ref="AE380:AG380" si="147">AE379*$E$380</f>
        <v>17664</v>
      </c>
      <c r="AF380" s="30">
        <f t="shared" si="147"/>
        <v>21196.799999999999</v>
      </c>
      <c r="AG380" s="30">
        <f t="shared" si="147"/>
        <v>24729.599999999999</v>
      </c>
      <c r="AH380" s="30">
        <f t="shared" si="146"/>
        <v>28262.399999999998</v>
      </c>
      <c r="AI380" s="30">
        <f t="shared" ref="AI380:AK380" si="148">AI379*$E$380</f>
        <v>36175.872000000003</v>
      </c>
      <c r="AJ380" s="30">
        <f t="shared" si="148"/>
        <v>42393.599999999999</v>
      </c>
      <c r="AK380" s="30">
        <f t="shared" si="148"/>
        <v>49459.199999999997</v>
      </c>
      <c r="AL380" s="30">
        <f t="shared" si="146"/>
        <v>56524.799999999996</v>
      </c>
      <c r="AM380" s="30">
        <f t="shared" si="146"/>
        <v>67829.759999999995</v>
      </c>
      <c r="AN380" s="30">
        <f t="shared" si="146"/>
        <v>79134.720000000001</v>
      </c>
      <c r="AO380" s="30">
        <f t="shared" si="146"/>
        <v>90439.679999999993</v>
      </c>
      <c r="AP380" s="30">
        <f t="shared" si="146"/>
        <v>101744.64</v>
      </c>
      <c r="AQ380" s="30">
        <f>AQ379*$E$380</f>
        <v>113049.59999999999</v>
      </c>
      <c r="AR380" s="30">
        <f t="shared" ref="AR380:AU380" si="149">AR379*$E$380</f>
        <v>135659.51999999999</v>
      </c>
      <c r="AS380" s="30">
        <f t="shared" si="149"/>
        <v>158269.44</v>
      </c>
      <c r="AT380" s="30">
        <f t="shared" si="149"/>
        <v>180879.35999999999</v>
      </c>
      <c r="AU380" s="30">
        <f t="shared" si="149"/>
        <v>203489.28</v>
      </c>
      <c r="AV380" s="30">
        <f>AV379*$E$380</f>
        <v>226099.19999999998</v>
      </c>
      <c r="AW380" s="30">
        <f t="shared" ref="AW380:AZ380" si="150">AW379*$E$380</f>
        <v>271319.03999999998</v>
      </c>
      <c r="AX380" s="30">
        <f t="shared" si="150"/>
        <v>316538.88</v>
      </c>
      <c r="AY380" s="30">
        <f t="shared" si="150"/>
        <v>361758.71999999997</v>
      </c>
      <c r="AZ380" s="30">
        <f t="shared" si="150"/>
        <v>406978.56</v>
      </c>
      <c r="BA380" s="30">
        <f>BA379*$E$380</f>
        <v>452198.39999999997</v>
      </c>
      <c r="BB380" s="30">
        <f t="shared" ref="BB380:BE380" si="151">BB379*$E$380</f>
        <v>542638.07999999996</v>
      </c>
      <c r="BC380" s="30">
        <f t="shared" si="151"/>
        <v>633077.76000000001</v>
      </c>
      <c r="BD380" s="30">
        <f t="shared" si="151"/>
        <v>723517.43999999994</v>
      </c>
      <c r="BE380" s="30">
        <f t="shared" si="151"/>
        <v>813957.12</v>
      </c>
      <c r="BF380" s="29">
        <f t="shared" ref="BF380:BK380" si="152">BF379*$E$380</f>
        <v>904396.79999999993</v>
      </c>
      <c r="BG380" s="30">
        <f t="shared" si="152"/>
        <v>1808793.5999999999</v>
      </c>
      <c r="BH380" s="30">
        <f t="shared" si="152"/>
        <v>3617587.1999999997</v>
      </c>
      <c r="BI380" s="30">
        <f t="shared" si="152"/>
        <v>7235174.3999999994</v>
      </c>
      <c r="BJ380" s="30">
        <f t="shared" si="152"/>
        <v>9123607.7999999989</v>
      </c>
      <c r="BK380" s="71">
        <f t="shared" si="152"/>
        <v>9123607.7999999989</v>
      </c>
      <c r="BL380" s="45"/>
    </row>
    <row r="381" spans="1:64" x14ac:dyDescent="0.25">
      <c r="A381" s="48" t="s">
        <v>8</v>
      </c>
      <c r="B381" s="24">
        <v>4.3899999999999998E-3</v>
      </c>
      <c r="C381" s="10">
        <f>$B$299 * B381</f>
        <v>1451182.5449999999</v>
      </c>
      <c r="D381" s="47"/>
      <c r="E381" s="16"/>
      <c r="F381" s="16"/>
      <c r="G381" s="16"/>
      <c r="H381" s="16"/>
      <c r="I381" s="16"/>
      <c r="J381" s="16"/>
      <c r="K381" s="16"/>
      <c r="L381" s="16"/>
      <c r="M381" s="16"/>
      <c r="N381" s="16"/>
      <c r="O381" s="16"/>
      <c r="P381" s="20">
        <f t="shared" ref="P381:BK381" si="153">P$318*$B$381</f>
        <v>0.13718749999999999</v>
      </c>
      <c r="Q381" s="21">
        <f t="shared" si="153"/>
        <v>0.27437499999999998</v>
      </c>
      <c r="R381" s="21">
        <f t="shared" si="153"/>
        <v>0.54874999999999996</v>
      </c>
      <c r="S381" s="21">
        <f t="shared" si="153"/>
        <v>1.0974999999999999</v>
      </c>
      <c r="T381" s="21">
        <f t="shared" si="153"/>
        <v>2.1949999999999998</v>
      </c>
      <c r="U381" s="21">
        <f t="shared" si="153"/>
        <v>4.3899999999999997</v>
      </c>
      <c r="V381" s="21">
        <f t="shared" si="153"/>
        <v>8.7799999999999994</v>
      </c>
      <c r="W381" s="21">
        <f t="shared" si="153"/>
        <v>17.559999999999999</v>
      </c>
      <c r="X381" s="21">
        <f t="shared" si="153"/>
        <v>35.119999999999997</v>
      </c>
      <c r="Y381" s="21">
        <f t="shared" si="153"/>
        <v>70.239999999999995</v>
      </c>
      <c r="Z381" s="21">
        <f t="shared" si="153"/>
        <v>140.47999999999999</v>
      </c>
      <c r="AA381" s="21">
        <f t="shared" si="153"/>
        <v>280.95999999999998</v>
      </c>
      <c r="AB381" s="21">
        <f t="shared" si="153"/>
        <v>561.91999999999996</v>
      </c>
      <c r="AC381" s="21">
        <f t="shared" si="153"/>
        <v>1123.8399999999999</v>
      </c>
      <c r="AD381" s="21">
        <f t="shared" si="153"/>
        <v>2247.6799999999998</v>
      </c>
      <c r="AE381" s="21">
        <f t="shared" si="153"/>
        <v>2809.6</v>
      </c>
      <c r="AF381" s="21">
        <f t="shared" si="153"/>
        <v>3371.52</v>
      </c>
      <c r="AG381" s="21">
        <f t="shared" si="153"/>
        <v>3933.4399999999996</v>
      </c>
      <c r="AH381" s="21">
        <f t="shared" si="153"/>
        <v>4495.3599999999997</v>
      </c>
      <c r="AI381" s="21">
        <f t="shared" si="153"/>
        <v>5754.0607999999993</v>
      </c>
      <c r="AJ381" s="21">
        <f t="shared" si="153"/>
        <v>6743.04</v>
      </c>
      <c r="AK381" s="21">
        <f t="shared" si="153"/>
        <v>7866.8799999999992</v>
      </c>
      <c r="AL381" s="21">
        <f t="shared" si="153"/>
        <v>8990.7199999999993</v>
      </c>
      <c r="AM381" s="21">
        <f t="shared" si="153"/>
        <v>10788.864</v>
      </c>
      <c r="AN381" s="21">
        <f t="shared" si="153"/>
        <v>12587.008</v>
      </c>
      <c r="AO381" s="21">
        <f t="shared" si="153"/>
        <v>14385.152</v>
      </c>
      <c r="AP381" s="21">
        <f t="shared" si="153"/>
        <v>16183.295999999998</v>
      </c>
      <c r="AQ381" s="21">
        <f t="shared" si="153"/>
        <v>17981.439999999999</v>
      </c>
      <c r="AR381" s="21">
        <f t="shared" si="153"/>
        <v>21577.727999999999</v>
      </c>
      <c r="AS381" s="21">
        <f t="shared" si="153"/>
        <v>25174.016</v>
      </c>
      <c r="AT381" s="21">
        <f t="shared" si="153"/>
        <v>28770.304</v>
      </c>
      <c r="AU381" s="21">
        <f t="shared" si="153"/>
        <v>32366.591999999997</v>
      </c>
      <c r="AV381" s="21">
        <f t="shared" si="153"/>
        <v>35962.879999999997</v>
      </c>
      <c r="AW381" s="21">
        <f t="shared" si="153"/>
        <v>43155.455999999998</v>
      </c>
      <c r="AX381" s="21">
        <f t="shared" si="153"/>
        <v>50348.031999999999</v>
      </c>
      <c r="AY381" s="21">
        <f t="shared" si="153"/>
        <v>57540.608</v>
      </c>
      <c r="AZ381" s="21">
        <f t="shared" si="153"/>
        <v>64733.183999999994</v>
      </c>
      <c r="BA381" s="21">
        <f t="shared" si="153"/>
        <v>71925.759999999995</v>
      </c>
      <c r="BB381" s="21">
        <f t="shared" si="153"/>
        <v>86310.911999999997</v>
      </c>
      <c r="BC381" s="21">
        <f t="shared" si="153"/>
        <v>100696.064</v>
      </c>
      <c r="BD381" s="21">
        <f t="shared" si="153"/>
        <v>115081.216</v>
      </c>
      <c r="BE381" s="21">
        <f t="shared" si="153"/>
        <v>129466.36799999999</v>
      </c>
      <c r="BF381" s="20">
        <f t="shared" si="153"/>
        <v>143851.51999999999</v>
      </c>
      <c r="BG381" s="21">
        <f t="shared" si="153"/>
        <v>287703.03999999998</v>
      </c>
      <c r="BH381" s="21">
        <f t="shared" si="153"/>
        <v>575406.07999999996</v>
      </c>
      <c r="BI381" s="21">
        <f t="shared" si="153"/>
        <v>1150812.1599999999</v>
      </c>
      <c r="BJ381" s="21">
        <f t="shared" si="153"/>
        <v>1451182.5449999999</v>
      </c>
      <c r="BK381" s="72">
        <f t="shared" si="153"/>
        <v>1451182.5449999999</v>
      </c>
      <c r="BL381" s="45"/>
    </row>
    <row r="382" spans="1:64" x14ac:dyDescent="0.25">
      <c r="A382" s="48"/>
      <c r="B382" s="16"/>
      <c r="C382" s="16"/>
      <c r="D382" s="25"/>
      <c r="E382" s="46">
        <v>5.6000000000000001E-2</v>
      </c>
      <c r="F382" s="16"/>
      <c r="G382" s="16"/>
      <c r="H382" s="16"/>
      <c r="I382" s="16"/>
      <c r="J382" s="16"/>
      <c r="K382" s="16"/>
      <c r="L382" s="16"/>
      <c r="M382" s="16"/>
      <c r="N382" s="16"/>
      <c r="O382" s="16"/>
      <c r="P382" s="29">
        <f t="shared" ref="P382:AP382" si="154">P381*$E$382</f>
        <v>7.6824999999999992E-3</v>
      </c>
      <c r="Q382" s="30">
        <f t="shared" si="154"/>
        <v>1.5364999999999998E-2</v>
      </c>
      <c r="R382" s="30">
        <f t="shared" si="154"/>
        <v>3.0729999999999997E-2</v>
      </c>
      <c r="S382" s="30">
        <f t="shared" si="154"/>
        <v>6.1459999999999994E-2</v>
      </c>
      <c r="T382" s="30">
        <f t="shared" si="154"/>
        <v>0.12291999999999999</v>
      </c>
      <c r="U382" s="30">
        <f t="shared" si="154"/>
        <v>0.24583999999999998</v>
      </c>
      <c r="V382" s="30">
        <f t="shared" si="154"/>
        <v>0.49167999999999995</v>
      </c>
      <c r="W382" s="30">
        <f t="shared" si="154"/>
        <v>0.9833599999999999</v>
      </c>
      <c r="X382" s="30">
        <f t="shared" si="154"/>
        <v>1.9667199999999998</v>
      </c>
      <c r="Y382" s="30">
        <f t="shared" si="154"/>
        <v>3.9334399999999996</v>
      </c>
      <c r="Z382" s="30">
        <f t="shared" si="154"/>
        <v>7.8668799999999992</v>
      </c>
      <c r="AA382" s="30">
        <f t="shared" si="154"/>
        <v>15.733759999999998</v>
      </c>
      <c r="AB382" s="30">
        <f t="shared" si="154"/>
        <v>31.467519999999997</v>
      </c>
      <c r="AC382" s="30">
        <f t="shared" si="154"/>
        <v>62.935039999999994</v>
      </c>
      <c r="AD382" s="30">
        <f t="shared" si="154"/>
        <v>125.87007999999999</v>
      </c>
      <c r="AE382" s="30">
        <f t="shared" ref="AE382:AG382" si="155">AE381*$E$382</f>
        <v>157.33760000000001</v>
      </c>
      <c r="AF382" s="30">
        <f t="shared" si="155"/>
        <v>188.80512000000002</v>
      </c>
      <c r="AG382" s="30">
        <f t="shared" si="155"/>
        <v>220.27264</v>
      </c>
      <c r="AH382" s="30">
        <f t="shared" si="154"/>
        <v>251.74015999999997</v>
      </c>
      <c r="AI382" s="30">
        <f t="shared" ref="AI382:AK382" si="156">AI381*$E$382</f>
        <v>322.22740479999999</v>
      </c>
      <c r="AJ382" s="30">
        <f t="shared" si="156"/>
        <v>377.61024000000003</v>
      </c>
      <c r="AK382" s="30">
        <f t="shared" si="156"/>
        <v>440.54527999999999</v>
      </c>
      <c r="AL382" s="30">
        <f t="shared" si="154"/>
        <v>503.48031999999995</v>
      </c>
      <c r="AM382" s="30">
        <f t="shared" si="154"/>
        <v>604.17638399999998</v>
      </c>
      <c r="AN382" s="30">
        <f t="shared" si="154"/>
        <v>704.87244799999996</v>
      </c>
      <c r="AO382" s="30">
        <f t="shared" si="154"/>
        <v>805.56851200000006</v>
      </c>
      <c r="AP382" s="30">
        <f t="shared" si="154"/>
        <v>906.26457599999992</v>
      </c>
      <c r="AQ382" s="30">
        <f>AQ381*$E$382</f>
        <v>1006.9606399999999</v>
      </c>
      <c r="AR382" s="30">
        <f t="shared" ref="AR382:AU382" si="157">AR381*$E$382</f>
        <v>1208.352768</v>
      </c>
      <c r="AS382" s="30">
        <f t="shared" si="157"/>
        <v>1409.7448959999999</v>
      </c>
      <c r="AT382" s="30">
        <f t="shared" si="157"/>
        <v>1611.1370240000001</v>
      </c>
      <c r="AU382" s="30">
        <f t="shared" si="157"/>
        <v>1812.5291519999998</v>
      </c>
      <c r="AV382" s="30">
        <f>AV381*$E$382</f>
        <v>2013.9212799999998</v>
      </c>
      <c r="AW382" s="30">
        <f t="shared" ref="AW382:AZ382" si="158">AW381*$E$382</f>
        <v>2416.7055359999999</v>
      </c>
      <c r="AX382" s="30">
        <f t="shared" si="158"/>
        <v>2819.4897919999999</v>
      </c>
      <c r="AY382" s="30">
        <f t="shared" si="158"/>
        <v>3222.2740480000002</v>
      </c>
      <c r="AZ382" s="30">
        <f t="shared" si="158"/>
        <v>3625.0583039999997</v>
      </c>
      <c r="BA382" s="30">
        <f>BA381*$E$382</f>
        <v>4027.8425599999996</v>
      </c>
      <c r="BB382" s="30">
        <f t="shared" ref="BB382:BE382" si="159">BB381*$E$382</f>
        <v>4833.4110719999999</v>
      </c>
      <c r="BC382" s="30">
        <f t="shared" si="159"/>
        <v>5638.9795839999997</v>
      </c>
      <c r="BD382" s="30">
        <f t="shared" si="159"/>
        <v>6444.5480960000004</v>
      </c>
      <c r="BE382" s="30">
        <f t="shared" si="159"/>
        <v>7250.1166079999994</v>
      </c>
      <c r="BF382" s="29">
        <f t="shared" ref="BF382:BK382" si="160">BF381*$E$382</f>
        <v>8055.6851199999992</v>
      </c>
      <c r="BG382" s="30">
        <f t="shared" si="160"/>
        <v>16111.370239999998</v>
      </c>
      <c r="BH382" s="30">
        <f t="shared" si="160"/>
        <v>32222.740479999997</v>
      </c>
      <c r="BI382" s="30">
        <f t="shared" si="160"/>
        <v>64445.480959999994</v>
      </c>
      <c r="BJ382" s="30">
        <f t="shared" si="160"/>
        <v>81266.222519999996</v>
      </c>
      <c r="BK382" s="71">
        <f t="shared" si="160"/>
        <v>81266.222519999996</v>
      </c>
      <c r="BL382" s="45"/>
    </row>
    <row r="383" spans="1:64" x14ac:dyDescent="0.25">
      <c r="A383" s="48" t="s">
        <v>9</v>
      </c>
      <c r="B383" s="24">
        <v>0.155</v>
      </c>
      <c r="C383" s="10">
        <f>$B$299 * B383</f>
        <v>51237652.5</v>
      </c>
      <c r="D383" s="47"/>
      <c r="E383" s="16"/>
      <c r="F383" s="16"/>
      <c r="G383" s="16"/>
      <c r="H383" s="16"/>
      <c r="I383" s="16"/>
      <c r="J383" s="16"/>
      <c r="K383" s="16"/>
      <c r="L383" s="16"/>
      <c r="M383" s="16"/>
      <c r="N383" s="16"/>
      <c r="O383" s="16"/>
      <c r="P383" s="20">
        <f t="shared" ref="P383:BK383" si="161">P$318*$B$383</f>
        <v>4.84375</v>
      </c>
      <c r="Q383" s="21">
        <f t="shared" si="161"/>
        <v>9.6875</v>
      </c>
      <c r="R383" s="21">
        <f t="shared" si="161"/>
        <v>19.375</v>
      </c>
      <c r="S383" s="21">
        <f t="shared" si="161"/>
        <v>38.75</v>
      </c>
      <c r="T383" s="21">
        <f t="shared" si="161"/>
        <v>77.5</v>
      </c>
      <c r="U383" s="21">
        <f t="shared" si="161"/>
        <v>155</v>
      </c>
      <c r="V383" s="21">
        <f t="shared" si="161"/>
        <v>310</v>
      </c>
      <c r="W383" s="21">
        <f t="shared" si="161"/>
        <v>620</v>
      </c>
      <c r="X383" s="21">
        <f t="shared" si="161"/>
        <v>1240</v>
      </c>
      <c r="Y383" s="21">
        <f t="shared" si="161"/>
        <v>2480</v>
      </c>
      <c r="Z383" s="21">
        <f t="shared" si="161"/>
        <v>4960</v>
      </c>
      <c r="AA383" s="21">
        <f t="shared" si="161"/>
        <v>9920</v>
      </c>
      <c r="AB383" s="21">
        <f t="shared" si="161"/>
        <v>19840</v>
      </c>
      <c r="AC383" s="21">
        <f t="shared" si="161"/>
        <v>39680</v>
      </c>
      <c r="AD383" s="21">
        <f t="shared" si="161"/>
        <v>79360</v>
      </c>
      <c r="AE383" s="21">
        <f t="shared" si="161"/>
        <v>99200</v>
      </c>
      <c r="AF383" s="21">
        <f t="shared" si="161"/>
        <v>119040</v>
      </c>
      <c r="AG383" s="21">
        <f t="shared" si="161"/>
        <v>138880</v>
      </c>
      <c r="AH383" s="21">
        <f t="shared" si="161"/>
        <v>158720</v>
      </c>
      <c r="AI383" s="21">
        <f t="shared" si="161"/>
        <v>203161.60000000001</v>
      </c>
      <c r="AJ383" s="21">
        <f t="shared" si="161"/>
        <v>238080</v>
      </c>
      <c r="AK383" s="21">
        <f t="shared" si="161"/>
        <v>277760</v>
      </c>
      <c r="AL383" s="21">
        <f t="shared" si="161"/>
        <v>317440</v>
      </c>
      <c r="AM383" s="21">
        <f t="shared" si="161"/>
        <v>380928</v>
      </c>
      <c r="AN383" s="21">
        <f t="shared" si="161"/>
        <v>444416</v>
      </c>
      <c r="AO383" s="21">
        <f t="shared" si="161"/>
        <v>507904</v>
      </c>
      <c r="AP383" s="21">
        <f t="shared" si="161"/>
        <v>571392</v>
      </c>
      <c r="AQ383" s="21">
        <f t="shared" si="161"/>
        <v>634880</v>
      </c>
      <c r="AR383" s="21">
        <f t="shared" si="161"/>
        <v>761856</v>
      </c>
      <c r="AS383" s="21">
        <f t="shared" si="161"/>
        <v>888832</v>
      </c>
      <c r="AT383" s="21">
        <f t="shared" si="161"/>
        <v>1015808</v>
      </c>
      <c r="AU383" s="21">
        <f t="shared" si="161"/>
        <v>1142784</v>
      </c>
      <c r="AV383" s="21">
        <f t="shared" si="161"/>
        <v>1269760</v>
      </c>
      <c r="AW383" s="21">
        <f t="shared" si="161"/>
        <v>1523712</v>
      </c>
      <c r="AX383" s="21">
        <f t="shared" si="161"/>
        <v>1777664</v>
      </c>
      <c r="AY383" s="21">
        <f t="shared" si="161"/>
        <v>2031616</v>
      </c>
      <c r="AZ383" s="21">
        <f t="shared" si="161"/>
        <v>2285568</v>
      </c>
      <c r="BA383" s="21">
        <f t="shared" si="161"/>
        <v>2539520</v>
      </c>
      <c r="BB383" s="21">
        <f t="shared" si="161"/>
        <v>3047424</v>
      </c>
      <c r="BC383" s="21">
        <f t="shared" si="161"/>
        <v>3555328</v>
      </c>
      <c r="BD383" s="21">
        <f t="shared" si="161"/>
        <v>4063232</v>
      </c>
      <c r="BE383" s="21">
        <f t="shared" si="161"/>
        <v>4571136</v>
      </c>
      <c r="BF383" s="20">
        <f t="shared" si="161"/>
        <v>5079040</v>
      </c>
      <c r="BG383" s="21">
        <f t="shared" si="161"/>
        <v>10158080</v>
      </c>
      <c r="BH383" s="21">
        <f t="shared" si="161"/>
        <v>20316160</v>
      </c>
      <c r="BI383" s="21">
        <f t="shared" si="161"/>
        <v>40632320</v>
      </c>
      <c r="BJ383" s="21">
        <f t="shared" si="161"/>
        <v>51237652.5</v>
      </c>
      <c r="BK383" s="72">
        <f t="shared" si="161"/>
        <v>51237652.5</v>
      </c>
      <c r="BL383" s="45"/>
    </row>
    <row r="384" spans="1:64" x14ac:dyDescent="0.25">
      <c r="A384" s="37"/>
      <c r="B384" s="39"/>
      <c r="C384" s="39"/>
      <c r="D384" s="55"/>
      <c r="E384" s="56" t="s">
        <v>10</v>
      </c>
      <c r="F384" s="39"/>
      <c r="G384" s="39"/>
      <c r="H384" s="39"/>
      <c r="I384" s="39"/>
      <c r="J384" s="39"/>
      <c r="K384" s="39"/>
      <c r="L384" s="39"/>
      <c r="M384" s="39"/>
      <c r="N384" s="39"/>
      <c r="O384" s="39"/>
      <c r="P384" s="31" t="s">
        <v>10</v>
      </c>
      <c r="Q384" s="32" t="s">
        <v>10</v>
      </c>
      <c r="R384" s="32" t="s">
        <v>10</v>
      </c>
      <c r="S384" s="32" t="s">
        <v>10</v>
      </c>
      <c r="T384" s="32" t="s">
        <v>10</v>
      </c>
      <c r="U384" s="32" t="s">
        <v>10</v>
      </c>
      <c r="V384" s="32" t="s">
        <v>10</v>
      </c>
      <c r="W384" s="32" t="s">
        <v>10</v>
      </c>
      <c r="X384" s="32" t="s">
        <v>10</v>
      </c>
      <c r="Y384" s="32" t="s">
        <v>10</v>
      </c>
      <c r="Z384" s="32" t="s">
        <v>10</v>
      </c>
      <c r="AA384" s="32" t="s">
        <v>10</v>
      </c>
      <c r="AB384" s="32" t="s">
        <v>10</v>
      </c>
      <c r="AC384" s="32" t="s">
        <v>10</v>
      </c>
      <c r="AD384" s="32" t="s">
        <v>10</v>
      </c>
      <c r="AE384" s="32" t="s">
        <v>10</v>
      </c>
      <c r="AF384" s="32" t="s">
        <v>10</v>
      </c>
      <c r="AG384" s="32" t="s">
        <v>10</v>
      </c>
      <c r="AH384" s="32" t="s">
        <v>10</v>
      </c>
      <c r="AI384" s="32" t="s">
        <v>10</v>
      </c>
      <c r="AJ384" s="32" t="s">
        <v>10</v>
      </c>
      <c r="AK384" s="32" t="s">
        <v>10</v>
      </c>
      <c r="AL384" s="32" t="s">
        <v>10</v>
      </c>
      <c r="AM384" s="32" t="s">
        <v>10</v>
      </c>
      <c r="AN384" s="32" t="s">
        <v>10</v>
      </c>
      <c r="AO384" s="32" t="s">
        <v>10</v>
      </c>
      <c r="AP384" s="32" t="s">
        <v>10</v>
      </c>
      <c r="AQ384" s="32" t="s">
        <v>10</v>
      </c>
      <c r="AR384" s="32" t="s">
        <v>10</v>
      </c>
      <c r="AS384" s="32" t="s">
        <v>10</v>
      </c>
      <c r="AT384" s="32" t="s">
        <v>10</v>
      </c>
      <c r="AU384" s="32" t="s">
        <v>10</v>
      </c>
      <c r="AV384" s="32" t="s">
        <v>10</v>
      </c>
      <c r="AW384" s="32" t="s">
        <v>10</v>
      </c>
      <c r="AX384" s="32" t="s">
        <v>10</v>
      </c>
      <c r="AY384" s="32" t="s">
        <v>10</v>
      </c>
      <c r="AZ384" s="32" t="s">
        <v>10</v>
      </c>
      <c r="BA384" s="32" t="s">
        <v>10</v>
      </c>
      <c r="BB384" s="32" t="s">
        <v>10</v>
      </c>
      <c r="BC384" s="32" t="s">
        <v>10</v>
      </c>
      <c r="BD384" s="32" t="s">
        <v>10</v>
      </c>
      <c r="BE384" s="32" t="s">
        <v>10</v>
      </c>
      <c r="BF384" s="29" t="s">
        <v>10</v>
      </c>
      <c r="BG384" s="30" t="s">
        <v>10</v>
      </c>
      <c r="BH384" s="30" t="s">
        <v>10</v>
      </c>
      <c r="BI384" s="30" t="s">
        <v>10</v>
      </c>
      <c r="BJ384" s="30" t="s">
        <v>10</v>
      </c>
      <c r="BK384" s="71" t="s">
        <v>10</v>
      </c>
      <c r="BL384" s="45"/>
    </row>
    <row r="385" spans="1:64" x14ac:dyDescent="0.25">
      <c r="A385" s="41"/>
      <c r="B385" s="16"/>
      <c r="C385" s="16"/>
      <c r="D385" s="47"/>
      <c r="E385" s="16"/>
      <c r="F385" s="16"/>
      <c r="G385" s="16"/>
      <c r="H385" s="16"/>
      <c r="I385" s="16"/>
      <c r="J385" s="16"/>
      <c r="K385" s="16"/>
      <c r="L385" s="16"/>
      <c r="M385" s="16"/>
      <c r="N385" s="16"/>
      <c r="O385" s="16"/>
      <c r="P385" s="20">
        <f>SUM(P373,P375,P377,P379,P381,P383)</f>
        <v>38.105937500000003</v>
      </c>
      <c r="Q385" s="21">
        <f t="shared" ref="Q385:AP385" si="162">SUM(Q373,Q375,Q377,Q379,Q381,Q383)</f>
        <v>76.211875000000006</v>
      </c>
      <c r="R385" s="21">
        <f t="shared" si="162"/>
        <v>152.42375000000001</v>
      </c>
      <c r="S385" s="21">
        <f t="shared" si="162"/>
        <v>304.84750000000003</v>
      </c>
      <c r="T385" s="21">
        <f t="shared" si="162"/>
        <v>609.69500000000005</v>
      </c>
      <c r="U385" s="21">
        <f t="shared" si="162"/>
        <v>1219.3900000000001</v>
      </c>
      <c r="V385" s="21">
        <f>SUM(V373,V375,V377,V379,V381,V383)</f>
        <v>2438.7800000000002</v>
      </c>
      <c r="W385" s="21">
        <f t="shared" si="162"/>
        <v>4877.5600000000004</v>
      </c>
      <c r="X385" s="21">
        <f t="shared" si="162"/>
        <v>9755.1200000000008</v>
      </c>
      <c r="Y385" s="21">
        <f t="shared" si="162"/>
        <v>19510.240000000002</v>
      </c>
      <c r="Z385" s="21">
        <f t="shared" si="162"/>
        <v>39020.480000000003</v>
      </c>
      <c r="AA385" s="21">
        <f t="shared" si="162"/>
        <v>78040.960000000006</v>
      </c>
      <c r="AB385" s="21">
        <f t="shared" si="162"/>
        <v>156081.92000000001</v>
      </c>
      <c r="AC385" s="21">
        <f t="shared" si="162"/>
        <v>312163.84000000003</v>
      </c>
      <c r="AD385" s="21">
        <f t="shared" si="162"/>
        <v>624327.68000000005</v>
      </c>
      <c r="AE385" s="21">
        <f t="shared" ref="AE385:AG385" si="163">SUM(AE373,AE375,AE377,AE379,AE381,AE383)</f>
        <v>780409.6</v>
      </c>
      <c r="AF385" s="21">
        <f t="shared" si="163"/>
        <v>936491.52000000002</v>
      </c>
      <c r="AG385" s="21">
        <f t="shared" si="163"/>
        <v>1092573.44</v>
      </c>
      <c r="AH385" s="21">
        <f t="shared" si="162"/>
        <v>1248655.3600000001</v>
      </c>
      <c r="AI385" s="21">
        <f t="shared" ref="AI385:AK385" si="164">SUM(AI373,AI375,AI377,AI379,AI381,AI383)</f>
        <v>1598278.8608000004</v>
      </c>
      <c r="AJ385" s="21">
        <f t="shared" si="164"/>
        <v>1872983.04</v>
      </c>
      <c r="AK385" s="21">
        <f t="shared" si="164"/>
        <v>2185146.88</v>
      </c>
      <c r="AL385" s="21">
        <f t="shared" si="162"/>
        <v>2497310.7200000002</v>
      </c>
      <c r="AM385" s="21">
        <f t="shared" si="162"/>
        <v>2996772.8640000001</v>
      </c>
      <c r="AN385" s="21">
        <f t="shared" si="162"/>
        <v>3496235.0079999999</v>
      </c>
      <c r="AO385" s="21">
        <f t="shared" si="162"/>
        <v>3995697.1519999998</v>
      </c>
      <c r="AP385" s="21">
        <f t="shared" si="162"/>
        <v>4495159.2960000001</v>
      </c>
      <c r="AQ385" s="21">
        <f t="shared" ref="AQ385:BA386" si="165">SUM(AQ373,AQ375,AQ377,AQ379,AQ381,AQ383)</f>
        <v>4994621.4400000004</v>
      </c>
      <c r="AR385" s="21">
        <f t="shared" ref="AR385:AU385" si="166">SUM(AR373,AR375,AR377,AR379,AR381,AR383)</f>
        <v>5993545.7280000001</v>
      </c>
      <c r="AS385" s="21">
        <f t="shared" si="166"/>
        <v>6992470.0159999998</v>
      </c>
      <c r="AT385" s="21">
        <f t="shared" si="166"/>
        <v>7991394.3039999995</v>
      </c>
      <c r="AU385" s="21">
        <f t="shared" si="166"/>
        <v>8990318.5920000002</v>
      </c>
      <c r="AV385" s="21">
        <f t="shared" si="165"/>
        <v>9989242.8800000008</v>
      </c>
      <c r="AW385" s="21">
        <f t="shared" ref="AW385:AZ385" si="167">SUM(AW373,AW375,AW377,AW379,AW381,AW383)</f>
        <v>11987091.456</v>
      </c>
      <c r="AX385" s="21">
        <f t="shared" si="167"/>
        <v>13984940.032</v>
      </c>
      <c r="AY385" s="21">
        <f t="shared" si="167"/>
        <v>15982788.607999999</v>
      </c>
      <c r="AZ385" s="21">
        <f t="shared" si="167"/>
        <v>17980637.184</v>
      </c>
      <c r="BA385" s="21">
        <f t="shared" si="165"/>
        <v>19978485.760000002</v>
      </c>
      <c r="BB385" s="21">
        <f t="shared" ref="BB385:BE385" si="168">SUM(BB373,BB375,BB377,BB379,BB381,BB383)</f>
        <v>23974182.912</v>
      </c>
      <c r="BC385" s="21">
        <f t="shared" si="168"/>
        <v>27969880.063999999</v>
      </c>
      <c r="BD385" s="21">
        <f t="shared" si="168"/>
        <v>31965577.215999998</v>
      </c>
      <c r="BE385" s="21">
        <f t="shared" si="168"/>
        <v>35961274.368000001</v>
      </c>
      <c r="BF385" s="18">
        <f t="shared" ref="BF385:BK385" si="169">SUM(BF373,BF375,BF377,BF379,BF381,BF383)</f>
        <v>39956971.520000003</v>
      </c>
      <c r="BG385" s="19">
        <f t="shared" si="169"/>
        <v>79913943.040000007</v>
      </c>
      <c r="BH385" s="19">
        <f t="shared" si="169"/>
        <v>159827886.08000001</v>
      </c>
      <c r="BI385" s="19">
        <f t="shared" si="169"/>
        <v>319655772.16000003</v>
      </c>
      <c r="BJ385" s="19">
        <f t="shared" si="169"/>
        <v>403088265.04500002</v>
      </c>
      <c r="BK385" s="60">
        <f t="shared" si="169"/>
        <v>403088265.04500002</v>
      </c>
      <c r="BL385" s="45"/>
    </row>
    <row r="386" spans="1:64" x14ac:dyDescent="0.25">
      <c r="A386" s="37" t="s">
        <v>40</v>
      </c>
      <c r="B386" s="39"/>
      <c r="C386" s="39"/>
      <c r="D386" s="39"/>
      <c r="E386" s="39"/>
      <c r="F386" s="39"/>
      <c r="G386" s="39"/>
      <c r="H386" s="39"/>
      <c r="I386" s="39"/>
      <c r="J386" s="39"/>
      <c r="K386" s="39"/>
      <c r="L386" s="39"/>
      <c r="M386" s="39"/>
      <c r="N386" s="39"/>
      <c r="O386" s="39"/>
      <c r="P386" s="31">
        <f>SUM(P374,P376,P378,P380,P382,P384)</f>
        <v>2.5650575</v>
      </c>
      <c r="Q386" s="32">
        <f t="shared" ref="Q386:AP386" si="170">SUM(Q374,Q376,Q378,Q380,Q382,Q384)</f>
        <v>5.130115</v>
      </c>
      <c r="R386" s="32">
        <f t="shared" si="170"/>
        <v>10.26023</v>
      </c>
      <c r="S386" s="32">
        <f t="shared" si="170"/>
        <v>20.52046</v>
      </c>
      <c r="T386" s="32">
        <f t="shared" si="170"/>
        <v>41.04092</v>
      </c>
      <c r="U386" s="32">
        <f t="shared" si="170"/>
        <v>82.08184</v>
      </c>
      <c r="V386" s="32">
        <f t="shared" si="170"/>
        <v>164.16368</v>
      </c>
      <c r="W386" s="32">
        <f t="shared" si="170"/>
        <v>328.32736</v>
      </c>
      <c r="X386" s="32">
        <f t="shared" si="170"/>
        <v>656.65472</v>
      </c>
      <c r="Y386" s="32">
        <f t="shared" si="170"/>
        <v>1313.30944</v>
      </c>
      <c r="Z386" s="32">
        <f t="shared" si="170"/>
        <v>2626.61888</v>
      </c>
      <c r="AA386" s="32">
        <f t="shared" si="170"/>
        <v>5253.23776</v>
      </c>
      <c r="AB386" s="32">
        <f t="shared" si="170"/>
        <v>10506.47552</v>
      </c>
      <c r="AC386" s="32">
        <f t="shared" si="170"/>
        <v>21012.95104</v>
      </c>
      <c r="AD386" s="32">
        <f t="shared" si="170"/>
        <v>42025.90208</v>
      </c>
      <c r="AE386" s="32">
        <f t="shared" ref="AE386:AG386" si="171">SUM(AE374,AE376,AE378,AE380,AE382,AE384)</f>
        <v>52532.377599999993</v>
      </c>
      <c r="AF386" s="32">
        <f t="shared" si="171"/>
        <v>63038.853119999992</v>
      </c>
      <c r="AG386" s="32">
        <f t="shared" si="171"/>
        <v>73545.328639999992</v>
      </c>
      <c r="AH386" s="32">
        <f t="shared" si="170"/>
        <v>84051.80416</v>
      </c>
      <c r="AI386" s="32">
        <f t="shared" ref="AI386:AK386" si="172">SUM(AI374,AI376,AI378,AI380,AI382,AI384)</f>
        <v>107586.30932479999</v>
      </c>
      <c r="AJ386" s="32">
        <f t="shared" si="172"/>
        <v>126077.70623999998</v>
      </c>
      <c r="AK386" s="32">
        <f t="shared" si="172"/>
        <v>147090.65727999998</v>
      </c>
      <c r="AL386" s="32">
        <f t="shared" si="170"/>
        <v>168103.60832</v>
      </c>
      <c r="AM386" s="32">
        <f t="shared" si="170"/>
        <v>201724.32998400001</v>
      </c>
      <c r="AN386" s="32">
        <f t="shared" si="170"/>
        <v>235345.05164800002</v>
      </c>
      <c r="AO386" s="32">
        <f t="shared" si="170"/>
        <v>268965.77331199998</v>
      </c>
      <c r="AP386" s="32">
        <f t="shared" si="170"/>
        <v>302586.49497599999</v>
      </c>
      <c r="AQ386" s="32">
        <f t="shared" si="165"/>
        <v>336207.21664</v>
      </c>
      <c r="AR386" s="32">
        <f t="shared" ref="AR386:AU386" si="173">SUM(AR374,AR376,AR378,AR380,AR382,AR384)</f>
        <v>403448.65996800002</v>
      </c>
      <c r="AS386" s="32">
        <f t="shared" si="173"/>
        <v>470690.10329600004</v>
      </c>
      <c r="AT386" s="32">
        <f t="shared" si="173"/>
        <v>537931.54662399995</v>
      </c>
      <c r="AU386" s="32">
        <f t="shared" si="173"/>
        <v>605172.98995199997</v>
      </c>
      <c r="AV386" s="32">
        <f t="shared" si="165"/>
        <v>672414.43328</v>
      </c>
      <c r="AW386" s="32">
        <f t="shared" ref="AW386:AZ386" si="174">SUM(AW374,AW376,AW378,AW380,AW382,AW384)</f>
        <v>806897.31993600004</v>
      </c>
      <c r="AX386" s="32">
        <f t="shared" si="174"/>
        <v>941380.20659200009</v>
      </c>
      <c r="AY386" s="32">
        <f t="shared" si="174"/>
        <v>1075863.0932479999</v>
      </c>
      <c r="AZ386" s="32">
        <f t="shared" si="174"/>
        <v>1210345.9799039999</v>
      </c>
      <c r="BA386" s="32">
        <f t="shared" si="165"/>
        <v>1344828.86656</v>
      </c>
      <c r="BB386" s="32">
        <f t="shared" ref="BB386:BE386" si="175">SUM(BB374,BB376,BB378,BB380,BB382,BB384)</f>
        <v>1613794.6398720001</v>
      </c>
      <c r="BC386" s="32">
        <f t="shared" si="175"/>
        <v>1882760.4131840002</v>
      </c>
      <c r="BD386" s="32">
        <f t="shared" si="175"/>
        <v>2151726.1864959998</v>
      </c>
      <c r="BE386" s="32">
        <f t="shared" si="175"/>
        <v>2420691.9598079999</v>
      </c>
      <c r="BF386" s="31">
        <f t="shared" ref="BF386:BK386" si="176">SUM(BF374,BF376,BF378,BF380,BF382,BF384)</f>
        <v>2689657.73312</v>
      </c>
      <c r="BG386" s="32">
        <f t="shared" si="176"/>
        <v>5379315.46624</v>
      </c>
      <c r="BH386" s="32">
        <f t="shared" si="176"/>
        <v>10758630.93248</v>
      </c>
      <c r="BI386" s="32">
        <f t="shared" si="176"/>
        <v>21517261.86496</v>
      </c>
      <c r="BJ386" s="32">
        <f t="shared" si="176"/>
        <v>27133424.480520003</v>
      </c>
      <c r="BK386" s="73">
        <f t="shared" si="176"/>
        <v>27133424.480520003</v>
      </c>
      <c r="BL386" s="45"/>
    </row>
  </sheetData>
  <conditionalFormatting sqref="BL329 P329:BA329 BG329:BJ329">
    <cfRule type="cellIs" dxfId="29" priority="39" operator="greaterThan">
      <formula>$C$307</formula>
    </cfRule>
  </conditionalFormatting>
  <conditionalFormatting sqref="P331:BA331 BG331:BJ331">
    <cfRule type="cellIs" dxfId="28" priority="38" operator="greaterThan">
      <formula>$C$308</formula>
    </cfRule>
  </conditionalFormatting>
  <conditionalFormatting sqref="P350:BK350">
    <cfRule type="cellIs" dxfId="27" priority="37" operator="greaterThan">
      <formula>$C$350</formula>
    </cfRule>
  </conditionalFormatting>
  <conditionalFormatting sqref="P352:BK352">
    <cfRule type="cellIs" dxfId="26" priority="36" operator="greaterThan">
      <formula>$C$352</formula>
    </cfRule>
  </conditionalFormatting>
  <conditionalFormatting sqref="P354:BK354">
    <cfRule type="cellIs" dxfId="25" priority="35" operator="greaterThan">
      <formula>$C$354</formula>
    </cfRule>
  </conditionalFormatting>
  <conditionalFormatting sqref="P356:BK356">
    <cfRule type="cellIs" dxfId="24" priority="27" operator="greaterThan">
      <formula>$C$356</formula>
    </cfRule>
  </conditionalFormatting>
  <conditionalFormatting sqref="P358:BK358">
    <cfRule type="cellIs" dxfId="23" priority="26" operator="greaterThan">
      <formula>$C$358</formula>
    </cfRule>
  </conditionalFormatting>
  <conditionalFormatting sqref="P360:BK360">
    <cfRule type="cellIs" dxfId="22" priority="25" operator="greaterThan">
      <formula>$C$360</formula>
    </cfRule>
  </conditionalFormatting>
  <conditionalFormatting sqref="P362:BK362">
    <cfRule type="cellIs" dxfId="21" priority="24" operator="greaterThan">
      <formula>$C$362</formula>
    </cfRule>
  </conditionalFormatting>
  <conditionalFormatting sqref="P364:BK364">
    <cfRule type="cellIs" dxfId="20" priority="23" operator="greaterThan">
      <formula>$C$364</formula>
    </cfRule>
  </conditionalFormatting>
  <conditionalFormatting sqref="P366:BK366">
    <cfRule type="cellIs" dxfId="19" priority="22" operator="greaterThan">
      <formula>$C$366</formula>
    </cfRule>
  </conditionalFormatting>
  <conditionalFormatting sqref="P320:BA320 BG320:BK320">
    <cfRule type="cellIs" dxfId="18" priority="21" operator="equal">
      <formula>0</formula>
    </cfRule>
  </conditionalFormatting>
  <conditionalFormatting sqref="P327:BA327 P329:BA329 Q331:BA331 BG331:BJ331 BG329:BJ329 BG327:BJ327">
    <cfRule type="cellIs" dxfId="17" priority="20" operator="equal">
      <formula>0</formula>
    </cfRule>
  </conditionalFormatting>
  <conditionalFormatting sqref="D350">
    <cfRule type="cellIs" dxfId="16" priority="17" operator="greaterThan">
      <formula>$B$350</formula>
    </cfRule>
  </conditionalFormatting>
  <conditionalFormatting sqref="D352">
    <cfRule type="cellIs" dxfId="15" priority="16" operator="greaterThan">
      <formula>$B$352</formula>
    </cfRule>
  </conditionalFormatting>
  <conditionalFormatting sqref="D354">
    <cfRule type="cellIs" dxfId="14" priority="15" operator="greaterThan">
      <formula>$B$354</formula>
    </cfRule>
  </conditionalFormatting>
  <conditionalFormatting sqref="D356">
    <cfRule type="cellIs" dxfId="13" priority="14" operator="greaterThan">
      <formula>$B$356</formula>
    </cfRule>
  </conditionalFormatting>
  <conditionalFormatting sqref="D358">
    <cfRule type="cellIs" dxfId="12" priority="13" operator="greaterThan">
      <formula>$B$358</formula>
    </cfRule>
  </conditionalFormatting>
  <conditionalFormatting sqref="D360">
    <cfRule type="cellIs" dxfId="11" priority="12" operator="greaterThan">
      <formula>$B$360</formula>
    </cfRule>
  </conditionalFormatting>
  <conditionalFormatting sqref="D362">
    <cfRule type="cellIs" dxfId="10" priority="11" operator="greaterThan">
      <formula>$B$362</formula>
    </cfRule>
  </conditionalFormatting>
  <conditionalFormatting sqref="D364">
    <cfRule type="cellIs" dxfId="9" priority="10" operator="greaterThan">
      <formula>$B$364</formula>
    </cfRule>
  </conditionalFormatting>
  <conditionalFormatting sqref="D366">
    <cfRule type="cellIs" dxfId="8" priority="9" operator="greaterThan">
      <formula>$B$366</formula>
    </cfRule>
  </conditionalFormatting>
  <conditionalFormatting sqref="BF329">
    <cfRule type="cellIs" dxfId="7" priority="8" operator="greaterThan">
      <formula>$C$307</formula>
    </cfRule>
  </conditionalFormatting>
  <conditionalFormatting sqref="BF331">
    <cfRule type="cellIs" dxfId="6" priority="7" operator="greaterThan">
      <formula>$C$308</formula>
    </cfRule>
  </conditionalFormatting>
  <conditionalFormatting sqref="BF320">
    <cfRule type="cellIs" dxfId="5" priority="6" operator="equal">
      <formula>0</formula>
    </cfRule>
  </conditionalFormatting>
  <conditionalFormatting sqref="BF327 BF329 BF331">
    <cfRule type="cellIs" dxfId="4" priority="5" operator="equal">
      <formula>0</formula>
    </cfRule>
  </conditionalFormatting>
  <conditionalFormatting sqref="BB329:BE329">
    <cfRule type="cellIs" dxfId="3" priority="4" operator="greaterThan">
      <formula>$C$307</formula>
    </cfRule>
  </conditionalFormatting>
  <conditionalFormatting sqref="BB331:BE331">
    <cfRule type="cellIs" dxfId="2" priority="3" operator="greaterThan">
      <formula>$C$308</formula>
    </cfRule>
  </conditionalFormatting>
  <conditionalFormatting sqref="BB320:BE320">
    <cfRule type="cellIs" dxfId="1" priority="2" operator="equal">
      <formula>0</formula>
    </cfRule>
  </conditionalFormatting>
  <conditionalFormatting sqref="BB327:BE327 BB329:BE329 BB331:BE331">
    <cfRule type="cellIs" dxfId="0" priority="1" operator="equal">
      <formula>0</formula>
    </cfRule>
  </conditionalFormatting>
  <hyperlinks>
    <hyperlink ref="E349" r:id="rId1" location="case-fatality-rate-of-covid-19-by-age" xr:uid="{0058192C-B05A-45D2-8597-C1F9B3D9241E}"/>
    <hyperlink ref="E372" r:id="rId2" location="case-fatality-rate-of-covid-19-by-preexisting-health-conditions" xr:uid="{110A2613-24A6-4768-B90C-571B307D13E2}"/>
    <hyperlink ref="B305" r:id="rId3" display="https://cmmid.github.io/topics/covid19/severity/global_cfr_estimates.html" xr:uid="{478D393B-144B-447C-BE80-8DB4A6AAAE87}"/>
    <hyperlink ref="A302" r:id="rId4" xr:uid="{F8C3DB32-759B-4C5A-975C-9AA8316EE6B0}"/>
  </hyperlinks>
  <pageMargins left="0.7" right="0.7" top="0.75" bottom="0.75" header="0.3" footer="0.3"/>
  <pageSetup paperSize="9" orientation="portrait" horizontalDpi="0" verticalDpi="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9" t="s">
        <v>115</v>
      </c>
      <c r="C3" s="163">
        <f>Projections!B299</f>
        <v>330565500</v>
      </c>
      <c r="J3" s="2"/>
    </row>
    <row r="4" spans="2:10" x14ac:dyDescent="0.25">
      <c r="B4" s="180" t="s">
        <v>132</v>
      </c>
      <c r="C4" s="163">
        <f>Projections!P318</f>
        <v>31.25</v>
      </c>
      <c r="J4" s="2"/>
    </row>
    <row r="5" spans="2:10" x14ac:dyDescent="0.25">
      <c r="B5" s="180" t="s">
        <v>133</v>
      </c>
      <c r="C5" s="161">
        <f>Projections!P317</f>
        <v>43882</v>
      </c>
      <c r="J5" s="2"/>
    </row>
    <row r="6" spans="2:10" x14ac:dyDescent="0.25">
      <c r="B6" s="180" t="s">
        <v>116</v>
      </c>
      <c r="C6" s="163">
        <v>2596537</v>
      </c>
    </row>
    <row r="7" spans="2:10" x14ac:dyDescent="0.25">
      <c r="B7" s="180" t="s">
        <v>118</v>
      </c>
      <c r="C7" s="161">
        <f ca="1">NOW()</f>
        <v>44010.595070370371</v>
      </c>
    </row>
    <row r="8" spans="2:10" x14ac:dyDescent="0.25">
      <c r="B8" s="180" t="s">
        <v>134</v>
      </c>
      <c r="C8" s="162">
        <f ca="1">C7-C5</f>
        <v>128.5950703703711</v>
      </c>
    </row>
    <row r="9" spans="2:10" x14ac:dyDescent="0.25">
      <c r="B9" s="180" t="s">
        <v>117</v>
      </c>
      <c r="C9" s="164">
        <f ca="1">C8/(LOG(C6/C4)/LOG(2))</f>
        <v>7.8688125545242738</v>
      </c>
      <c r="D9" t="s">
        <v>97</v>
      </c>
      <c r="F9" t="s">
        <v>135</v>
      </c>
    </row>
    <row r="10" spans="2:10" x14ac:dyDescent="0.25">
      <c r="B10" s="180" t="s">
        <v>122</v>
      </c>
      <c r="C10" s="163">
        <f>Projections!C307</f>
        <v>793357.2</v>
      </c>
    </row>
    <row r="11" spans="2:10" x14ac:dyDescent="0.25">
      <c r="B11" s="181" t="s">
        <v>123</v>
      </c>
      <c r="C11" s="168">
        <f>Projections!C308</f>
        <v>114706.22850000001</v>
      </c>
    </row>
    <row r="12" spans="2:10" s="69" customFormat="1" x14ac:dyDescent="0.25">
      <c r="B12" s="62" t="s">
        <v>163</v>
      </c>
      <c r="C12" s="169">
        <f>C6/Projections!B305</f>
        <v>9366079.8928571437</v>
      </c>
    </row>
    <row r="13" spans="2:10" s="69" customFormat="1" x14ac:dyDescent="0.25">
      <c r="B13" s="48" t="s">
        <v>164</v>
      </c>
      <c r="C13" s="170">
        <f ca="1">(C4/Projections!B305)*(2^(((C7-21)-C5)/C9))</f>
        <v>1472922.7936793317</v>
      </c>
    </row>
    <row r="14" spans="2:10" s="69" customFormat="1" x14ac:dyDescent="0.25">
      <c r="B14" s="49" t="s">
        <v>165</v>
      </c>
      <c r="C14" s="151">
        <f ca="1">C12-C13</f>
        <v>7893157.0991778122</v>
      </c>
      <c r="E14" s="166"/>
      <c r="F14" s="167" t="s">
        <v>139</v>
      </c>
      <c r="G14" s="165"/>
    </row>
    <row r="15" spans="2:10" x14ac:dyDescent="0.25">
      <c r="B15" s="4" t="s">
        <v>136</v>
      </c>
      <c r="C15" s="64">
        <f>C6*Projections!B310</f>
        <v>2103194.9700000002</v>
      </c>
      <c r="I15" s="160"/>
    </row>
    <row r="16" spans="2:10" x14ac:dyDescent="0.25">
      <c r="B16" s="41" t="s">
        <v>146</v>
      </c>
      <c r="C16" s="83">
        <f ca="1">(C4*Projections!B310)*(2^(((C7-21)-C5)/C9))</f>
        <v>330751.37584799243</v>
      </c>
      <c r="I16" s="160"/>
    </row>
    <row r="17" spans="2:9" x14ac:dyDescent="0.25">
      <c r="B17" s="41" t="s">
        <v>137</v>
      </c>
      <c r="C17" s="83">
        <f ca="1">C15-C16</f>
        <v>1772443.5941520077</v>
      </c>
      <c r="F17" t="s">
        <v>140</v>
      </c>
      <c r="I17" s="160"/>
    </row>
    <row r="18" spans="2:9" x14ac:dyDescent="0.25">
      <c r="B18" s="4" t="s">
        <v>142</v>
      </c>
      <c r="C18" s="64">
        <f>C6*Projections!B311</f>
        <v>363515.18000000005</v>
      </c>
    </row>
    <row r="19" spans="2:9" x14ac:dyDescent="0.25">
      <c r="B19" s="41" t="s">
        <v>147</v>
      </c>
      <c r="C19" s="83">
        <f ca="1">(C4*Projections!B311)*(2^(((C7-49)-C5)/C9))</f>
        <v>4852.5964504618241</v>
      </c>
    </row>
    <row r="20" spans="2:9" x14ac:dyDescent="0.25">
      <c r="B20" s="41" t="s">
        <v>141</v>
      </c>
      <c r="C20" s="83">
        <f ca="1">C18-C19</f>
        <v>358662.58354953822</v>
      </c>
      <c r="F20" t="s">
        <v>145</v>
      </c>
    </row>
    <row r="21" spans="2:9" x14ac:dyDescent="0.25">
      <c r="B21" s="4" t="s">
        <v>143</v>
      </c>
      <c r="C21" s="64">
        <f>C6*Projections!B312</f>
        <v>129826.85</v>
      </c>
      <c r="I21" s="160"/>
    </row>
    <row r="22" spans="2:9" x14ac:dyDescent="0.25">
      <c r="B22" s="41" t="s">
        <v>148</v>
      </c>
      <c r="C22" s="83">
        <f ca="1">(C4*Projections!B312)*(2^(((C7-49)-C5)/C9))</f>
        <v>1733.0701608792228</v>
      </c>
      <c r="I22" s="160"/>
    </row>
    <row r="23" spans="2:9" x14ac:dyDescent="0.25">
      <c r="B23" s="41" t="s">
        <v>144</v>
      </c>
      <c r="C23" s="83">
        <f ca="1">C21-C22</f>
        <v>128093.77983912078</v>
      </c>
      <c r="I23" s="160"/>
    </row>
    <row r="24" spans="2:9" x14ac:dyDescent="0.25">
      <c r="B24" s="4" t="s">
        <v>149</v>
      </c>
      <c r="C24" s="64">
        <f>C6*Projections!B313</f>
        <v>131125.11850000001</v>
      </c>
    </row>
    <row r="25" spans="2:9" x14ac:dyDescent="0.25">
      <c r="B25" s="37" t="s">
        <v>150</v>
      </c>
      <c r="C25" s="61">
        <f ca="1">(C4*Projections!B313)*(2^(((C7-42)-C5)/C9))</f>
        <v>3242.8745145688076</v>
      </c>
      <c r="F25" t="s">
        <v>151</v>
      </c>
    </row>
    <row r="26" spans="2:9" x14ac:dyDescent="0.25">
      <c r="B26" s="41" t="s">
        <v>127</v>
      </c>
      <c r="C26" s="173">
        <f ca="1">C9*(LOG(C10/C21)/LOG(2))</f>
        <v>20.54847377854459</v>
      </c>
      <c r="D26" t="s">
        <v>97</v>
      </c>
      <c r="F26" s="69" t="s">
        <v>152</v>
      </c>
    </row>
    <row r="27" spans="2:9" x14ac:dyDescent="0.25">
      <c r="B27" s="37" t="s">
        <v>124</v>
      </c>
      <c r="C27" s="172">
        <f ca="1">C7+C26</f>
        <v>44031.143544148916</v>
      </c>
      <c r="F27" t="s">
        <v>153</v>
      </c>
    </row>
    <row r="28" spans="2:9" x14ac:dyDescent="0.25">
      <c r="B28" s="4" t="s">
        <v>128</v>
      </c>
      <c r="C28" s="171">
        <f ca="1">C9*(LOG(C11/C21)/LOG(2))</f>
        <v>-1.4057244311212369</v>
      </c>
      <c r="D28" t="s">
        <v>97</v>
      </c>
    </row>
    <row r="29" spans="2:9" x14ac:dyDescent="0.25">
      <c r="B29" s="37" t="s">
        <v>125</v>
      </c>
      <c r="C29" s="172">
        <f ca="1">C7+C28</f>
        <v>44009.189345939252</v>
      </c>
      <c r="F29" t="s">
        <v>153</v>
      </c>
    </row>
    <row r="30" spans="2:9" x14ac:dyDescent="0.25">
      <c r="B30" s="4" t="s">
        <v>129</v>
      </c>
      <c r="C30" s="171">
        <f ca="1">C9*(LOG((C3*0.6)/C12)/LOG(2))</f>
        <v>34.657251770110861</v>
      </c>
      <c r="D30" t="s">
        <v>97</v>
      </c>
    </row>
    <row r="31" spans="2:9" x14ac:dyDescent="0.25">
      <c r="B31" s="37" t="s">
        <v>126</v>
      </c>
      <c r="C31" s="172">
        <f ca="1">C7+C30</f>
        <v>44045.252322140484</v>
      </c>
    </row>
    <row r="34" spans="2:6" x14ac:dyDescent="0.25">
      <c r="B34" s="4" t="s">
        <v>130</v>
      </c>
      <c r="C34" s="161">
        <f ca="1">C7+30</f>
        <v>44040.595070370371</v>
      </c>
      <c r="F34" t="s">
        <v>166</v>
      </c>
    </row>
    <row r="35" spans="2:6" x14ac:dyDescent="0.25">
      <c r="B35" s="41" t="s">
        <v>131</v>
      </c>
      <c r="C35" s="83">
        <f ca="1">C6*(2^((C34-C7)/C9))</f>
        <v>36481878.628331728</v>
      </c>
      <c r="F35" t="s">
        <v>138</v>
      </c>
    </row>
    <row r="36" spans="2:6" x14ac:dyDescent="0.25">
      <c r="B36" s="41" t="s">
        <v>185</v>
      </c>
      <c r="C36" s="83">
        <f ca="1">C35/Projections!B305</f>
        <v>131595347.90933946</v>
      </c>
    </row>
    <row r="37" spans="2:6" x14ac:dyDescent="0.25">
      <c r="B37" s="41" t="s">
        <v>73</v>
      </c>
      <c r="C37" s="83">
        <f ca="1">C35*Projections!B310</f>
        <v>29550321.688948702</v>
      </c>
    </row>
    <row r="38" spans="2:6" x14ac:dyDescent="0.25">
      <c r="B38" s="41" t="s">
        <v>119</v>
      </c>
      <c r="C38" s="83">
        <f ca="1">C35*Projections!B311</f>
        <v>5107463.007966442</v>
      </c>
    </row>
    <row r="39" spans="2:6" x14ac:dyDescent="0.25">
      <c r="B39" s="41" t="s">
        <v>120</v>
      </c>
      <c r="C39" s="83">
        <f ca="1">C35*Projections!B312</f>
        <v>1824093.9314165865</v>
      </c>
    </row>
    <row r="40" spans="2:6" x14ac:dyDescent="0.25">
      <c r="B40" s="37" t="s">
        <v>121</v>
      </c>
      <c r="C40" s="61">
        <f ca="1">C35*Projections!B313</f>
        <v>1842334.8707307524</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2:D108"/>
  <sheetViews>
    <sheetView workbookViewId="0">
      <selection activeCell="H46" sqref="H46"/>
    </sheetView>
  </sheetViews>
  <sheetFormatPr defaultRowHeight="15" x14ac:dyDescent="0.25"/>
  <cols>
    <col min="1" max="1" width="10" bestFit="1" customWidth="1"/>
    <col min="2" max="2" width="19.5703125" bestFit="1" customWidth="1"/>
    <col min="3" max="3" width="10.140625" bestFit="1" customWidth="1"/>
  </cols>
  <sheetData>
    <row r="2" spans="1:4" x14ac:dyDescent="0.25">
      <c r="A2" s="353" t="s">
        <v>180</v>
      </c>
      <c r="B2" s="225"/>
      <c r="C2" s="76"/>
    </row>
    <row r="3" spans="1:4" x14ac:dyDescent="0.25">
      <c r="A3" s="353"/>
      <c r="B3" s="225" t="s">
        <v>181</v>
      </c>
      <c r="C3" s="76"/>
    </row>
    <row r="4" spans="1:4" x14ac:dyDescent="0.25">
      <c r="A4" s="352" t="s">
        <v>47</v>
      </c>
      <c r="B4" s="228">
        <v>308745538</v>
      </c>
      <c r="C4" s="76"/>
    </row>
    <row r="5" spans="1:4" x14ac:dyDescent="0.25">
      <c r="A5" s="352"/>
      <c r="B5" s="226">
        <v>1</v>
      </c>
      <c r="C5" s="76"/>
    </row>
    <row r="6" spans="1:4" x14ac:dyDescent="0.25">
      <c r="A6" s="352" t="s">
        <v>21</v>
      </c>
      <c r="B6" s="228">
        <v>20201362</v>
      </c>
      <c r="C6" s="76"/>
    </row>
    <row r="7" spans="1:4" x14ac:dyDescent="0.25">
      <c r="A7" s="352"/>
      <c r="B7" s="227">
        <f>B6/$B$4</f>
        <v>6.5430458139932701E-2</v>
      </c>
      <c r="C7" s="77"/>
    </row>
    <row r="8" spans="1:4" x14ac:dyDescent="0.25">
      <c r="A8" s="352" t="s">
        <v>22</v>
      </c>
      <c r="B8" s="228">
        <v>20348657</v>
      </c>
      <c r="C8" s="76"/>
    </row>
    <row r="9" spans="1:4" x14ac:dyDescent="0.25">
      <c r="A9" s="352"/>
      <c r="B9" s="227">
        <f>B8/$B$4</f>
        <v>6.590753386045696E-2</v>
      </c>
      <c r="C9" s="228">
        <f>B6+B8</f>
        <v>40550019</v>
      </c>
      <c r="D9" s="1">
        <f>C9/$B$4</f>
        <v>0.13133799200038965</v>
      </c>
    </row>
    <row r="10" spans="1:4" x14ac:dyDescent="0.25">
      <c r="A10" s="352" t="s">
        <v>23</v>
      </c>
      <c r="B10" s="228">
        <v>20677194</v>
      </c>
      <c r="C10" s="76"/>
    </row>
    <row r="11" spans="1:4" x14ac:dyDescent="0.25">
      <c r="A11" s="352"/>
      <c r="B11" s="227">
        <f>B10/$B$4</f>
        <v>6.6971636688074182E-2</v>
      </c>
      <c r="C11" s="76"/>
    </row>
    <row r="12" spans="1:4" x14ac:dyDescent="0.25">
      <c r="A12" s="352" t="s">
        <v>24</v>
      </c>
      <c r="B12" s="228">
        <v>22040343</v>
      </c>
      <c r="C12" s="76"/>
    </row>
    <row r="13" spans="1:4" x14ac:dyDescent="0.25">
      <c r="A13" s="352"/>
      <c r="B13" s="227">
        <f>B12/$B$4</f>
        <v>7.13867579844992E-2</v>
      </c>
      <c r="C13" s="228">
        <f>B10+B12</f>
        <v>42717537</v>
      </c>
      <c r="D13" s="1">
        <f>C13/$B$4</f>
        <v>0.13835839467257338</v>
      </c>
    </row>
    <row r="14" spans="1:4" x14ac:dyDescent="0.25">
      <c r="A14" s="352" t="s">
        <v>25</v>
      </c>
      <c r="B14" s="228">
        <v>21585999</v>
      </c>
      <c r="C14" s="76"/>
    </row>
    <row r="15" spans="1:4" x14ac:dyDescent="0.25">
      <c r="A15" s="352"/>
      <c r="B15" s="227">
        <f>B14/$B$4</f>
        <v>6.9915177203305853E-2</v>
      </c>
      <c r="C15" s="76"/>
    </row>
    <row r="16" spans="1:4" x14ac:dyDescent="0.25">
      <c r="A16" s="352" t="s">
        <v>26</v>
      </c>
      <c r="B16" s="228">
        <v>21101849</v>
      </c>
      <c r="C16" s="76"/>
    </row>
    <row r="17" spans="1:4" x14ac:dyDescent="0.25">
      <c r="A17" s="352"/>
      <c r="B17" s="227">
        <f>B16/$B$4</f>
        <v>6.8347057375125531E-2</v>
      </c>
      <c r="C17" s="228">
        <f>B14+B16</f>
        <v>42687848</v>
      </c>
      <c r="D17" s="1">
        <f>C17/$B$4</f>
        <v>0.13826223457843137</v>
      </c>
    </row>
    <row r="18" spans="1:4" x14ac:dyDescent="0.25">
      <c r="A18" s="352" t="s">
        <v>27</v>
      </c>
      <c r="B18" s="228">
        <v>19962099</v>
      </c>
      <c r="C18" s="76"/>
    </row>
    <row r="19" spans="1:4" x14ac:dyDescent="0.25">
      <c r="A19" s="352"/>
      <c r="B19" s="227">
        <f>B18/$B$4</f>
        <v>6.465550604977488E-2</v>
      </c>
      <c r="C19" s="77"/>
    </row>
    <row r="20" spans="1:4" x14ac:dyDescent="0.25">
      <c r="A20" s="352" t="s">
        <v>28</v>
      </c>
      <c r="B20" s="228">
        <v>20179642</v>
      </c>
      <c r="C20" s="76"/>
    </row>
    <row r="21" spans="1:4" x14ac:dyDescent="0.25">
      <c r="A21" s="352"/>
      <c r="B21" s="227">
        <f>B20/$B$4</f>
        <v>6.5360108945121009E-2</v>
      </c>
      <c r="C21" s="228">
        <f>B18+B20</f>
        <v>40141741</v>
      </c>
      <c r="D21" s="1">
        <f>C21/$B$4</f>
        <v>0.13001561499489589</v>
      </c>
    </row>
    <row r="22" spans="1:4" x14ac:dyDescent="0.25">
      <c r="A22" s="352" t="s">
        <v>29</v>
      </c>
      <c r="B22" s="228">
        <v>20890964</v>
      </c>
      <c r="C22" s="76"/>
    </row>
    <row r="23" spans="1:4" x14ac:dyDescent="0.25">
      <c r="A23" s="352"/>
      <c r="B23" s="227">
        <f>B22/$B$4</f>
        <v>6.7664019163898012E-2</v>
      </c>
      <c r="C23" s="76"/>
    </row>
    <row r="24" spans="1:4" x14ac:dyDescent="0.25">
      <c r="A24" s="352" t="s">
        <v>30</v>
      </c>
      <c r="B24" s="228">
        <v>22708591</v>
      </c>
      <c r="C24" s="76"/>
    </row>
    <row r="25" spans="1:4" x14ac:dyDescent="0.25">
      <c r="A25" s="352"/>
      <c r="B25" s="227">
        <f>B24/$B$4</f>
        <v>7.3551155255885833E-2</v>
      </c>
      <c r="C25" s="228">
        <f>B22+B24</f>
        <v>43599555</v>
      </c>
      <c r="D25" s="1">
        <f>C25/$B$4</f>
        <v>0.14121517441978385</v>
      </c>
    </row>
    <row r="26" spans="1:4" x14ac:dyDescent="0.25">
      <c r="A26" s="352" t="s">
        <v>31</v>
      </c>
      <c r="B26" s="228">
        <v>22298125</v>
      </c>
      <c r="C26" s="76"/>
    </row>
    <row r="27" spans="1:4" x14ac:dyDescent="0.25">
      <c r="A27" s="352"/>
      <c r="B27" s="227">
        <f>B26/$B$4</f>
        <v>7.2221691508299629E-2</v>
      </c>
      <c r="C27" s="76"/>
    </row>
    <row r="28" spans="1:4" x14ac:dyDescent="0.25">
      <c r="A28" s="352" t="s">
        <v>32</v>
      </c>
      <c r="B28" s="228">
        <v>19664805</v>
      </c>
      <c r="C28" s="76"/>
    </row>
    <row r="29" spans="1:4" x14ac:dyDescent="0.25">
      <c r="A29" s="352"/>
      <c r="B29" s="227">
        <f>B28/$B$4</f>
        <v>6.3692596587420158E-2</v>
      </c>
      <c r="C29" s="228">
        <f>B26+B28</f>
        <v>41962930</v>
      </c>
      <c r="D29" s="1">
        <f>C29/$B$4</f>
        <v>0.13591428809571979</v>
      </c>
    </row>
    <row r="30" spans="1:4" x14ac:dyDescent="0.25">
      <c r="A30" s="352" t="s">
        <v>33</v>
      </c>
      <c r="B30" s="228">
        <v>16817924</v>
      </c>
      <c r="C30" s="76"/>
    </row>
    <row r="31" spans="1:4" x14ac:dyDescent="0.25">
      <c r="A31" s="352"/>
      <c r="B31" s="227">
        <f>B30/$B$4</f>
        <v>5.4471796123576693E-2</v>
      </c>
      <c r="C31" s="77"/>
    </row>
    <row r="32" spans="1:4" x14ac:dyDescent="0.25">
      <c r="A32" s="352" t="s">
        <v>34</v>
      </c>
      <c r="B32" s="228">
        <v>12435263</v>
      </c>
      <c r="C32" s="76"/>
    </row>
    <row r="33" spans="1:4" x14ac:dyDescent="0.25">
      <c r="A33" s="352"/>
      <c r="B33" s="227">
        <f>B32/$B$4</f>
        <v>4.027673753782314E-2</v>
      </c>
      <c r="C33" s="228">
        <f>B30+B32</f>
        <v>29253187</v>
      </c>
      <c r="D33" s="1">
        <f>C33/$B$4</f>
        <v>9.4748533661399834E-2</v>
      </c>
    </row>
    <row r="34" spans="1:4" x14ac:dyDescent="0.25">
      <c r="A34" s="352" t="s">
        <v>35</v>
      </c>
      <c r="B34" s="228">
        <v>9278166</v>
      </c>
      <c r="C34" s="76"/>
    </row>
    <row r="35" spans="1:4" x14ac:dyDescent="0.25">
      <c r="A35" s="352"/>
      <c r="B35" s="227">
        <f>B34/$B$4</f>
        <v>3.0051174375190486E-2</v>
      </c>
      <c r="C35" s="76"/>
    </row>
    <row r="36" spans="1:4" x14ac:dyDescent="0.25">
      <c r="A36" s="352" t="s">
        <v>36</v>
      </c>
      <c r="B36" s="228">
        <v>7317795</v>
      </c>
      <c r="C36" s="76"/>
    </row>
    <row r="37" spans="1:4" x14ac:dyDescent="0.25">
      <c r="A37" s="352"/>
      <c r="B37" s="227">
        <f>B36/$B$4</f>
        <v>2.370170285667416E-2</v>
      </c>
      <c r="C37" s="228">
        <f>B34+B36</f>
        <v>16595961</v>
      </c>
      <c r="D37" s="1">
        <f>C37/$B$4</f>
        <v>5.3752877231864643E-2</v>
      </c>
    </row>
    <row r="38" spans="1:4" x14ac:dyDescent="0.25">
      <c r="A38" s="352" t="s">
        <v>37</v>
      </c>
      <c r="B38" s="228">
        <v>5743327</v>
      </c>
      <c r="C38" s="76"/>
    </row>
    <row r="39" spans="1:4" x14ac:dyDescent="0.25">
      <c r="A39" s="352"/>
      <c r="B39" s="227">
        <f>B38/$B$4</f>
        <v>1.8602137660690663E-2</v>
      </c>
      <c r="C39" s="76"/>
    </row>
    <row r="40" spans="1:4" x14ac:dyDescent="0.25">
      <c r="A40" s="352" t="s">
        <v>179</v>
      </c>
      <c r="B40" s="228">
        <v>5493433</v>
      </c>
      <c r="C40" s="76"/>
    </row>
    <row r="41" spans="1:4" x14ac:dyDescent="0.25">
      <c r="A41" s="352"/>
      <c r="B41" s="227">
        <f>B40/$B$4</f>
        <v>1.7792752684250939E-2</v>
      </c>
      <c r="C41" s="228">
        <f>B38+B40</f>
        <v>11236760</v>
      </c>
      <c r="D41" s="1">
        <f>C41/$B$4</f>
        <v>3.6394890344941602E-2</v>
      </c>
    </row>
    <row r="42" spans="1:4" x14ac:dyDescent="0.25">
      <c r="C42" s="76"/>
    </row>
    <row r="43" spans="1:4" x14ac:dyDescent="0.25">
      <c r="B43" s="2">
        <f>SUM(B6,B8,B10,B12,B14,B16,B18,B20,B22,B24,B26,B28,B30,B32,B34,B36,B38,B40)</f>
        <v>308745538</v>
      </c>
      <c r="C43" s="77"/>
    </row>
    <row r="44" spans="1:4" x14ac:dyDescent="0.25">
      <c r="B44" s="1">
        <f>SUM(B7,B9,B11,B13,B15,B17,B19,B21,B23,B25,B27,B29,B31,B33,B35,B37,B39,B41)</f>
        <v>0.99999999999999989</v>
      </c>
      <c r="C44" s="76"/>
    </row>
    <row r="45" spans="1:4" x14ac:dyDescent="0.25">
      <c r="C45" s="76"/>
    </row>
    <row r="46" spans="1:4" x14ac:dyDescent="0.25">
      <c r="C46" s="76"/>
    </row>
    <row r="47" spans="1:4" x14ac:dyDescent="0.25">
      <c r="C47" s="76"/>
    </row>
    <row r="48" spans="1:4" x14ac:dyDescent="0.25">
      <c r="C48" s="76"/>
    </row>
    <row r="49" spans="1:3" x14ac:dyDescent="0.25">
      <c r="A49" s="1"/>
      <c r="C49" s="77"/>
    </row>
    <row r="50" spans="1:3" x14ac:dyDescent="0.25">
      <c r="C50" s="76"/>
    </row>
    <row r="51" spans="1:3" x14ac:dyDescent="0.25">
      <c r="C51" s="76"/>
    </row>
    <row r="52" spans="1:3" x14ac:dyDescent="0.25">
      <c r="C52" s="76"/>
    </row>
    <row r="53" spans="1:3" x14ac:dyDescent="0.25">
      <c r="C53" s="76"/>
    </row>
    <row r="54" spans="1:3" x14ac:dyDescent="0.25">
      <c r="C54" s="76"/>
    </row>
    <row r="55" spans="1:3" x14ac:dyDescent="0.25">
      <c r="C55" s="77"/>
    </row>
    <row r="56" spans="1:3" x14ac:dyDescent="0.25">
      <c r="C56" s="76"/>
    </row>
    <row r="57" spans="1:3" x14ac:dyDescent="0.25">
      <c r="C57" s="76"/>
    </row>
    <row r="58" spans="1:3" x14ac:dyDescent="0.25">
      <c r="C58" s="76"/>
    </row>
    <row r="59" spans="1:3" x14ac:dyDescent="0.25">
      <c r="C59" s="76"/>
    </row>
    <row r="60" spans="1:3" x14ac:dyDescent="0.25">
      <c r="C60" s="76"/>
    </row>
    <row r="61" spans="1:3" x14ac:dyDescent="0.25">
      <c r="A61" s="1"/>
      <c r="C61" s="77"/>
    </row>
    <row r="62" spans="1:3" x14ac:dyDescent="0.25">
      <c r="C62" s="76"/>
    </row>
    <row r="63" spans="1:3" x14ac:dyDescent="0.25">
      <c r="C63" s="76"/>
    </row>
    <row r="64" spans="1:3" x14ac:dyDescent="0.25">
      <c r="C64" s="76"/>
    </row>
    <row r="65" spans="1:3" x14ac:dyDescent="0.25">
      <c r="C65" s="76"/>
    </row>
    <row r="66" spans="1:3" x14ac:dyDescent="0.25">
      <c r="C66" s="76"/>
    </row>
    <row r="67" spans="1:3" x14ac:dyDescent="0.25">
      <c r="C67" s="77"/>
    </row>
    <row r="68" spans="1:3" x14ac:dyDescent="0.25">
      <c r="C68" s="76"/>
    </row>
    <row r="69" spans="1:3" x14ac:dyDescent="0.25">
      <c r="C69" s="76"/>
    </row>
    <row r="70" spans="1:3" x14ac:dyDescent="0.25">
      <c r="C70" s="76"/>
    </row>
    <row r="71" spans="1:3" x14ac:dyDescent="0.25">
      <c r="C71" s="76"/>
    </row>
    <row r="72" spans="1:3" x14ac:dyDescent="0.25">
      <c r="C72" s="76"/>
    </row>
    <row r="73" spans="1:3" x14ac:dyDescent="0.25">
      <c r="A73" s="1"/>
      <c r="C73" s="77"/>
    </row>
    <row r="74" spans="1:3" x14ac:dyDescent="0.25">
      <c r="C74" s="76"/>
    </row>
    <row r="75" spans="1:3" x14ac:dyDescent="0.25">
      <c r="C75" s="76"/>
    </row>
    <row r="76" spans="1:3" x14ac:dyDescent="0.25">
      <c r="C76" s="76"/>
    </row>
    <row r="77" spans="1:3" x14ac:dyDescent="0.25">
      <c r="C77" s="76"/>
    </row>
    <row r="78" spans="1:3" x14ac:dyDescent="0.25">
      <c r="C78" s="76"/>
    </row>
    <row r="79" spans="1:3" x14ac:dyDescent="0.25">
      <c r="C79" s="77"/>
    </row>
    <row r="80" spans="1:3" x14ac:dyDescent="0.25">
      <c r="C80" s="76"/>
    </row>
    <row r="81" spans="1:3" x14ac:dyDescent="0.25">
      <c r="C81" s="76"/>
    </row>
    <row r="82" spans="1:3" x14ac:dyDescent="0.25">
      <c r="C82" s="76"/>
    </row>
    <row r="83" spans="1:3" x14ac:dyDescent="0.25">
      <c r="C83" s="76"/>
    </row>
    <row r="84" spans="1:3" x14ac:dyDescent="0.25">
      <c r="C84" s="76"/>
    </row>
    <row r="85" spans="1:3" x14ac:dyDescent="0.25">
      <c r="A85" s="1"/>
      <c r="C85" s="77"/>
    </row>
    <row r="86" spans="1:3" x14ac:dyDescent="0.25">
      <c r="C86" s="76"/>
    </row>
    <row r="87" spans="1:3" x14ac:dyDescent="0.25">
      <c r="C87" s="76"/>
    </row>
    <row r="88" spans="1:3" x14ac:dyDescent="0.25">
      <c r="C88" s="76"/>
    </row>
    <row r="89" spans="1:3" x14ac:dyDescent="0.25">
      <c r="C89" s="76"/>
    </row>
    <row r="90" spans="1:3" x14ac:dyDescent="0.25">
      <c r="C90" s="76"/>
    </row>
    <row r="91" spans="1:3" x14ac:dyDescent="0.25">
      <c r="C91" s="77"/>
    </row>
    <row r="92" spans="1:3" x14ac:dyDescent="0.25">
      <c r="C92" s="76"/>
    </row>
    <row r="93" spans="1:3" x14ac:dyDescent="0.25">
      <c r="C93" s="76"/>
    </row>
    <row r="94" spans="1:3" x14ac:dyDescent="0.25">
      <c r="C94" s="76"/>
    </row>
    <row r="95" spans="1:3" x14ac:dyDescent="0.25">
      <c r="C95" s="76"/>
    </row>
    <row r="96" spans="1:3" x14ac:dyDescent="0.25">
      <c r="C96" s="76"/>
    </row>
    <row r="97" spans="1:3" x14ac:dyDescent="0.25">
      <c r="A97" s="1"/>
      <c r="C97" s="77"/>
    </row>
    <row r="98" spans="1:3" x14ac:dyDescent="0.25">
      <c r="C98" s="76"/>
    </row>
    <row r="99" spans="1:3" x14ac:dyDescent="0.25">
      <c r="C99" s="76"/>
    </row>
    <row r="100" spans="1:3" x14ac:dyDescent="0.25">
      <c r="C100" s="76"/>
    </row>
    <row r="101" spans="1:3" x14ac:dyDescent="0.25">
      <c r="C101" s="76"/>
    </row>
    <row r="102" spans="1:3" x14ac:dyDescent="0.25">
      <c r="C102" s="76"/>
    </row>
    <row r="103" spans="1:3" x14ac:dyDescent="0.25">
      <c r="C103" s="77"/>
    </row>
    <row r="104" spans="1:3" x14ac:dyDescent="0.25">
      <c r="C104" s="77"/>
    </row>
    <row r="105" spans="1:3" x14ac:dyDescent="0.25">
      <c r="C105" s="77"/>
    </row>
    <row r="106" spans="1:3" x14ac:dyDescent="0.25">
      <c r="C106" s="77"/>
    </row>
    <row r="107" spans="1:3" x14ac:dyDescent="0.25">
      <c r="A107" s="1"/>
      <c r="C107" s="77"/>
    </row>
    <row r="108" spans="1:3" x14ac:dyDescent="0.25">
      <c r="C108" s="78"/>
    </row>
  </sheetData>
  <mergeCells count="20">
    <mergeCell ref="A38:A39"/>
    <mergeCell ref="A40:A41"/>
    <mergeCell ref="A26:A27"/>
    <mergeCell ref="A28:A29"/>
    <mergeCell ref="A30:A31"/>
    <mergeCell ref="A32:A33"/>
    <mergeCell ref="A34:A35"/>
    <mergeCell ref="A36:A37"/>
    <mergeCell ref="A24:A25"/>
    <mergeCell ref="A2:A3"/>
    <mergeCell ref="A4:A5"/>
    <mergeCell ref="A6:A7"/>
    <mergeCell ref="A8:A9"/>
    <mergeCell ref="A10:A11"/>
    <mergeCell ref="A12:A13"/>
    <mergeCell ref="A14:A15"/>
    <mergeCell ref="A16:A17"/>
    <mergeCell ref="A18:A19"/>
    <mergeCell ref="A20:A21"/>
    <mergeCell ref="A22:A23"/>
  </mergeCells>
  <hyperlinks>
    <hyperlink ref="A2:A3" r:id="rId1" location="Demographic_statistics" display="Age group" xr:uid="{7E03ABC8-8ADA-47B5-A8A5-FE4BE1629C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C14"/>
  <sheetViews>
    <sheetView workbookViewId="0">
      <selection activeCell="H18" sqref="H18"/>
    </sheetView>
  </sheetViews>
  <sheetFormatPr defaultRowHeight="15" x14ac:dyDescent="0.25"/>
  <sheetData>
    <row r="1" spans="1:3" x14ac:dyDescent="0.25">
      <c r="A1" t="s">
        <v>182</v>
      </c>
    </row>
    <row r="2" spans="1:3" x14ac:dyDescent="0.25">
      <c r="A2" t="s">
        <v>183</v>
      </c>
    </row>
    <row r="3" spans="1:3" x14ac:dyDescent="0.25">
      <c r="A3" t="s">
        <v>44</v>
      </c>
      <c r="B3" t="s">
        <v>45</v>
      </c>
      <c r="C3" t="s">
        <v>46</v>
      </c>
    </row>
    <row r="4" spans="1:3" x14ac:dyDescent="0.25">
      <c r="A4" s="41" t="s">
        <v>12</v>
      </c>
      <c r="B4">
        <v>161</v>
      </c>
      <c r="C4" s="3">
        <f t="shared" ref="C4:C12" si="0">B4/$B$14</f>
        <v>2.8847876724601325E-2</v>
      </c>
    </row>
    <row r="5" spans="1:3" x14ac:dyDescent="0.25">
      <c r="A5" s="41" t="s">
        <v>13</v>
      </c>
      <c r="B5">
        <v>595</v>
      </c>
      <c r="C5" s="3">
        <f t="shared" si="0"/>
        <v>0.10661171833004837</v>
      </c>
    </row>
    <row r="6" spans="1:3" x14ac:dyDescent="0.25">
      <c r="A6" s="41" t="s">
        <v>14</v>
      </c>
      <c r="B6">
        <v>934</v>
      </c>
      <c r="C6" s="3">
        <f t="shared" si="0"/>
        <v>0.16735352087439526</v>
      </c>
    </row>
    <row r="7" spans="1:3" x14ac:dyDescent="0.25">
      <c r="A7" s="41" t="s">
        <v>15</v>
      </c>
      <c r="B7">
        <v>867</v>
      </c>
      <c r="C7" s="3">
        <f t="shared" si="0"/>
        <v>0.15534850385235621</v>
      </c>
    </row>
    <row r="8" spans="1:3" x14ac:dyDescent="0.25">
      <c r="A8" s="41" t="s">
        <v>16</v>
      </c>
      <c r="B8">
        <v>724</v>
      </c>
      <c r="C8" s="3">
        <f t="shared" si="0"/>
        <v>0.12972585558143701</v>
      </c>
    </row>
    <row r="9" spans="1:3" x14ac:dyDescent="0.25">
      <c r="A9" s="41" t="s">
        <v>17</v>
      </c>
      <c r="B9">
        <v>878</v>
      </c>
      <c r="C9" s="3">
        <f t="shared" si="0"/>
        <v>0.15731947679627306</v>
      </c>
    </row>
    <row r="10" spans="1:3" x14ac:dyDescent="0.25">
      <c r="A10" s="41" t="s">
        <v>18</v>
      </c>
      <c r="B10">
        <v>1206</v>
      </c>
      <c r="C10" s="3">
        <f t="shared" si="0"/>
        <v>0.2160903063967031</v>
      </c>
    </row>
    <row r="11" spans="1:3" ht="15.75" customHeight="1" x14ac:dyDescent="0.25">
      <c r="A11" s="42" t="s">
        <v>19</v>
      </c>
      <c r="B11">
        <v>161</v>
      </c>
      <c r="C11" s="3">
        <f t="shared" si="0"/>
        <v>2.8847876724601325E-2</v>
      </c>
    </row>
    <row r="12" spans="1:3" x14ac:dyDescent="0.25">
      <c r="A12" s="42" t="s">
        <v>20</v>
      </c>
      <c r="B12">
        <v>55</v>
      </c>
      <c r="C12" s="3">
        <f t="shared" si="0"/>
        <v>9.8548647195843032E-3</v>
      </c>
    </row>
    <row r="14" spans="1:3" x14ac:dyDescent="0.25">
      <c r="A14" t="s">
        <v>47</v>
      </c>
      <c r="B14">
        <f>SUM(B4:B12)</f>
        <v>5581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D2B28-88AD-43AE-B2B9-0612158B70D1}">
  <dimension ref="A1:D54"/>
  <sheetViews>
    <sheetView topLeftCell="A4" workbookViewId="0">
      <selection activeCell="G29" sqref="G29"/>
    </sheetView>
  </sheetViews>
  <sheetFormatPr defaultRowHeight="15" x14ac:dyDescent="0.25"/>
  <cols>
    <col min="1" max="1" width="43.5703125" customWidth="1"/>
  </cols>
  <sheetData>
    <row r="1" spans="1:4" x14ac:dyDescent="0.25">
      <c r="A1" t="s">
        <v>612</v>
      </c>
    </row>
    <row r="2" spans="1:4" x14ac:dyDescent="0.25">
      <c r="A2" s="289" t="s">
        <v>583</v>
      </c>
    </row>
    <row r="3" spans="1:4" x14ac:dyDescent="0.25">
      <c r="A3" t="s">
        <v>613</v>
      </c>
    </row>
    <row r="4" spans="1:4" x14ac:dyDescent="0.25">
      <c r="B4" t="s">
        <v>590</v>
      </c>
      <c r="C4" t="s">
        <v>591</v>
      </c>
    </row>
    <row r="5" spans="1:4" x14ac:dyDescent="0.25">
      <c r="A5" t="s">
        <v>584</v>
      </c>
      <c r="B5">
        <v>5.6</v>
      </c>
      <c r="C5" s="1">
        <f>B5/100000</f>
        <v>5.5999999999999999E-5</v>
      </c>
    </row>
    <row r="6" spans="1:4" x14ac:dyDescent="0.25">
      <c r="A6" s="359" t="s">
        <v>585</v>
      </c>
      <c r="B6">
        <v>3.1</v>
      </c>
      <c r="C6" s="1">
        <f t="shared" ref="C6:C13" si="0">B6/100000</f>
        <v>3.1000000000000001E-5</v>
      </c>
    </row>
    <row r="7" spans="1:4" x14ac:dyDescent="0.25">
      <c r="A7" t="s">
        <v>586</v>
      </c>
      <c r="B7">
        <v>27.3</v>
      </c>
      <c r="C7" s="1">
        <f t="shared" si="0"/>
        <v>2.7300000000000002E-4</v>
      </c>
    </row>
    <row r="8" spans="1:4" x14ac:dyDescent="0.25">
      <c r="A8" t="s">
        <v>17</v>
      </c>
      <c r="B8">
        <v>52.5</v>
      </c>
      <c r="C8" s="1">
        <f t="shared" si="0"/>
        <v>5.2499999999999997E-4</v>
      </c>
    </row>
    <row r="9" spans="1:4" x14ac:dyDescent="0.25">
      <c r="A9" t="s">
        <v>16</v>
      </c>
      <c r="B9">
        <v>84.6</v>
      </c>
      <c r="C9" s="1">
        <f t="shared" si="0"/>
        <v>8.4599999999999996E-4</v>
      </c>
    </row>
    <row r="10" spans="1:4" x14ac:dyDescent="0.25">
      <c r="A10" t="s">
        <v>587</v>
      </c>
      <c r="B10">
        <v>136.1</v>
      </c>
      <c r="C10" s="1">
        <f t="shared" si="0"/>
        <v>1.361E-3</v>
      </c>
    </row>
    <row r="11" spans="1:4" x14ac:dyDescent="0.25">
      <c r="A11" t="s">
        <v>588</v>
      </c>
      <c r="B11">
        <v>198.7</v>
      </c>
      <c r="C11" s="1">
        <f t="shared" si="0"/>
        <v>1.9870000000000001E-3</v>
      </c>
    </row>
    <row r="12" spans="1:4" x14ac:dyDescent="0.25">
      <c r="A12" t="s">
        <v>589</v>
      </c>
      <c r="B12">
        <v>329.3</v>
      </c>
      <c r="C12" s="1">
        <f t="shared" si="0"/>
        <v>3.2929999999999999E-3</v>
      </c>
    </row>
    <row r="13" spans="1:4" x14ac:dyDescent="0.25">
      <c r="A13" t="s">
        <v>179</v>
      </c>
      <c r="B13">
        <v>513.20000000000005</v>
      </c>
      <c r="C13" s="1">
        <f t="shared" si="0"/>
        <v>5.1320000000000003E-3</v>
      </c>
    </row>
    <row r="14" spans="1:4" x14ac:dyDescent="0.25">
      <c r="C14" s="1"/>
    </row>
    <row r="15" spans="1:4" x14ac:dyDescent="0.25">
      <c r="A15" s="289" t="s">
        <v>614</v>
      </c>
      <c r="C15" s="1"/>
    </row>
    <row r="16" spans="1:4" x14ac:dyDescent="0.25">
      <c r="A16" t="s">
        <v>616</v>
      </c>
      <c r="B16" t="s">
        <v>590</v>
      </c>
      <c r="C16" s="1" t="s">
        <v>591</v>
      </c>
      <c r="D16" t="s">
        <v>621</v>
      </c>
    </row>
    <row r="17" spans="1:4" x14ac:dyDescent="0.25">
      <c r="A17" t="s">
        <v>615</v>
      </c>
      <c r="B17">
        <v>221.2</v>
      </c>
      <c r="C17" s="1">
        <f>B17/100000</f>
        <v>2.212E-3</v>
      </c>
      <c r="D17" s="176">
        <f t="shared" ref="D17:D20" si="1">B17/$B$21</f>
        <v>5.5162094763092266</v>
      </c>
    </row>
    <row r="18" spans="1:4" x14ac:dyDescent="0.25">
      <c r="A18" t="s">
        <v>617</v>
      </c>
      <c r="B18">
        <v>178.1</v>
      </c>
      <c r="C18" s="1">
        <f t="shared" ref="C18:C21" si="2">B18/100000</f>
        <v>1.781E-3</v>
      </c>
      <c r="D18" s="176">
        <f t="shared" si="1"/>
        <v>4.4413965087281788</v>
      </c>
    </row>
    <row r="19" spans="1:4" x14ac:dyDescent="0.25">
      <c r="A19" t="s">
        <v>618</v>
      </c>
      <c r="B19">
        <v>160.69999999999999</v>
      </c>
      <c r="C19" s="1">
        <f t="shared" si="2"/>
        <v>1.6069999999999999E-3</v>
      </c>
      <c r="D19" s="176">
        <f t="shared" si="1"/>
        <v>4.0074812967581046</v>
      </c>
    </row>
    <row r="20" spans="1:4" x14ac:dyDescent="0.25">
      <c r="A20" t="s">
        <v>619</v>
      </c>
      <c r="B20">
        <v>48.4</v>
      </c>
      <c r="C20" s="1">
        <f t="shared" si="2"/>
        <v>4.84E-4</v>
      </c>
      <c r="D20" s="176">
        <f t="shared" si="1"/>
        <v>1.2069825436408976</v>
      </c>
    </row>
    <row r="21" spans="1:4" x14ac:dyDescent="0.25">
      <c r="A21" t="s">
        <v>620</v>
      </c>
      <c r="B21">
        <v>40.1</v>
      </c>
      <c r="C21" s="1">
        <f t="shared" si="2"/>
        <v>4.0099999999999999E-4</v>
      </c>
      <c r="D21">
        <f>B21/$B$21</f>
        <v>1</v>
      </c>
    </row>
    <row r="22" spans="1:4" x14ac:dyDescent="0.25">
      <c r="C22" s="1"/>
    </row>
    <row r="23" spans="1:4" x14ac:dyDescent="0.25">
      <c r="A23" t="s">
        <v>622</v>
      </c>
      <c r="C23" s="1"/>
    </row>
    <row r="24" spans="1:4" x14ac:dyDescent="0.25">
      <c r="A24" t="s">
        <v>623</v>
      </c>
      <c r="C24" s="1"/>
    </row>
    <row r="25" spans="1:4" x14ac:dyDescent="0.25">
      <c r="A25" t="s">
        <v>624</v>
      </c>
      <c r="C25" s="1"/>
    </row>
    <row r="26" spans="1:4" x14ac:dyDescent="0.25">
      <c r="A26" t="s">
        <v>625</v>
      </c>
      <c r="C26" s="1"/>
    </row>
    <row r="27" spans="1:4" x14ac:dyDescent="0.25">
      <c r="A27" t="s">
        <v>626</v>
      </c>
      <c r="C27" s="1"/>
    </row>
    <row r="28" spans="1:4" x14ac:dyDescent="0.25">
      <c r="A28" t="s">
        <v>627</v>
      </c>
      <c r="C28" s="1"/>
    </row>
    <row r="29" spans="1:4" x14ac:dyDescent="0.25">
      <c r="A29" t="s">
        <v>628</v>
      </c>
      <c r="C29" s="1"/>
    </row>
    <row r="30" spans="1:4" x14ac:dyDescent="0.25">
      <c r="A30" t="s">
        <v>629</v>
      </c>
      <c r="C30" s="1"/>
    </row>
    <row r="31" spans="1:4" x14ac:dyDescent="0.25">
      <c r="C31" s="1"/>
    </row>
    <row r="32" spans="1:4" x14ac:dyDescent="0.25">
      <c r="A32" s="289" t="s">
        <v>611</v>
      </c>
    </row>
    <row r="33" spans="1:1" x14ac:dyDescent="0.25">
      <c r="A33" s="290" t="s">
        <v>592</v>
      </c>
    </row>
    <row r="34" spans="1:1" x14ac:dyDescent="0.25">
      <c r="A34" t="s">
        <v>593</v>
      </c>
    </row>
    <row r="35" spans="1:1" x14ac:dyDescent="0.25">
      <c r="A35" t="s">
        <v>594</v>
      </c>
    </row>
    <row r="36" spans="1:1" x14ac:dyDescent="0.25">
      <c r="A36" t="s">
        <v>595</v>
      </c>
    </row>
    <row r="37" spans="1:1" x14ac:dyDescent="0.25">
      <c r="A37" t="s">
        <v>596</v>
      </c>
    </row>
    <row r="38" spans="1:1" x14ac:dyDescent="0.25">
      <c r="A38" t="s">
        <v>597</v>
      </c>
    </row>
    <row r="39" spans="1:1" x14ac:dyDescent="0.25">
      <c r="A39" t="s">
        <v>598</v>
      </c>
    </row>
    <row r="40" spans="1:1" x14ac:dyDescent="0.25">
      <c r="A40" t="s">
        <v>599</v>
      </c>
    </row>
    <row r="42" spans="1:1" x14ac:dyDescent="0.25">
      <c r="A42" s="290" t="s">
        <v>600</v>
      </c>
    </row>
    <row r="43" spans="1:1" x14ac:dyDescent="0.25">
      <c r="A43" t="s">
        <v>601</v>
      </c>
    </row>
    <row r="44" spans="1:1" x14ac:dyDescent="0.25">
      <c r="A44" t="s">
        <v>602</v>
      </c>
    </row>
    <row r="45" spans="1:1" x14ac:dyDescent="0.25">
      <c r="A45" t="s">
        <v>603</v>
      </c>
    </row>
    <row r="46" spans="1:1" x14ac:dyDescent="0.25">
      <c r="A46" t="s">
        <v>7</v>
      </c>
    </row>
    <row r="47" spans="1:1" x14ac:dyDescent="0.25">
      <c r="A47" t="s">
        <v>604</v>
      </c>
    </row>
    <row r="48" spans="1:1" x14ac:dyDescent="0.25">
      <c r="A48" t="s">
        <v>605</v>
      </c>
    </row>
    <row r="49" spans="1:1" x14ac:dyDescent="0.25">
      <c r="A49" t="s">
        <v>606</v>
      </c>
    </row>
    <row r="50" spans="1:1" x14ac:dyDescent="0.25">
      <c r="A50" t="s">
        <v>607</v>
      </c>
    </row>
    <row r="51" spans="1:1" x14ac:dyDescent="0.25">
      <c r="A51" t="s">
        <v>608</v>
      </c>
    </row>
    <row r="52" spans="1:1" x14ac:dyDescent="0.25">
      <c r="A52" t="s">
        <v>9</v>
      </c>
    </row>
    <row r="53" spans="1:1" x14ac:dyDescent="0.25">
      <c r="A53" t="s">
        <v>609</v>
      </c>
    </row>
    <row r="54" spans="1:1" x14ac:dyDescent="0.25">
      <c r="A54" t="s">
        <v>610</v>
      </c>
    </row>
  </sheetData>
  <hyperlinks>
    <hyperlink ref="A2" r:id="rId1" xr:uid="{EBE3DF82-0478-49E9-93D2-A26F4A378737}"/>
    <hyperlink ref="A32" r:id="rId2" xr:uid="{0EC8798D-05B6-4280-9FE9-1A956B50AD58}"/>
    <hyperlink ref="A15" r:id="rId3" xr:uid="{360A7729-3D96-4C6A-80B8-B641B2F4A0E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062E7-8606-4A3D-9E4F-B90089708D67}">
  <dimension ref="A1:AE68"/>
  <sheetViews>
    <sheetView workbookViewId="0">
      <selection activeCell="N27" sqref="N27"/>
    </sheetView>
  </sheetViews>
  <sheetFormatPr defaultRowHeight="15" x14ac:dyDescent="0.25"/>
  <cols>
    <col min="1" max="1" width="57.85546875" bestFit="1" customWidth="1"/>
    <col min="2" max="2" width="12.85546875" bestFit="1" customWidth="1"/>
    <col min="3" max="3" width="11.7109375" customWidth="1"/>
    <col min="4" max="4" width="12" customWidth="1"/>
    <col min="5" max="5" width="21" customWidth="1"/>
    <col min="7" max="7" width="21" customWidth="1"/>
    <col min="8" max="8" width="12.28515625" bestFit="1" customWidth="1"/>
    <col min="11" max="11" width="9.7109375" bestFit="1" customWidth="1"/>
    <col min="12" max="12" width="10.7109375" bestFit="1" customWidth="1"/>
    <col min="14" max="14" width="19.42578125" bestFit="1" customWidth="1"/>
    <col min="15" max="16" width="10.7109375" bestFit="1" customWidth="1"/>
    <col min="17" max="17" width="14.42578125" bestFit="1" customWidth="1"/>
    <col min="18" max="18" width="16" bestFit="1" customWidth="1"/>
    <col min="19" max="19" width="19" bestFit="1" customWidth="1"/>
    <col min="20" max="20" width="14.85546875" bestFit="1" customWidth="1"/>
  </cols>
  <sheetData>
    <row r="1" spans="1:20" x14ac:dyDescent="0.25">
      <c r="A1" s="289" t="s">
        <v>445</v>
      </c>
      <c r="O1" s="290" t="s">
        <v>442</v>
      </c>
    </row>
    <row r="2" spans="1:20" s="313" customFormat="1" ht="45" x14ac:dyDescent="0.25">
      <c r="A2" s="312" t="s">
        <v>431</v>
      </c>
      <c r="B2" s="312" t="s">
        <v>432</v>
      </c>
      <c r="C2" s="312" t="s">
        <v>433</v>
      </c>
      <c r="D2" s="312" t="s">
        <v>455</v>
      </c>
      <c r="E2" s="312" t="s">
        <v>443</v>
      </c>
      <c r="F2" s="312" t="s">
        <v>487</v>
      </c>
      <c r="G2" s="312" t="s">
        <v>498</v>
      </c>
      <c r="H2" s="312" t="s">
        <v>500</v>
      </c>
      <c r="O2" s="315" t="s">
        <v>488</v>
      </c>
      <c r="P2" s="316" t="s">
        <v>489</v>
      </c>
      <c r="Q2" s="316" t="s">
        <v>97</v>
      </c>
      <c r="R2" s="316" t="s">
        <v>490</v>
      </c>
      <c r="S2" s="316" t="s">
        <v>491</v>
      </c>
      <c r="T2" s="317" t="s">
        <v>492</v>
      </c>
    </row>
    <row r="3" spans="1:20" s="313" customFormat="1" x14ac:dyDescent="0.25">
      <c r="A3" s="329" t="s">
        <v>553</v>
      </c>
      <c r="B3" s="306">
        <v>10000000</v>
      </c>
      <c r="C3" s="339">
        <v>0.9</v>
      </c>
      <c r="D3" s="264">
        <v>700</v>
      </c>
      <c r="E3" s="329"/>
      <c r="F3" s="329"/>
      <c r="G3" s="329"/>
      <c r="H3" s="329"/>
      <c r="I3" s="330" t="s">
        <v>552</v>
      </c>
      <c r="O3" s="327"/>
      <c r="P3" s="326"/>
      <c r="Q3" s="326"/>
      <c r="R3" s="316"/>
      <c r="S3" s="326"/>
      <c r="T3" s="328"/>
    </row>
    <row r="4" spans="1:20" x14ac:dyDescent="0.25">
      <c r="A4" t="s">
        <v>440</v>
      </c>
      <c r="B4" s="306">
        <v>755000</v>
      </c>
      <c r="C4" s="1">
        <v>2.385E-2</v>
      </c>
      <c r="D4" s="264">
        <v>520</v>
      </c>
      <c r="F4" s="2"/>
      <c r="G4" s="259">
        <v>43918</v>
      </c>
      <c r="H4" s="264">
        <v>644</v>
      </c>
      <c r="O4" s="318">
        <v>43890</v>
      </c>
      <c r="P4" s="251">
        <f ca="1">NOW()</f>
        <v>44010.595070370371</v>
      </c>
      <c r="Q4" s="136">
        <f ca="1">P4-O4</f>
        <v>120.5950703703711</v>
      </c>
      <c r="R4" s="310">
        <v>128152</v>
      </c>
      <c r="S4" s="10">
        <f ca="1">R4/Q4</f>
        <v>1062.6636694718954</v>
      </c>
      <c r="T4" s="83">
        <f ca="1">("31/12/2020"-O4)*S4</f>
        <v>325175.08285840001</v>
      </c>
    </row>
    <row r="5" spans="1:20" x14ac:dyDescent="0.25">
      <c r="A5" s="39" t="s">
        <v>426</v>
      </c>
      <c r="B5" s="307">
        <v>405399</v>
      </c>
      <c r="C5" s="44">
        <v>3.7000000000000002E-3</v>
      </c>
      <c r="D5" s="292">
        <v>297</v>
      </c>
      <c r="E5" s="39"/>
      <c r="F5" s="11"/>
      <c r="G5" s="293">
        <v>43915</v>
      </c>
      <c r="H5" s="292">
        <v>303</v>
      </c>
      <c r="O5" s="41"/>
      <c r="P5" s="16"/>
      <c r="Q5" s="16"/>
      <c r="R5" s="14">
        <f>R4/Projections!B299</f>
        <v>3.8767505985954373E-4</v>
      </c>
      <c r="S5" s="16" t="s">
        <v>534</v>
      </c>
      <c r="T5" s="17"/>
    </row>
    <row r="6" spans="1:20" x14ac:dyDescent="0.25">
      <c r="A6" s="92" t="s">
        <v>427</v>
      </c>
      <c r="B6" s="304">
        <v>116516</v>
      </c>
      <c r="C6" s="335">
        <v>1.1000000000000001E-3</v>
      </c>
      <c r="D6" s="324">
        <v>279</v>
      </c>
      <c r="E6" s="295">
        <v>43994</v>
      </c>
      <c r="F6" s="294">
        <v>116825</v>
      </c>
      <c r="G6" s="259">
        <v>43915</v>
      </c>
      <c r="H6" s="264">
        <v>303</v>
      </c>
      <c r="O6" s="41"/>
      <c r="P6" s="319" t="s">
        <v>96</v>
      </c>
      <c r="Q6" s="319"/>
      <c r="R6" s="319" t="s">
        <v>493</v>
      </c>
      <c r="S6" s="16"/>
      <c r="T6" s="17"/>
    </row>
    <row r="7" spans="1:20" x14ac:dyDescent="0.25">
      <c r="A7" s="92" t="s">
        <v>429</v>
      </c>
      <c r="B7" s="304">
        <v>58209</v>
      </c>
      <c r="C7" s="297">
        <v>3.2000000000000003E-4</v>
      </c>
      <c r="D7" s="264">
        <v>11</v>
      </c>
      <c r="E7" s="295">
        <v>43949</v>
      </c>
      <c r="F7" s="294">
        <v>59265</v>
      </c>
      <c r="G7" s="259">
        <v>43905</v>
      </c>
      <c r="H7" s="264">
        <v>15</v>
      </c>
      <c r="O7" s="320" t="s">
        <v>481</v>
      </c>
      <c r="P7" s="251">
        <v>43942</v>
      </c>
      <c r="Q7" s="16"/>
      <c r="R7" s="310">
        <v>2683</v>
      </c>
      <c r="S7" s="16"/>
      <c r="T7" s="17"/>
    </row>
    <row r="8" spans="1:20" x14ac:dyDescent="0.25">
      <c r="A8" s="92" t="s">
        <v>548</v>
      </c>
      <c r="B8" s="304">
        <v>39457</v>
      </c>
      <c r="C8" s="321">
        <f>B8/Projections!B299</f>
        <v>1.19362123391582E-4</v>
      </c>
      <c r="D8" s="324">
        <f>B8/365</f>
        <v>108.1013698630137</v>
      </c>
      <c r="E8" s="295">
        <v>43940</v>
      </c>
      <c r="F8" s="294">
        <v>40901</v>
      </c>
      <c r="G8" s="259">
        <v>43912</v>
      </c>
      <c r="H8" s="264">
        <v>135</v>
      </c>
      <c r="I8" t="s">
        <v>538</v>
      </c>
      <c r="O8" s="37"/>
      <c r="P8" s="39"/>
      <c r="Q8" s="39"/>
      <c r="R8" s="340">
        <f>R7/Projections!B299</f>
        <v>8.1163944815777812E-6</v>
      </c>
      <c r="S8" s="39"/>
      <c r="T8" s="63"/>
    </row>
    <row r="9" spans="1:20" x14ac:dyDescent="0.25">
      <c r="A9" s="92" t="s">
        <v>428</v>
      </c>
      <c r="B9" s="304">
        <v>36516</v>
      </c>
      <c r="C9" s="297">
        <v>2.4000000000000001E-4</v>
      </c>
      <c r="D9" s="264">
        <v>30</v>
      </c>
      <c r="E9" s="295">
        <v>43938</v>
      </c>
      <c r="F9" s="294">
        <v>37448</v>
      </c>
      <c r="G9" s="259">
        <v>43908</v>
      </c>
      <c r="H9" s="264">
        <v>50</v>
      </c>
    </row>
    <row r="10" spans="1:20" x14ac:dyDescent="0.25">
      <c r="A10" s="92" t="s">
        <v>438</v>
      </c>
      <c r="B10" s="304">
        <v>25000</v>
      </c>
      <c r="C10" s="338">
        <v>0.01</v>
      </c>
      <c r="D10" s="264">
        <v>11</v>
      </c>
      <c r="E10" s="295">
        <v>43933</v>
      </c>
      <c r="F10" s="294">
        <v>25789</v>
      </c>
      <c r="G10" s="259">
        <v>43905</v>
      </c>
      <c r="H10" s="264">
        <v>15</v>
      </c>
    </row>
    <row r="11" spans="1:20" x14ac:dyDescent="0.25">
      <c r="A11" s="92" t="s">
        <v>439</v>
      </c>
      <c r="B11" s="304">
        <v>15000</v>
      </c>
      <c r="C11" s="335">
        <v>2.0699999999999998E-3</v>
      </c>
      <c r="D11" s="264">
        <v>15</v>
      </c>
      <c r="E11" s="295">
        <v>375933</v>
      </c>
      <c r="F11" s="294">
        <v>15526</v>
      </c>
      <c r="G11" s="259">
        <v>43905</v>
      </c>
      <c r="H11" s="264">
        <v>15</v>
      </c>
    </row>
    <row r="12" spans="1:20" x14ac:dyDescent="0.25">
      <c r="A12" s="92" t="s">
        <v>441</v>
      </c>
      <c r="B12" s="304">
        <v>13282</v>
      </c>
      <c r="C12" s="335">
        <v>5.6999999999999998E-4</v>
      </c>
      <c r="D12" s="264">
        <v>29</v>
      </c>
      <c r="E12" s="295">
        <v>43927</v>
      </c>
      <c r="F12" s="294">
        <v>13298</v>
      </c>
      <c r="G12" s="259">
        <v>43908</v>
      </c>
      <c r="H12" s="264">
        <v>50</v>
      </c>
    </row>
    <row r="13" spans="1:20" x14ac:dyDescent="0.25">
      <c r="A13" s="92" t="s">
        <v>557</v>
      </c>
      <c r="B13" s="304">
        <v>6000</v>
      </c>
      <c r="C13" s="321">
        <f>B13/Projections!B299</f>
        <v>1.8150714457497833E-5</v>
      </c>
      <c r="D13" s="324">
        <f>B13/365</f>
        <v>16.438356164383563</v>
      </c>
      <c r="E13" s="295">
        <v>43922</v>
      </c>
      <c r="F13" s="294">
        <v>6407</v>
      </c>
      <c r="G13" s="259">
        <v>43906</v>
      </c>
      <c r="H13" s="264">
        <v>22</v>
      </c>
    </row>
    <row r="14" spans="1:20" x14ac:dyDescent="0.25">
      <c r="A14" s="92" t="s">
        <v>437</v>
      </c>
      <c r="B14" s="304">
        <v>4576</v>
      </c>
      <c r="C14" s="321">
        <v>2.0000000000000002E-5</v>
      </c>
      <c r="D14" s="264">
        <v>2</v>
      </c>
      <c r="E14" s="295">
        <v>43921</v>
      </c>
      <c r="F14" s="294">
        <v>5151</v>
      </c>
      <c r="G14" s="259">
        <v>43892</v>
      </c>
      <c r="H14" s="264">
        <v>5</v>
      </c>
    </row>
    <row r="15" spans="1:20" x14ac:dyDescent="0.25">
      <c r="A15" s="92" t="s">
        <v>435</v>
      </c>
      <c r="B15" s="304">
        <v>4196</v>
      </c>
      <c r="C15" s="321">
        <v>6.0000000000000002E-5</v>
      </c>
      <c r="D15" s="264">
        <v>3.8</v>
      </c>
      <c r="E15" s="295">
        <v>43921</v>
      </c>
      <c r="F15" s="294">
        <v>5151</v>
      </c>
      <c r="G15" s="259">
        <v>43892</v>
      </c>
      <c r="H15" s="264">
        <v>5</v>
      </c>
    </row>
    <row r="16" spans="1:20" x14ac:dyDescent="0.25">
      <c r="A16" s="92" t="s">
        <v>434</v>
      </c>
      <c r="B16" s="304">
        <v>2446</v>
      </c>
      <c r="C16" s="321">
        <v>4.0000000000000003E-5</v>
      </c>
      <c r="D16" s="264">
        <v>8.9</v>
      </c>
      <c r="E16" s="295">
        <v>43918</v>
      </c>
      <c r="F16" s="294">
        <v>2754</v>
      </c>
      <c r="G16" s="259">
        <v>43904</v>
      </c>
      <c r="H16" s="264">
        <v>10</v>
      </c>
    </row>
    <row r="17" spans="1:19" x14ac:dyDescent="0.25">
      <c r="A17" s="92" t="s">
        <v>436</v>
      </c>
      <c r="B17" s="304">
        <v>2216</v>
      </c>
      <c r="C17" s="321">
        <v>4.0000000000000003E-5</v>
      </c>
      <c r="D17" s="264">
        <v>0.36</v>
      </c>
      <c r="E17" s="295">
        <v>43918</v>
      </c>
      <c r="F17" s="294">
        <v>2754</v>
      </c>
      <c r="G17" s="259">
        <v>43890</v>
      </c>
      <c r="H17" s="264">
        <v>1</v>
      </c>
    </row>
    <row r="18" spans="1:19" x14ac:dyDescent="0.25">
      <c r="A18" s="92" t="s">
        <v>550</v>
      </c>
      <c r="B18" s="304">
        <v>1146</v>
      </c>
      <c r="C18" s="323">
        <f>1000/322762018</f>
        <v>3.0982579864772068E-6</v>
      </c>
      <c r="D18" s="322">
        <f>1000/365</f>
        <v>2.7397260273972601</v>
      </c>
      <c r="E18" s="295">
        <v>43915</v>
      </c>
      <c r="F18" s="294">
        <v>1260</v>
      </c>
      <c r="G18" s="259">
        <v>43892</v>
      </c>
      <c r="H18" s="264">
        <v>5</v>
      </c>
      <c r="I18" t="s">
        <v>558</v>
      </c>
    </row>
    <row r="19" spans="1:19" x14ac:dyDescent="0.25">
      <c r="A19" s="92" t="s">
        <v>549</v>
      </c>
      <c r="B19" s="304">
        <v>417</v>
      </c>
      <c r="C19" s="323">
        <f>1000/Projections!B299</f>
        <v>3.025119076249639E-6</v>
      </c>
      <c r="D19" s="322">
        <f>B19/365</f>
        <v>1.1424657534246576</v>
      </c>
      <c r="E19" s="295">
        <v>43912</v>
      </c>
      <c r="F19" s="294">
        <v>509</v>
      </c>
      <c r="G19" s="259">
        <v>43892</v>
      </c>
      <c r="H19" s="264">
        <v>5</v>
      </c>
      <c r="I19" t="s">
        <v>538</v>
      </c>
    </row>
    <row r="20" spans="1:19" x14ac:dyDescent="0.25">
      <c r="A20" s="92" t="s">
        <v>430</v>
      </c>
      <c r="B20" s="304">
        <v>294</v>
      </c>
      <c r="C20" s="323">
        <f>B20/248709900</f>
        <v>1.1821001094045713E-6</v>
      </c>
      <c r="D20" s="264">
        <f>B20/210</f>
        <v>1.4</v>
      </c>
      <c r="E20" s="295">
        <v>43910</v>
      </c>
      <c r="F20" s="294">
        <v>309</v>
      </c>
      <c r="G20" s="259">
        <v>43892</v>
      </c>
      <c r="H20" s="264">
        <v>5</v>
      </c>
      <c r="K20" s="214"/>
      <c r="L20" s="214"/>
    </row>
    <row r="21" spans="1:19" x14ac:dyDescent="0.25">
      <c r="B21" s="2"/>
    </row>
    <row r="22" spans="1:19" x14ac:dyDescent="0.25">
      <c r="A22" s="289" t="s">
        <v>444</v>
      </c>
      <c r="B22" s="2"/>
      <c r="N22" s="313"/>
      <c r="O22" s="313"/>
      <c r="P22" s="313"/>
      <c r="Q22" s="313"/>
      <c r="R22" s="313"/>
      <c r="S22" s="313"/>
    </row>
    <row r="23" spans="1:19" s="313" customFormat="1" ht="45" x14ac:dyDescent="0.25">
      <c r="A23" s="312" t="s">
        <v>453</v>
      </c>
      <c r="B23" s="312" t="s">
        <v>432</v>
      </c>
      <c r="C23" s="312" t="s">
        <v>433</v>
      </c>
      <c r="D23" s="312" t="s">
        <v>455</v>
      </c>
      <c r="E23" s="312" t="s">
        <v>443</v>
      </c>
      <c r="F23" s="312" t="s">
        <v>487</v>
      </c>
      <c r="G23" s="312" t="s">
        <v>498</v>
      </c>
      <c r="H23" s="312" t="s">
        <v>500</v>
      </c>
      <c r="N23"/>
      <c r="O23"/>
      <c r="P23"/>
      <c r="Q23"/>
      <c r="R23"/>
      <c r="S23"/>
    </row>
    <row r="24" spans="1:19" x14ac:dyDescent="0.25">
      <c r="A24" t="s">
        <v>446</v>
      </c>
      <c r="B24" s="306">
        <v>647457</v>
      </c>
      <c r="C24" s="1">
        <f>B24/Projections!$B$299</f>
        <v>1.9586345217513625E-3</v>
      </c>
      <c r="D24" s="291">
        <f t="shared" ref="D24:D34" si="0">B24/365.25</f>
        <v>1772.6406570841889</v>
      </c>
      <c r="E24" s="69"/>
      <c r="F24" s="69"/>
      <c r="G24" s="259">
        <v>43928</v>
      </c>
      <c r="H24" s="291">
        <v>2228</v>
      </c>
    </row>
    <row r="25" spans="1:19" x14ac:dyDescent="0.25">
      <c r="A25" t="s">
        <v>8</v>
      </c>
      <c r="B25" s="306">
        <v>599108</v>
      </c>
      <c r="C25" s="1">
        <f>B25/Projections!$B$299</f>
        <v>1.8123730395337686E-3</v>
      </c>
      <c r="D25" s="291">
        <f t="shared" si="0"/>
        <v>1640.2683093771388</v>
      </c>
      <c r="E25" s="69"/>
      <c r="F25" s="35"/>
      <c r="G25" s="259">
        <v>43928</v>
      </c>
      <c r="H25" s="291">
        <v>2228</v>
      </c>
    </row>
    <row r="26" spans="1:19" x14ac:dyDescent="0.25">
      <c r="A26" t="s">
        <v>447</v>
      </c>
      <c r="B26" s="306">
        <v>169936</v>
      </c>
      <c r="C26" s="1">
        <f>B26/Projections!$B$299</f>
        <v>5.1407663534155858E-4</v>
      </c>
      <c r="D26" s="291">
        <f t="shared" si="0"/>
        <v>465.25941136208075</v>
      </c>
      <c r="E26" s="69"/>
      <c r="F26" s="35"/>
      <c r="G26" s="259">
        <v>412811</v>
      </c>
      <c r="H26" s="291">
        <v>496</v>
      </c>
    </row>
    <row r="27" spans="1:19" x14ac:dyDescent="0.25">
      <c r="A27" s="325" t="s">
        <v>509</v>
      </c>
      <c r="B27" s="304">
        <v>38000</v>
      </c>
      <c r="C27" s="297">
        <f>B27/Projections!$B$299</f>
        <v>1.1495452489748627E-4</v>
      </c>
      <c r="D27" s="291">
        <f t="shared" si="0"/>
        <v>104.03832991101984</v>
      </c>
      <c r="E27" s="295">
        <v>43939</v>
      </c>
      <c r="F27" s="294">
        <v>39331</v>
      </c>
      <c r="G27" s="259">
        <v>43912</v>
      </c>
      <c r="H27" s="291">
        <v>135</v>
      </c>
    </row>
    <row r="28" spans="1:19" x14ac:dyDescent="0.25">
      <c r="A28" t="s">
        <v>448</v>
      </c>
      <c r="B28" s="306">
        <v>160201</v>
      </c>
      <c r="C28" s="1">
        <f>B28/Projections!$B$299</f>
        <v>4.8462710113426839E-4</v>
      </c>
      <c r="D28" s="291">
        <f t="shared" si="0"/>
        <v>438.60643394934976</v>
      </c>
      <c r="E28" s="69"/>
      <c r="F28" s="35"/>
      <c r="G28" s="259">
        <v>43917</v>
      </c>
      <c r="H28" s="291">
        <v>496</v>
      </c>
    </row>
    <row r="29" spans="1:19" x14ac:dyDescent="0.25">
      <c r="A29" s="39" t="s">
        <v>449</v>
      </c>
      <c r="B29" s="307">
        <v>146383</v>
      </c>
      <c r="C29" s="44">
        <f>B29/Projections!$B$299</f>
        <v>4.4282600573865088E-4</v>
      </c>
      <c r="D29" s="32">
        <f t="shared" si="0"/>
        <v>400.77481177275837</v>
      </c>
      <c r="E29" s="302"/>
      <c r="F29" s="301"/>
      <c r="G29" s="293">
        <v>43917</v>
      </c>
      <c r="H29" s="32">
        <v>496</v>
      </c>
    </row>
    <row r="30" spans="1:19" x14ac:dyDescent="0.25">
      <c r="A30" s="92" t="s">
        <v>450</v>
      </c>
      <c r="B30" s="304">
        <v>121404</v>
      </c>
      <c r="C30" s="297">
        <f>B30/Projections!$B$299</f>
        <v>3.6726155633301115E-4</v>
      </c>
      <c r="D30" s="291">
        <f t="shared" si="0"/>
        <v>332.38603696098562</v>
      </c>
      <c r="E30" s="295">
        <v>44001</v>
      </c>
      <c r="F30" s="294">
        <v>121407</v>
      </c>
      <c r="G30" s="259">
        <v>43916</v>
      </c>
      <c r="H30" s="291">
        <v>354</v>
      </c>
    </row>
    <row r="31" spans="1:19" x14ac:dyDescent="0.25">
      <c r="A31" s="92" t="s">
        <v>4</v>
      </c>
      <c r="B31" s="304">
        <v>83564</v>
      </c>
      <c r="C31" s="297">
        <f>B31/Projections!$B$299</f>
        <v>2.5279105048772483E-4</v>
      </c>
      <c r="D31" s="291">
        <f t="shared" si="0"/>
        <v>228.78576317590691</v>
      </c>
      <c r="E31" s="295">
        <v>43963</v>
      </c>
      <c r="F31" s="294">
        <v>83718</v>
      </c>
      <c r="G31" s="259">
        <v>43914</v>
      </c>
      <c r="H31" s="291">
        <v>268</v>
      </c>
    </row>
    <row r="32" spans="1:19" x14ac:dyDescent="0.25">
      <c r="A32" s="92" t="s">
        <v>451</v>
      </c>
      <c r="B32" s="304">
        <v>55672</v>
      </c>
      <c r="C32" s="297">
        <f>B32/Projections!$B$299</f>
        <v>1.6841442921296988E-4</v>
      </c>
      <c r="D32" s="291">
        <f t="shared" si="0"/>
        <v>152.42162902121834</v>
      </c>
      <c r="E32" s="295">
        <v>43948</v>
      </c>
      <c r="F32" s="294">
        <v>56795</v>
      </c>
      <c r="G32" s="259">
        <v>43913</v>
      </c>
      <c r="H32" s="291">
        <v>180</v>
      </c>
    </row>
    <row r="33" spans="1:31" x14ac:dyDescent="0.25">
      <c r="A33" s="92" t="s">
        <v>454</v>
      </c>
      <c r="B33" s="304">
        <v>50633</v>
      </c>
      <c r="C33" s="297">
        <f>B33/Projections!$B$299</f>
        <v>1.5317085418774796E-4</v>
      </c>
      <c r="D33" s="291">
        <f t="shared" si="0"/>
        <v>138.62559890485969</v>
      </c>
      <c r="E33" s="295">
        <v>43945</v>
      </c>
      <c r="F33" s="294">
        <v>52191</v>
      </c>
      <c r="G33" s="259">
        <v>43913</v>
      </c>
      <c r="H33" s="291">
        <v>180</v>
      </c>
    </row>
    <row r="34" spans="1:31" x14ac:dyDescent="0.25">
      <c r="A34" s="92" t="s">
        <v>452</v>
      </c>
      <c r="B34" s="304">
        <v>47173</v>
      </c>
      <c r="C34" s="297">
        <f>B34/Projections!$B$299</f>
        <v>1.4270394218392421E-4</v>
      </c>
      <c r="D34" s="291">
        <f t="shared" si="0"/>
        <v>129.15263518138261</v>
      </c>
      <c r="E34" s="295">
        <v>43943</v>
      </c>
      <c r="F34" s="294">
        <v>47894</v>
      </c>
      <c r="G34" s="259">
        <v>43912</v>
      </c>
      <c r="H34" s="291">
        <v>135</v>
      </c>
    </row>
    <row r="35" spans="1:31" x14ac:dyDescent="0.25">
      <c r="B35" s="2"/>
    </row>
    <row r="36" spans="1:31" x14ac:dyDescent="0.25">
      <c r="A36" s="289" t="s">
        <v>456</v>
      </c>
      <c r="B36" s="2"/>
      <c r="N36" s="313"/>
      <c r="O36" s="313"/>
      <c r="P36" s="313"/>
      <c r="Q36" s="313"/>
      <c r="R36" s="313"/>
      <c r="S36" s="313"/>
    </row>
    <row r="37" spans="1:31" s="313" customFormat="1" ht="45" x14ac:dyDescent="0.25">
      <c r="A37" s="312" t="s">
        <v>462</v>
      </c>
      <c r="B37" s="312" t="s">
        <v>432</v>
      </c>
      <c r="C37" s="312" t="s">
        <v>433</v>
      </c>
      <c r="D37" s="312" t="s">
        <v>455</v>
      </c>
      <c r="E37" s="312" t="s">
        <v>443</v>
      </c>
      <c r="F37" s="312" t="s">
        <v>487</v>
      </c>
      <c r="G37" s="312" t="s">
        <v>498</v>
      </c>
      <c r="H37" s="312" t="s">
        <v>500</v>
      </c>
      <c r="N37"/>
      <c r="O37"/>
      <c r="P37"/>
      <c r="Q37"/>
      <c r="R37"/>
      <c r="S37"/>
    </row>
    <row r="38" spans="1:31" x14ac:dyDescent="0.25">
      <c r="A38" s="96" t="s">
        <v>494</v>
      </c>
      <c r="B38" s="332">
        <v>675000</v>
      </c>
      <c r="C38" s="334">
        <f>B38/106000000</f>
        <v>6.3679245283018871E-3</v>
      </c>
      <c r="D38" s="183">
        <f t="shared" ref="D38:D47" si="1">B38/365</f>
        <v>1849.3150684931506</v>
      </c>
      <c r="E38" s="96"/>
      <c r="F38" s="96"/>
      <c r="G38" s="333">
        <v>43928</v>
      </c>
      <c r="H38" s="183">
        <v>2228</v>
      </c>
      <c r="I38" t="s">
        <v>495</v>
      </c>
      <c r="N38" s="300"/>
      <c r="O38" s="300"/>
      <c r="P38" s="300"/>
      <c r="Q38" s="300"/>
      <c r="R38" s="300"/>
      <c r="S38" s="300"/>
    </row>
    <row r="39" spans="1:31" s="300" customFormat="1" x14ac:dyDescent="0.25">
      <c r="A39" s="308" t="s">
        <v>482</v>
      </c>
      <c r="B39" s="309">
        <v>116000</v>
      </c>
      <c r="C39" s="336">
        <f>B39/179323000</f>
        <v>6.4687742230500273E-4</v>
      </c>
      <c r="D39" s="291">
        <f t="shared" si="1"/>
        <v>317.8082191780822</v>
      </c>
      <c r="E39" s="295">
        <v>43992</v>
      </c>
      <c r="F39" s="294">
        <v>116825</v>
      </c>
      <c r="G39" s="259">
        <v>43916</v>
      </c>
      <c r="H39" s="291">
        <v>354</v>
      </c>
      <c r="I39" s="300" t="s">
        <v>502</v>
      </c>
      <c r="N39"/>
      <c r="O39"/>
      <c r="P39"/>
      <c r="Q39"/>
      <c r="R39"/>
      <c r="S39"/>
    </row>
    <row r="40" spans="1:31" x14ac:dyDescent="0.25">
      <c r="A40" s="308" t="s">
        <v>497</v>
      </c>
      <c r="B40" s="309">
        <v>100000</v>
      </c>
      <c r="C40" s="336">
        <f>B40/203200000</f>
        <v>4.921259842519685E-4</v>
      </c>
      <c r="D40" s="291">
        <f t="shared" si="1"/>
        <v>273.97260273972603</v>
      </c>
      <c r="E40" s="295">
        <v>43976</v>
      </c>
      <c r="F40" s="294">
        <v>100025</v>
      </c>
      <c r="G40" s="259">
        <v>43915</v>
      </c>
      <c r="H40" s="291">
        <v>303</v>
      </c>
      <c r="I40" t="s">
        <v>541</v>
      </c>
      <c r="Q40" s="283"/>
    </row>
    <row r="41" spans="1:31" x14ac:dyDescent="0.25">
      <c r="A41" s="308" t="s">
        <v>485</v>
      </c>
      <c r="B41" s="309">
        <v>61000</v>
      </c>
      <c r="C41" s="321">
        <f>B41/Projections!B299</f>
        <v>1.8453226365122797E-4</v>
      </c>
      <c r="D41" s="291">
        <f t="shared" si="1"/>
        <v>167.12328767123287</v>
      </c>
      <c r="E41" s="295">
        <v>43950</v>
      </c>
      <c r="F41" s="294">
        <v>61655</v>
      </c>
      <c r="G41" s="259">
        <v>43913</v>
      </c>
      <c r="H41" s="291">
        <v>180</v>
      </c>
      <c r="V41" s="69"/>
      <c r="W41" s="69"/>
      <c r="AE41" s="69"/>
    </row>
    <row r="42" spans="1:31" x14ac:dyDescent="0.25">
      <c r="A42" s="308" t="s">
        <v>484</v>
      </c>
      <c r="B42" s="309">
        <v>50000</v>
      </c>
      <c r="C42" s="321">
        <f>B42/Projections!B299</f>
        <v>1.5125595381248195E-4</v>
      </c>
      <c r="D42" s="291">
        <f>50000/365</f>
        <v>136.98630136986301</v>
      </c>
      <c r="E42" s="295">
        <v>43944</v>
      </c>
      <c r="F42" s="294">
        <v>50234</v>
      </c>
      <c r="G42" s="259">
        <v>43913</v>
      </c>
      <c r="H42" s="291">
        <v>180</v>
      </c>
      <c r="I42" t="s">
        <v>483</v>
      </c>
    </row>
    <row r="43" spans="1:31" x14ac:dyDescent="0.25">
      <c r="A43" s="92" t="s">
        <v>459</v>
      </c>
      <c r="B43" s="304">
        <v>15520</v>
      </c>
      <c r="C43" s="321">
        <f>B43/106100000</f>
        <v>1.4627709707822807E-4</v>
      </c>
      <c r="D43" s="291">
        <f>B43/(365*4)</f>
        <v>10.63013698630137</v>
      </c>
      <c r="E43" s="295">
        <v>43928</v>
      </c>
      <c r="F43" s="294">
        <v>15526</v>
      </c>
      <c r="G43" s="259">
        <v>43905</v>
      </c>
      <c r="H43" s="291">
        <v>15</v>
      </c>
    </row>
    <row r="44" spans="1:31" x14ac:dyDescent="0.25">
      <c r="A44" s="92" t="s">
        <v>496</v>
      </c>
      <c r="B44" s="304">
        <v>12469</v>
      </c>
      <c r="C44" s="321">
        <f>B44/308745000</f>
        <v>4.0386079126787482E-5</v>
      </c>
      <c r="D44" s="291">
        <f t="shared" si="1"/>
        <v>34.161643835616438</v>
      </c>
      <c r="E44" s="295">
        <v>43927</v>
      </c>
      <c r="F44" s="294">
        <v>13298</v>
      </c>
      <c r="G44" s="259">
        <v>43908</v>
      </c>
      <c r="H44" s="291">
        <v>50</v>
      </c>
      <c r="I44" t="s">
        <v>501</v>
      </c>
    </row>
    <row r="45" spans="1:31" x14ac:dyDescent="0.25">
      <c r="A45" s="92" t="s">
        <v>457</v>
      </c>
      <c r="B45" s="304">
        <v>10771</v>
      </c>
      <c r="C45" s="321">
        <f>B45/80000000</f>
        <v>1.3463750000000001E-4</v>
      </c>
      <c r="D45" s="291">
        <f t="shared" si="1"/>
        <v>29.509589041095889</v>
      </c>
      <c r="E45" s="295">
        <v>43926</v>
      </c>
      <c r="F45" s="294">
        <v>11793</v>
      </c>
      <c r="G45" s="259">
        <v>43908</v>
      </c>
      <c r="H45" s="291">
        <v>50</v>
      </c>
    </row>
    <row r="46" spans="1:31" x14ac:dyDescent="0.25">
      <c r="A46" s="92" t="s">
        <v>460</v>
      </c>
      <c r="B46" s="304">
        <v>10000</v>
      </c>
      <c r="C46" s="321">
        <f>B46/248710000</f>
        <v>4.0207470548027825E-5</v>
      </c>
      <c r="D46" s="291">
        <f>10000/(365*10)</f>
        <v>2.7397260273972601</v>
      </c>
      <c r="E46" s="295">
        <v>43925</v>
      </c>
      <c r="F46" s="294">
        <v>10384</v>
      </c>
      <c r="G46" s="259">
        <v>43892</v>
      </c>
      <c r="H46" s="291">
        <v>5</v>
      </c>
      <c r="I46" t="s">
        <v>461</v>
      </c>
    </row>
    <row r="47" spans="1:31" x14ac:dyDescent="0.25">
      <c r="A47" s="92" t="s">
        <v>458</v>
      </c>
      <c r="B47" s="304">
        <v>5000</v>
      </c>
      <c r="C47" s="335">
        <f>B47/3929200</f>
        <v>1.2725236689402422E-3</v>
      </c>
      <c r="D47" s="291">
        <f t="shared" si="1"/>
        <v>13.698630136986301</v>
      </c>
      <c r="E47" s="295">
        <v>43921</v>
      </c>
      <c r="F47" s="294">
        <v>5151</v>
      </c>
      <c r="G47" s="259">
        <v>43905</v>
      </c>
      <c r="H47" s="291">
        <v>15</v>
      </c>
    </row>
    <row r="48" spans="1:31" x14ac:dyDescent="0.25">
      <c r="A48" s="92" t="s">
        <v>486</v>
      </c>
      <c r="B48" s="304">
        <v>3145</v>
      </c>
      <c r="C48" s="321">
        <f>B48/151326000</f>
        <v>2.0782945429073657E-5</v>
      </c>
      <c r="D48" s="291">
        <f>B48/365</f>
        <v>8.6164383561643838</v>
      </c>
      <c r="E48" s="295">
        <v>43919</v>
      </c>
      <c r="F48" s="294">
        <v>3251</v>
      </c>
      <c r="G48" s="259">
        <v>43904</v>
      </c>
      <c r="H48" s="291">
        <v>10</v>
      </c>
    </row>
    <row r="50" spans="1:19" x14ac:dyDescent="0.25">
      <c r="A50" s="289" t="s">
        <v>463</v>
      </c>
      <c r="N50" s="313"/>
      <c r="O50" s="313"/>
      <c r="P50" s="313"/>
      <c r="Q50" s="313"/>
      <c r="R50" s="313"/>
      <c r="S50" s="313"/>
    </row>
    <row r="51" spans="1:19" s="313" customFormat="1" ht="45" x14ac:dyDescent="0.25">
      <c r="A51" s="312" t="s">
        <v>463</v>
      </c>
      <c r="B51" s="312" t="s">
        <v>432</v>
      </c>
      <c r="C51" s="312" t="s">
        <v>433</v>
      </c>
      <c r="D51" s="314"/>
      <c r="E51" s="312" t="s">
        <v>443</v>
      </c>
      <c r="F51" s="312" t="s">
        <v>487</v>
      </c>
      <c r="G51" s="312" t="s">
        <v>499</v>
      </c>
      <c r="H51" s="312" t="s">
        <v>500</v>
      </c>
      <c r="N51"/>
      <c r="O51"/>
      <c r="P51"/>
      <c r="Q51"/>
      <c r="R51"/>
      <c r="S51"/>
    </row>
    <row r="52" spans="1:19" x14ac:dyDescent="0.25">
      <c r="A52" s="92" t="s">
        <v>464</v>
      </c>
      <c r="B52" s="304">
        <v>12000</v>
      </c>
      <c r="C52" s="341">
        <f>B52/76212168</f>
        <v>1.5745517172533393E-4</v>
      </c>
      <c r="D52" s="92"/>
      <c r="E52" s="295">
        <v>43927</v>
      </c>
      <c r="F52" s="294">
        <v>13298</v>
      </c>
      <c r="G52" s="214"/>
    </row>
    <row r="53" spans="1:19" x14ac:dyDescent="0.25">
      <c r="A53" s="92" t="s">
        <v>465</v>
      </c>
      <c r="B53" s="304">
        <v>3389</v>
      </c>
      <c r="C53" s="341">
        <f>B53/76000000</f>
        <v>4.4592105263157893E-5</v>
      </c>
      <c r="D53" s="92"/>
      <c r="E53" s="295">
        <v>43920</v>
      </c>
      <c r="F53" s="294">
        <v>4066</v>
      </c>
    </row>
    <row r="54" spans="1:19" x14ac:dyDescent="0.25">
      <c r="A54" s="92" t="s">
        <v>466</v>
      </c>
      <c r="B54" s="304">
        <v>3000</v>
      </c>
      <c r="C54" s="341">
        <f>B54/80000000</f>
        <v>3.7499999999999997E-5</v>
      </c>
      <c r="D54" s="92"/>
      <c r="E54" s="295">
        <v>43919</v>
      </c>
      <c r="F54" s="294">
        <v>3251</v>
      </c>
    </row>
    <row r="55" spans="1:19" x14ac:dyDescent="0.25">
      <c r="A55" s="92" t="s">
        <v>467</v>
      </c>
      <c r="B55" s="304">
        <v>2996</v>
      </c>
      <c r="C55" s="341">
        <f>B55/281500000</f>
        <v>1.0642984014209592E-5</v>
      </c>
      <c r="D55" s="92"/>
      <c r="E55" s="295">
        <v>43919</v>
      </c>
      <c r="F55" s="294">
        <v>2996</v>
      </c>
    </row>
    <row r="56" spans="1:19" x14ac:dyDescent="0.25">
      <c r="A56" s="92" t="s">
        <v>468</v>
      </c>
      <c r="B56" s="304">
        <v>2982</v>
      </c>
      <c r="C56" s="341">
        <f>B56/330000000</f>
        <v>9.0363636363636366E-6</v>
      </c>
      <c r="D56" s="92"/>
      <c r="E56" s="295">
        <v>43919</v>
      </c>
      <c r="F56" s="294">
        <v>2996</v>
      </c>
    </row>
    <row r="57" spans="1:19" x14ac:dyDescent="0.25">
      <c r="A57" s="299" t="s">
        <v>469</v>
      </c>
      <c r="B57" s="305">
        <v>2823</v>
      </c>
      <c r="C57" s="342">
        <f>B57/123000000</f>
        <v>2.2951219512195121E-5</v>
      </c>
      <c r="D57" s="299"/>
      <c r="E57" s="298">
        <v>43919</v>
      </c>
      <c r="F57" s="303">
        <v>2996</v>
      </c>
      <c r="G57" s="39"/>
      <c r="H57" s="39"/>
    </row>
    <row r="58" spans="1:19" x14ac:dyDescent="0.25">
      <c r="A58" s="92" t="s">
        <v>474</v>
      </c>
      <c r="B58" s="304">
        <v>2500</v>
      </c>
      <c r="C58" s="341">
        <f>B58/38559000</f>
        <v>6.4835706320184657E-5</v>
      </c>
      <c r="D58" s="92"/>
      <c r="E58" s="295">
        <v>43918</v>
      </c>
      <c r="F58" s="296">
        <v>2754</v>
      </c>
      <c r="G58" s="259">
        <v>43935</v>
      </c>
      <c r="H58" s="291">
        <v>2566</v>
      </c>
    </row>
    <row r="59" spans="1:19" x14ac:dyDescent="0.25">
      <c r="A59" s="92" t="s">
        <v>470</v>
      </c>
      <c r="B59" s="304">
        <v>2467</v>
      </c>
      <c r="C59" s="341">
        <f>B59/132000000</f>
        <v>1.868939393939394E-5</v>
      </c>
      <c r="D59" s="92"/>
      <c r="E59" s="295">
        <v>43918</v>
      </c>
      <c r="F59" s="296">
        <v>2754</v>
      </c>
      <c r="G59" s="259">
        <v>43935</v>
      </c>
      <c r="H59" s="291">
        <v>2566</v>
      </c>
    </row>
    <row r="60" spans="1:19" x14ac:dyDescent="0.25">
      <c r="A60" s="92" t="s">
        <v>471</v>
      </c>
      <c r="B60" s="304">
        <v>2209</v>
      </c>
      <c r="C60" s="341">
        <f>B60/62970000</f>
        <v>3.5080196919167858E-5</v>
      </c>
      <c r="D60" s="92"/>
      <c r="E60" s="295">
        <v>43918</v>
      </c>
      <c r="F60" s="296">
        <v>2754</v>
      </c>
      <c r="G60" s="259">
        <v>43928</v>
      </c>
      <c r="H60" s="291">
        <v>2228</v>
      </c>
    </row>
    <row r="61" spans="1:19" x14ac:dyDescent="0.25">
      <c r="A61" s="92" t="s">
        <v>472</v>
      </c>
      <c r="B61" s="304">
        <v>2000</v>
      </c>
      <c r="C61" s="341">
        <f>B61/63000000</f>
        <v>3.1746031746031745E-5</v>
      </c>
      <c r="D61" s="92"/>
      <c r="E61" s="295">
        <v>43917</v>
      </c>
      <c r="F61" s="296">
        <v>2110</v>
      </c>
      <c r="G61" s="259">
        <v>43928</v>
      </c>
      <c r="H61" s="291">
        <v>2228</v>
      </c>
    </row>
    <row r="62" spans="1:19" x14ac:dyDescent="0.25">
      <c r="A62" s="92" t="s">
        <v>478</v>
      </c>
      <c r="B62" s="304">
        <v>2000</v>
      </c>
      <c r="C62" s="341">
        <f>B62/63000000</f>
        <v>3.1746031746031745E-5</v>
      </c>
      <c r="D62" s="92"/>
      <c r="E62" s="295">
        <v>43917</v>
      </c>
      <c r="F62" s="296">
        <v>2110</v>
      </c>
      <c r="G62" s="259">
        <v>43928</v>
      </c>
      <c r="H62" s="291">
        <v>2228</v>
      </c>
    </row>
    <row r="63" spans="1:19" x14ac:dyDescent="0.25">
      <c r="A63" s="92" t="s">
        <v>475</v>
      </c>
      <c r="B63" s="304">
        <v>1836</v>
      </c>
      <c r="C63" s="337">
        <f>B63/290000000</f>
        <v>6.3310344827586209E-6</v>
      </c>
      <c r="D63" s="92"/>
      <c r="E63" s="295">
        <v>43917</v>
      </c>
      <c r="F63" s="296">
        <v>2110</v>
      </c>
      <c r="G63" s="259">
        <v>43928</v>
      </c>
      <c r="H63" s="291">
        <v>2228</v>
      </c>
    </row>
    <row r="64" spans="1:19" x14ac:dyDescent="0.25">
      <c r="A64" s="92" t="s">
        <v>473</v>
      </c>
      <c r="B64" s="304">
        <v>1700</v>
      </c>
      <c r="C64" s="337">
        <f>B64/226545805</f>
        <v>7.5040012327749791E-6</v>
      </c>
      <c r="D64" s="92"/>
      <c r="E64" s="295">
        <v>43917</v>
      </c>
      <c r="F64" s="296">
        <v>2110</v>
      </c>
      <c r="G64" s="259">
        <v>43928</v>
      </c>
      <c r="H64" s="291">
        <v>2228</v>
      </c>
    </row>
    <row r="65" spans="1:8" x14ac:dyDescent="0.25">
      <c r="A65" s="92" t="s">
        <v>477</v>
      </c>
      <c r="B65" s="304">
        <v>1173</v>
      </c>
      <c r="C65" s="341">
        <f>B65/132164569</f>
        <v>8.8752984924424032E-6</v>
      </c>
      <c r="D65" s="92"/>
      <c r="E65" s="295">
        <v>43915</v>
      </c>
      <c r="F65" s="296">
        <v>1260</v>
      </c>
      <c r="G65" s="259">
        <v>43922</v>
      </c>
      <c r="H65" s="291">
        <v>1243</v>
      </c>
    </row>
    <row r="66" spans="1:8" x14ac:dyDescent="0.25">
      <c r="A66" s="92" t="s">
        <v>476</v>
      </c>
      <c r="B66" s="304">
        <v>1021</v>
      </c>
      <c r="C66" s="341">
        <f>B66/80000000</f>
        <v>1.27625E-5</v>
      </c>
      <c r="D66" s="92"/>
      <c r="E66" s="295">
        <v>43915</v>
      </c>
      <c r="F66" s="296">
        <v>1260</v>
      </c>
      <c r="G66" s="259">
        <v>43921</v>
      </c>
      <c r="H66" s="291">
        <v>1085</v>
      </c>
    </row>
    <row r="67" spans="1:8" x14ac:dyDescent="0.25">
      <c r="A67" s="92" t="s">
        <v>479</v>
      </c>
      <c r="B67" s="304">
        <v>1000</v>
      </c>
      <c r="C67" s="341">
        <f>B67/106021000</f>
        <v>9.4320936418256767E-6</v>
      </c>
      <c r="D67" s="92"/>
      <c r="E67" s="295">
        <v>43915</v>
      </c>
      <c r="F67" s="296">
        <v>1260</v>
      </c>
      <c r="G67" s="259">
        <v>43921</v>
      </c>
      <c r="H67" s="291">
        <v>1085</v>
      </c>
    </row>
    <row r="68" spans="1:8" x14ac:dyDescent="0.25">
      <c r="A68" s="92" t="s">
        <v>480</v>
      </c>
      <c r="B68" s="304">
        <v>918</v>
      </c>
      <c r="C68" s="337">
        <f>B68/226545000</f>
        <v>4.0521750645567108E-6</v>
      </c>
      <c r="D68" s="92"/>
      <c r="E68" s="295">
        <v>43914</v>
      </c>
      <c r="F68" s="294">
        <v>957</v>
      </c>
      <c r="G68" s="259">
        <v>43921</v>
      </c>
      <c r="H68" s="291">
        <v>1085</v>
      </c>
    </row>
  </sheetData>
  <sortState xmlns:xlrd2="http://schemas.microsoft.com/office/spreadsheetml/2017/richdata2" ref="A4:C19">
    <sortCondition descending="1" ref="B4:B19"/>
  </sortState>
  <hyperlinks>
    <hyperlink ref="A1" r:id="rId1" display="Major Conflicts" xr:uid="{83A0AE55-AFF8-446B-883E-C6E61E1C5C13}"/>
    <hyperlink ref="A22" r:id="rId2" xr:uid="{891243FE-E7B2-4F24-8F65-AD6D6ABE7E97}"/>
    <hyperlink ref="A36" r:id="rId3" xr:uid="{D75C70CF-9224-4A14-BFD5-EA9846096D44}"/>
    <hyperlink ref="A50" r:id="rId4" location="Over_400_deaths" xr:uid="{57DB3A83-257F-4226-9034-56E0E6EEB0DD}"/>
  </hyperlinks>
  <pageMargins left="0.7" right="0.7" top="0.75" bottom="0.75" header="0.3" footer="0.3"/>
  <pageSetup paperSize="9" orientation="portrait" horizontalDpi="0" verticalDpi="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Projections</vt:lpstr>
      <vt:lpstr>What if</vt:lpstr>
      <vt:lpstr>Population by Age - Wikipedia</vt:lpstr>
      <vt:lpstr>AU Infection Rate by Age</vt:lpstr>
      <vt:lpstr>US COVID-19 pathology</vt:lpstr>
      <vt:lpstr>US Deaths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2020-06-28T04:16:54Z</dcterms:modified>
</cp:coreProperties>
</file>