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ACF58609-FC91-432D-8BB8-C1E9B8A8EAAC}"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73" i="1" l="1"/>
  <c r="P73" i="1"/>
  <c r="Q73" i="1"/>
  <c r="Q74" i="1" s="1"/>
  <c r="Q86" i="1" s="1"/>
  <c r="O74" i="1"/>
  <c r="O86" i="1" s="1"/>
  <c r="P74" i="1"/>
  <c r="O75" i="1"/>
  <c r="P75" i="1"/>
  <c r="Q75" i="1"/>
  <c r="O76" i="1"/>
  <c r="P76" i="1"/>
  <c r="P86" i="1" s="1"/>
  <c r="Q76" i="1"/>
  <c r="O77" i="1"/>
  <c r="P77" i="1"/>
  <c r="Q77" i="1"/>
  <c r="Q78" i="1" s="1"/>
  <c r="O78" i="1"/>
  <c r="P78" i="1"/>
  <c r="O79" i="1"/>
  <c r="P79" i="1"/>
  <c r="Q79" i="1"/>
  <c r="O80" i="1"/>
  <c r="P80" i="1"/>
  <c r="Q80" i="1"/>
  <c r="O81" i="1"/>
  <c r="P81" i="1"/>
  <c r="Q81" i="1"/>
  <c r="Q82" i="1" s="1"/>
  <c r="O82" i="1"/>
  <c r="P82" i="1"/>
  <c r="O83" i="1"/>
  <c r="P83" i="1"/>
  <c r="Q83" i="1"/>
  <c r="O85" i="1"/>
  <c r="P85" i="1"/>
  <c r="Q85" i="1"/>
  <c r="D14" i="1"/>
  <c r="O19" i="1"/>
  <c r="P19" i="1"/>
  <c r="Q19" i="1"/>
  <c r="O22" i="1"/>
  <c r="O23" i="1" s="1"/>
  <c r="P22" i="1"/>
  <c r="P23" i="1" s="1"/>
  <c r="Q22" i="1"/>
  <c r="Q23" i="1" s="1"/>
  <c r="O26" i="1"/>
  <c r="O27" i="1" s="1"/>
  <c r="P26" i="1"/>
  <c r="P27" i="1" s="1"/>
  <c r="Q26" i="1"/>
  <c r="Q27" i="1" s="1"/>
  <c r="O28" i="1"/>
  <c r="P28" i="1"/>
  <c r="Q28" i="1"/>
  <c r="Q29" i="1" s="1"/>
  <c r="O30" i="1"/>
  <c r="O31" i="1" s="1"/>
  <c r="P30" i="1"/>
  <c r="P31" i="1" s="1"/>
  <c r="Q30" i="1"/>
  <c r="Q31" i="1" s="1"/>
  <c r="O32" i="1"/>
  <c r="P32" i="1"/>
  <c r="Q32" i="1"/>
  <c r="O33" i="1"/>
  <c r="P33" i="1"/>
  <c r="Q33" i="1"/>
  <c r="Q18" i="1"/>
  <c r="P17" i="1"/>
  <c r="P40" i="1" s="1"/>
  <c r="O17" i="1"/>
  <c r="O40" i="1" s="1"/>
  <c r="P18" i="1"/>
  <c r="O18" i="1"/>
  <c r="Q40" i="1"/>
  <c r="Q41" i="1"/>
  <c r="Q43" i="1"/>
  <c r="O45" i="1"/>
  <c r="Q17" i="1"/>
  <c r="P29" i="1" l="1"/>
  <c r="O29" i="1"/>
  <c r="Q24" i="1"/>
  <c r="Q25" i="1" s="1"/>
  <c r="Q20" i="1"/>
  <c r="Q21" i="1" s="1"/>
  <c r="O24" i="1"/>
  <c r="O25" i="1" s="1"/>
  <c r="O20" i="1"/>
  <c r="O21" i="1" s="1"/>
  <c r="P24" i="1"/>
  <c r="P25" i="1" s="1"/>
  <c r="P20" i="1"/>
  <c r="P21" i="1" s="1"/>
  <c r="P41" i="1"/>
  <c r="P43" i="1"/>
  <c r="O43" i="1"/>
  <c r="O41" i="1"/>
  <c r="L45" i="1"/>
  <c r="M45" i="1"/>
  <c r="N45" i="1"/>
  <c r="K45" i="1"/>
  <c r="I45" i="1"/>
  <c r="J45" i="1"/>
  <c r="H45" i="1"/>
  <c r="G45" i="1"/>
  <c r="E34" i="4" l="1"/>
  <c r="C45" i="4"/>
  <c r="H17" i="1" l="1"/>
  <c r="I17" i="1" l="1"/>
  <c r="G43" i="1"/>
  <c r="G28" i="1" s="1"/>
  <c r="N7" i="1"/>
  <c r="N6" i="1"/>
  <c r="M5" i="1"/>
  <c r="K4" i="1"/>
  <c r="J3" i="1"/>
  <c r="F2" i="1"/>
  <c r="P11" i="1"/>
  <c r="O10" i="1"/>
  <c r="N9" i="1"/>
  <c r="N8" i="1"/>
  <c r="G41" i="1"/>
  <c r="G40" i="1"/>
  <c r="J17" i="1" l="1"/>
  <c r="G29" i="1"/>
  <c r="G30" i="1"/>
  <c r="G31" i="1" s="1"/>
  <c r="S42" i="1"/>
  <c r="T42" i="1" s="1"/>
  <c r="U42" i="1" s="1"/>
  <c r="V42" i="1" s="1"/>
  <c r="W42" i="1" s="1"/>
  <c r="X42" i="1" s="1"/>
  <c r="Y42" i="1" s="1"/>
  <c r="Z42" i="1" s="1"/>
  <c r="AA42" i="1" s="1"/>
  <c r="AB42" i="1" s="1"/>
  <c r="AC42" i="1" s="1"/>
  <c r="K17" i="1" l="1"/>
  <c r="G26" i="1"/>
  <c r="G27" i="1" s="1"/>
  <c r="G22" i="1"/>
  <c r="G24" i="1" s="1"/>
  <c r="G25" i="1" s="1"/>
  <c r="C12" i="5"/>
  <c r="C7" i="5"/>
  <c r="C8" i="5" s="1"/>
  <c r="C9" i="5" s="1"/>
  <c r="C21" i="5"/>
  <c r="C18" i="5"/>
  <c r="C15" i="5"/>
  <c r="C24" i="5"/>
  <c r="C3" i="5"/>
  <c r="L17" i="1" l="1"/>
  <c r="C30" i="5"/>
  <c r="G20" i="1"/>
  <c r="G21" i="1" s="1"/>
  <c r="C34" i="5"/>
  <c r="M17" i="1" l="1"/>
  <c r="C13" i="5"/>
  <c r="C14" i="5" s="1"/>
  <c r="G23" i="1"/>
  <c r="AE19" i="1"/>
  <c r="AE18" i="1" s="1"/>
  <c r="AE22" i="1"/>
  <c r="AD18" i="1"/>
  <c r="AD19" i="1" s="1"/>
  <c r="G36" i="1"/>
  <c r="G34" i="1"/>
  <c r="G37" i="1"/>
  <c r="G35" i="1"/>
  <c r="N17" i="1" l="1"/>
  <c r="AE23" i="1"/>
  <c r="AE24" i="1"/>
  <c r="AE32" i="1"/>
  <c r="AE26" i="1"/>
  <c r="AE30" i="1"/>
  <c r="AE28" i="1"/>
  <c r="AD42" i="1"/>
  <c r="AE42" i="1" s="1"/>
  <c r="AD26" i="1"/>
  <c r="AD22" i="1"/>
  <c r="AD24" i="1" s="1"/>
  <c r="C22" i="5"/>
  <c r="C23" i="5" s="1"/>
  <c r="C35" i="5"/>
  <c r="C40" i="5" s="1"/>
  <c r="C25" i="5"/>
  <c r="C19" i="5"/>
  <c r="C20" i="5" s="1"/>
  <c r="C16" i="5"/>
  <c r="C17" i="5" s="1"/>
  <c r="C31" i="5"/>
  <c r="AP25" i="4"/>
  <c r="E31" i="4"/>
  <c r="B17" i="4" s="1"/>
  <c r="B18" i="4" l="1"/>
  <c r="H21" i="4" s="1"/>
  <c r="V24" i="4" s="1"/>
  <c r="K20" i="4"/>
  <c r="R17" i="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S17" i="1" l="1"/>
  <c r="E18" i="4"/>
  <c r="E19" i="4" s="1"/>
  <c r="H17" i="4"/>
  <c r="B19" i="4"/>
  <c r="G73" i="1"/>
  <c r="G74" i="1" s="1"/>
  <c r="T17" i="1" l="1"/>
  <c r="H18" i="4"/>
  <c r="H19" i="4" s="1"/>
  <c r="Q20" i="4"/>
  <c r="K17" i="4"/>
  <c r="T20" i="4" s="1"/>
  <c r="K21" i="4"/>
  <c r="Y24" i="4" s="1"/>
  <c r="B14" i="3"/>
  <c r="U17" i="1" l="1"/>
  <c r="K18" i="4"/>
  <c r="K19" i="4" s="1"/>
  <c r="N22" i="4"/>
  <c r="N17" i="4"/>
  <c r="W20" i="4" s="1"/>
  <c r="N21" i="4"/>
  <c r="AB24" i="4" s="1"/>
  <c r="V17" i="1" l="1"/>
  <c r="Q17" i="4"/>
  <c r="T17" i="4" s="1"/>
  <c r="N18" i="4"/>
  <c r="N19" i="4" s="1"/>
  <c r="Q21" i="4"/>
  <c r="AE24" i="4" s="1"/>
  <c r="Q22" i="4"/>
  <c r="B66" i="1"/>
  <c r="B64" i="1"/>
  <c r="B62" i="1"/>
  <c r="B60" i="1"/>
  <c r="B58" i="1"/>
  <c r="B56" i="1"/>
  <c r="B54" i="1"/>
  <c r="B52" i="1"/>
  <c r="B50" i="1"/>
  <c r="W17" i="1" l="1"/>
  <c r="T18" i="4"/>
  <c r="T19" i="4" s="1"/>
  <c r="AC20" i="4"/>
  <c r="Q18" i="4"/>
  <c r="Q19" i="4" s="1"/>
  <c r="Z20" i="4"/>
  <c r="T21" i="4"/>
  <c r="AH24" i="4" s="1"/>
  <c r="T22" i="4"/>
  <c r="T23" i="4"/>
  <c r="W17" i="4"/>
  <c r="W22" i="4" l="1"/>
  <c r="W23" i="4"/>
  <c r="W21" i="4"/>
  <c r="AK24" i="4" s="1"/>
  <c r="X17" i="1"/>
  <c r="W18" i="4"/>
  <c r="W19" i="4" s="1"/>
  <c r="AF20" i="4"/>
  <c r="Z21" i="4"/>
  <c r="AN24" i="4" s="1"/>
  <c r="Z23" i="4"/>
  <c r="Z22" i="4"/>
  <c r="Z17" i="4"/>
  <c r="C83" i="1"/>
  <c r="C81" i="1"/>
  <c r="C79" i="1"/>
  <c r="C77" i="1"/>
  <c r="C75" i="1"/>
  <c r="C73" i="1"/>
  <c r="G32" i="1"/>
  <c r="C5" i="3"/>
  <c r="D52" i="1" s="1"/>
  <c r="O52" i="1" l="1"/>
  <c r="P52" i="1"/>
  <c r="Q52" i="1"/>
  <c r="O53" i="1"/>
  <c r="P53" i="1"/>
  <c r="Q53" i="1"/>
  <c r="Y17" i="1"/>
  <c r="Z18" i="4"/>
  <c r="Z19" i="4" s="1"/>
  <c r="AI20" i="4"/>
  <c r="AC21" i="4"/>
  <c r="AC22" i="4"/>
  <c r="AC23" i="4"/>
  <c r="AC17" i="4"/>
  <c r="AD77" i="1"/>
  <c r="AD78" i="1" s="1"/>
  <c r="AD32" i="1"/>
  <c r="AD73" i="1"/>
  <c r="AD79" i="1"/>
  <c r="AD80" i="1" s="1"/>
  <c r="AD75" i="1"/>
  <c r="AD76" i="1" s="1"/>
  <c r="AD74" i="1"/>
  <c r="AD83" i="1"/>
  <c r="AD81" i="1"/>
  <c r="AD82" i="1" s="1"/>
  <c r="AD52" i="1"/>
  <c r="AD53" i="1"/>
  <c r="C7" i="3"/>
  <c r="D56" i="1" s="1"/>
  <c r="C4" i="3"/>
  <c r="D50" i="1" s="1"/>
  <c r="C12" i="3"/>
  <c r="D66" i="1" s="1"/>
  <c r="C11" i="3"/>
  <c r="D64" i="1" s="1"/>
  <c r="C10" i="3"/>
  <c r="D62" i="1" s="1"/>
  <c r="C9" i="3"/>
  <c r="D60" i="1" s="1"/>
  <c r="C8" i="3"/>
  <c r="D58" i="1" s="1"/>
  <c r="C6" i="3"/>
  <c r="D54" i="1" s="1"/>
  <c r="C8" i="1"/>
  <c r="C10" i="5" s="1"/>
  <c r="C26" i="5" s="1"/>
  <c r="C27" i="5" s="1"/>
  <c r="C9" i="1"/>
  <c r="C11" i="5" s="1"/>
  <c r="C28" i="5" s="1"/>
  <c r="C29" i="5" s="1"/>
  <c r="G53" i="1"/>
  <c r="G83" i="1"/>
  <c r="G81" i="1"/>
  <c r="G79" i="1"/>
  <c r="G80" i="1" s="1"/>
  <c r="G77" i="1"/>
  <c r="G78" i="1" s="1"/>
  <c r="G75" i="1"/>
  <c r="G76" i="1" s="1"/>
  <c r="C52" i="1"/>
  <c r="C54" i="1"/>
  <c r="C56" i="1"/>
  <c r="C58" i="1"/>
  <c r="C60" i="1"/>
  <c r="C62" i="1"/>
  <c r="C64" i="1"/>
  <c r="C66" i="1"/>
  <c r="C50" i="1"/>
  <c r="C13" i="2"/>
  <c r="D13" i="2" s="1"/>
  <c r="C25" i="2"/>
  <c r="D25" i="2" s="1"/>
  <c r="C37" i="2"/>
  <c r="D37" i="2" s="1"/>
  <c r="D49" i="2"/>
  <c r="C49" i="2"/>
  <c r="C61" i="2"/>
  <c r="D61" i="2" s="1"/>
  <c r="D73" i="2"/>
  <c r="C73" i="2"/>
  <c r="C85" i="2"/>
  <c r="D85" i="2" s="1"/>
  <c r="C107" i="2"/>
  <c r="D107" i="2" s="1"/>
  <c r="C97" i="2"/>
  <c r="D97" i="2" s="1"/>
  <c r="G19" i="1"/>
  <c r="H18" i="1"/>
  <c r="O56" i="1" l="1"/>
  <c r="P56" i="1"/>
  <c r="O57" i="1"/>
  <c r="Q56" i="1"/>
  <c r="Q57" i="1"/>
  <c r="P57" i="1"/>
  <c r="AD54" i="1"/>
  <c r="O55" i="1"/>
  <c r="P55" i="1"/>
  <c r="Q55" i="1"/>
  <c r="O54" i="1"/>
  <c r="P54" i="1"/>
  <c r="Q54" i="1"/>
  <c r="G67" i="1"/>
  <c r="O67" i="1"/>
  <c r="P67" i="1"/>
  <c r="Q67" i="1"/>
  <c r="O66" i="1"/>
  <c r="P66" i="1"/>
  <c r="Q66" i="1"/>
  <c r="O59" i="1"/>
  <c r="P59" i="1"/>
  <c r="Q59" i="1"/>
  <c r="O58" i="1"/>
  <c r="P58" i="1"/>
  <c r="Q58" i="1"/>
  <c r="O60" i="1"/>
  <c r="P60" i="1"/>
  <c r="Q60" i="1"/>
  <c r="O61" i="1"/>
  <c r="Q61" i="1"/>
  <c r="P61" i="1"/>
  <c r="O63" i="1"/>
  <c r="O62" i="1"/>
  <c r="P63" i="1"/>
  <c r="Q63" i="1"/>
  <c r="P62" i="1"/>
  <c r="Q62" i="1"/>
  <c r="O64" i="1"/>
  <c r="P64" i="1"/>
  <c r="O65" i="1"/>
  <c r="Q65" i="1"/>
  <c r="Q64" i="1"/>
  <c r="P65" i="1"/>
  <c r="O51" i="1"/>
  <c r="O69" i="1" s="1"/>
  <c r="P51" i="1"/>
  <c r="Q51" i="1"/>
  <c r="P50" i="1"/>
  <c r="P68" i="1" s="1"/>
  <c r="Q50" i="1"/>
  <c r="O50" i="1"/>
  <c r="Z17" i="1"/>
  <c r="AC18" i="4"/>
  <c r="AL20" i="4"/>
  <c r="H28" i="1"/>
  <c r="H30" i="1"/>
  <c r="H31" i="1" s="1"/>
  <c r="H43" i="1"/>
  <c r="H41" i="1"/>
  <c r="H26" i="1"/>
  <c r="H27" i="1" s="1"/>
  <c r="H34" i="1"/>
  <c r="H37" i="1"/>
  <c r="H40" i="1"/>
  <c r="H35" i="1"/>
  <c r="H36" i="1"/>
  <c r="AD85" i="1"/>
  <c r="H22" i="1"/>
  <c r="AF22" i="4"/>
  <c r="AF23" i="4"/>
  <c r="AF21" i="4"/>
  <c r="AF17" i="4"/>
  <c r="AC19" i="4"/>
  <c r="G51" i="1"/>
  <c r="G50" i="1"/>
  <c r="AD86" i="1"/>
  <c r="G59" i="1"/>
  <c r="G58" i="1"/>
  <c r="AD62" i="1"/>
  <c r="AD63" i="1"/>
  <c r="AD64" i="1"/>
  <c r="AD65" i="1"/>
  <c r="AD58" i="1"/>
  <c r="AD59" i="1"/>
  <c r="AD56" i="1"/>
  <c r="AD57" i="1"/>
  <c r="AD61" i="1"/>
  <c r="AD60" i="1"/>
  <c r="G62" i="1"/>
  <c r="G61" i="1"/>
  <c r="G64" i="1"/>
  <c r="AD50" i="1"/>
  <c r="AD51" i="1"/>
  <c r="AD55" i="1"/>
  <c r="AD67" i="1"/>
  <c r="AD66" i="1"/>
  <c r="G54" i="1"/>
  <c r="I18" i="1"/>
  <c r="I26" i="1" s="1"/>
  <c r="I27" i="1" s="1"/>
  <c r="H77" i="1"/>
  <c r="H78" i="1" s="1"/>
  <c r="G55" i="1"/>
  <c r="H66" i="1"/>
  <c r="H75" i="1"/>
  <c r="H76" i="1" s="1"/>
  <c r="G63" i="1"/>
  <c r="H64" i="1"/>
  <c r="H83" i="1"/>
  <c r="G52" i="1"/>
  <c r="G60" i="1"/>
  <c r="H81" i="1"/>
  <c r="H82" i="1" s="1"/>
  <c r="H79" i="1"/>
  <c r="H80" i="1" s="1"/>
  <c r="H62" i="1"/>
  <c r="H55" i="1"/>
  <c r="H59" i="1"/>
  <c r="H63" i="1"/>
  <c r="H67" i="1"/>
  <c r="G85" i="1"/>
  <c r="H73" i="1"/>
  <c r="H74" i="1" s="1"/>
  <c r="G56" i="1"/>
  <c r="H52" i="1"/>
  <c r="G57" i="1"/>
  <c r="G65" i="1"/>
  <c r="H56" i="1"/>
  <c r="H53" i="1"/>
  <c r="H60" i="1"/>
  <c r="G66" i="1"/>
  <c r="H50" i="1"/>
  <c r="H57" i="1"/>
  <c r="H61" i="1"/>
  <c r="H65" i="1"/>
  <c r="H54" i="1"/>
  <c r="H51" i="1"/>
  <c r="H58" i="1"/>
  <c r="G82" i="1"/>
  <c r="G86" i="1" s="1"/>
  <c r="H19" i="1"/>
  <c r="H32" i="1"/>
  <c r="P69" i="1" l="1"/>
  <c r="Q69" i="1"/>
  <c r="O68" i="1"/>
  <c r="Q68" i="1"/>
  <c r="AA17" i="1"/>
  <c r="AF18" i="4"/>
  <c r="AO20" i="4"/>
  <c r="H29" i="1"/>
  <c r="H20" i="1" s="1"/>
  <c r="H21" i="1" s="1"/>
  <c r="I75" i="1"/>
  <c r="I76" i="1" s="1"/>
  <c r="I56" i="1"/>
  <c r="I30" i="1"/>
  <c r="I31" i="1" s="1"/>
  <c r="I81" i="1"/>
  <c r="I82" i="1" s="1"/>
  <c r="I52" i="1"/>
  <c r="I51" i="1"/>
  <c r="I73" i="1"/>
  <c r="I74" i="1" s="1"/>
  <c r="I53" i="1"/>
  <c r="I19" i="1"/>
  <c r="H23" i="1"/>
  <c r="H24" i="1"/>
  <c r="H25" i="1" s="1"/>
  <c r="I41" i="1"/>
  <c r="I43" i="1"/>
  <c r="J18" i="1"/>
  <c r="J26" i="1" s="1"/>
  <c r="J27" i="1" s="1"/>
  <c r="I22" i="1"/>
  <c r="I32" i="1"/>
  <c r="I66" i="1"/>
  <c r="I65" i="1"/>
  <c r="I77" i="1"/>
  <c r="I78" i="1" s="1"/>
  <c r="I61" i="1"/>
  <c r="I60" i="1"/>
  <c r="I36" i="1"/>
  <c r="I34" i="1"/>
  <c r="I37" i="1"/>
  <c r="I40" i="1"/>
  <c r="I35" i="1"/>
  <c r="AI23" i="4"/>
  <c r="AI21" i="4"/>
  <c r="AI22" i="4"/>
  <c r="AI17" i="4"/>
  <c r="AI18" i="4" s="1"/>
  <c r="AF19" i="4"/>
  <c r="AD68" i="1"/>
  <c r="AD69" i="1"/>
  <c r="G69" i="1"/>
  <c r="H69" i="1"/>
  <c r="I63" i="1"/>
  <c r="I62" i="1"/>
  <c r="I58" i="1"/>
  <c r="I55" i="1"/>
  <c r="I57" i="1"/>
  <c r="I50" i="1"/>
  <c r="I59" i="1"/>
  <c r="I64" i="1"/>
  <c r="I83" i="1"/>
  <c r="I54" i="1"/>
  <c r="I79" i="1"/>
  <c r="I80" i="1" s="1"/>
  <c r="I67" i="1"/>
  <c r="H85" i="1"/>
  <c r="G68" i="1"/>
  <c r="H68" i="1"/>
  <c r="H86" i="1"/>
  <c r="J53" i="1" l="1"/>
  <c r="J67" i="1"/>
  <c r="J63" i="1"/>
  <c r="J65" i="1"/>
  <c r="J62" i="1"/>
  <c r="J75" i="1"/>
  <c r="J76" i="1" s="1"/>
  <c r="J54" i="1"/>
  <c r="J60" i="1"/>
  <c r="J83" i="1"/>
  <c r="J50" i="1"/>
  <c r="J57" i="1"/>
  <c r="J55" i="1"/>
  <c r="AB17" i="1"/>
  <c r="J30" i="1"/>
  <c r="J31" i="1" s="1"/>
  <c r="J61" i="1"/>
  <c r="J59" i="1"/>
  <c r="J52" i="1"/>
  <c r="J73" i="1"/>
  <c r="J74" i="1" s="1"/>
  <c r="J56" i="1"/>
  <c r="K18" i="1"/>
  <c r="K62" i="1" s="1"/>
  <c r="J66" i="1"/>
  <c r="J64" i="1"/>
  <c r="J32" i="1"/>
  <c r="J77" i="1"/>
  <c r="J78" i="1" s="1"/>
  <c r="I86" i="1"/>
  <c r="J51" i="1"/>
  <c r="J79" i="1"/>
  <c r="J80" i="1" s="1"/>
  <c r="J81" i="1"/>
  <c r="J82" i="1" s="1"/>
  <c r="J19" i="1"/>
  <c r="J58" i="1"/>
  <c r="J41" i="1"/>
  <c r="J43" i="1"/>
  <c r="I23" i="1"/>
  <c r="I24" i="1"/>
  <c r="I25" i="1" s="1"/>
  <c r="J35" i="1"/>
  <c r="J36" i="1"/>
  <c r="J37" i="1"/>
  <c r="J40" i="1"/>
  <c r="J34" i="1"/>
  <c r="I85" i="1"/>
  <c r="J22" i="1"/>
  <c r="AL22" i="4"/>
  <c r="AL21" i="4"/>
  <c r="AL23" i="4"/>
  <c r="AL17" i="4"/>
  <c r="AL18" i="4" s="1"/>
  <c r="AI19" i="4"/>
  <c r="I68" i="1"/>
  <c r="I69" i="1"/>
  <c r="AC17" i="1" l="1"/>
  <c r="K66" i="1"/>
  <c r="K63" i="1"/>
  <c r="K75" i="1"/>
  <c r="K76" i="1" s="1"/>
  <c r="K60" i="1"/>
  <c r="K61" i="1"/>
  <c r="K52" i="1"/>
  <c r="K58" i="1"/>
  <c r="K73" i="1"/>
  <c r="K74" i="1" s="1"/>
  <c r="J69" i="1"/>
  <c r="K59" i="1"/>
  <c r="K51" i="1"/>
  <c r="K81" i="1"/>
  <c r="K82" i="1" s="1"/>
  <c r="K65" i="1"/>
  <c r="K57" i="1"/>
  <c r="K64" i="1"/>
  <c r="K79" i="1"/>
  <c r="K80" i="1" s="1"/>
  <c r="J86" i="1"/>
  <c r="K26" i="1"/>
  <c r="K19" i="1"/>
  <c r="K53" i="1"/>
  <c r="K54" i="1"/>
  <c r="K77" i="1"/>
  <c r="K78" i="1" s="1"/>
  <c r="K22" i="1"/>
  <c r="K24" i="1" s="1"/>
  <c r="K32" i="1"/>
  <c r="K56" i="1"/>
  <c r="L18" i="1"/>
  <c r="L63" i="1" s="1"/>
  <c r="K67" i="1"/>
  <c r="J68" i="1"/>
  <c r="K55" i="1"/>
  <c r="K83" i="1"/>
  <c r="J85" i="1"/>
  <c r="K50" i="1"/>
  <c r="K41" i="1"/>
  <c r="K43" i="1"/>
  <c r="J23" i="1"/>
  <c r="J24" i="1"/>
  <c r="J25" i="1" s="1"/>
  <c r="K35" i="1"/>
  <c r="K40" i="1"/>
  <c r="K36" i="1"/>
  <c r="K37" i="1"/>
  <c r="K34" i="1"/>
  <c r="AO21" i="4"/>
  <c r="AO22" i="4"/>
  <c r="AO23" i="4"/>
  <c r="AO17" i="4"/>
  <c r="AL19" i="4"/>
  <c r="L60" i="1"/>
  <c r="L53" i="1" l="1"/>
  <c r="L50" i="1"/>
  <c r="AD17" i="1"/>
  <c r="AO18" i="4"/>
  <c r="AO19" i="4" s="1"/>
  <c r="K68" i="1"/>
  <c r="K86" i="1"/>
  <c r="L66" i="1"/>
  <c r="L32" i="1"/>
  <c r="M18" i="1"/>
  <c r="M64" i="1" s="1"/>
  <c r="L55" i="1"/>
  <c r="L81" i="1"/>
  <c r="L82" i="1" s="1"/>
  <c r="L61" i="1"/>
  <c r="L62" i="1"/>
  <c r="K85" i="1"/>
  <c r="L58" i="1"/>
  <c r="K69" i="1"/>
  <c r="L19" i="1"/>
  <c r="L56" i="1"/>
  <c r="L79" i="1"/>
  <c r="L80" i="1" s="1"/>
  <c r="L26" i="1"/>
  <c r="L75" i="1"/>
  <c r="L76" i="1" s="1"/>
  <c r="L57" i="1"/>
  <c r="L22" i="1"/>
  <c r="L23" i="1" s="1"/>
  <c r="L65" i="1"/>
  <c r="L64" i="1"/>
  <c r="L59" i="1"/>
  <c r="L77" i="1"/>
  <c r="L78" i="1" s="1"/>
  <c r="L52" i="1"/>
  <c r="L73" i="1"/>
  <c r="L74" i="1" s="1"/>
  <c r="L83" i="1"/>
  <c r="L54" i="1"/>
  <c r="K23" i="1"/>
  <c r="L51" i="1"/>
  <c r="L67" i="1"/>
  <c r="L41" i="1"/>
  <c r="L43" i="1"/>
  <c r="L35" i="1"/>
  <c r="L36" i="1"/>
  <c r="L34" i="1"/>
  <c r="L37" i="1"/>
  <c r="L40" i="1"/>
  <c r="M26" i="1" l="1"/>
  <c r="M22" i="1"/>
  <c r="M32" i="1"/>
  <c r="M83" i="1"/>
  <c r="M59" i="1"/>
  <c r="M51" i="1"/>
  <c r="M50" i="1"/>
  <c r="M63" i="1"/>
  <c r="M65" i="1"/>
  <c r="M52" i="1"/>
  <c r="M19" i="1"/>
  <c r="M75" i="1"/>
  <c r="M76" i="1" s="1"/>
  <c r="M61" i="1"/>
  <c r="M53" i="1"/>
  <c r="M77" i="1"/>
  <c r="M78" i="1" s="1"/>
  <c r="M56" i="1"/>
  <c r="M79" i="1"/>
  <c r="M80" i="1" s="1"/>
  <c r="M60" i="1"/>
  <c r="M57" i="1"/>
  <c r="M55" i="1"/>
  <c r="M73" i="1"/>
  <c r="M74" i="1" s="1"/>
  <c r="M62" i="1"/>
  <c r="M58" i="1"/>
  <c r="N18" i="1"/>
  <c r="N56" i="1" s="1"/>
  <c r="M67" i="1"/>
  <c r="M66" i="1"/>
  <c r="M81" i="1"/>
  <c r="M82" i="1" s="1"/>
  <c r="M54" i="1"/>
  <c r="L86" i="1"/>
  <c r="L69" i="1"/>
  <c r="L85" i="1"/>
  <c r="L68" i="1"/>
  <c r="L24" i="1"/>
  <c r="M41" i="1"/>
  <c r="M43" i="1"/>
  <c r="M23" i="1"/>
  <c r="M24" i="1"/>
  <c r="M35" i="1"/>
  <c r="M36" i="1"/>
  <c r="M37" i="1"/>
  <c r="M34" i="1"/>
  <c r="M40" i="1"/>
  <c r="N59" i="1"/>
  <c r="N53" i="1" l="1"/>
  <c r="N50" i="1"/>
  <c r="N32" i="1"/>
  <c r="N83" i="1"/>
  <c r="N55" i="1"/>
  <c r="N60" i="1"/>
  <c r="N62" i="1"/>
  <c r="N57" i="1"/>
  <c r="N67" i="1"/>
  <c r="N75" i="1"/>
  <c r="N76" i="1" s="1"/>
  <c r="N51" i="1"/>
  <c r="N69" i="1" s="1"/>
  <c r="N81" i="1"/>
  <c r="N82" i="1" s="1"/>
  <c r="R18" i="1"/>
  <c r="R26" i="1" s="1"/>
  <c r="M69" i="1"/>
  <c r="M85" i="1"/>
  <c r="N63" i="1"/>
  <c r="N61" i="1"/>
  <c r="N64" i="1"/>
  <c r="N73" i="1"/>
  <c r="N74" i="1" s="1"/>
  <c r="N66" i="1"/>
  <c r="N58" i="1"/>
  <c r="N26" i="1"/>
  <c r="M86" i="1"/>
  <c r="N79" i="1"/>
  <c r="N80" i="1" s="1"/>
  <c r="N77" i="1"/>
  <c r="N78" i="1" s="1"/>
  <c r="N19" i="1"/>
  <c r="N54" i="1"/>
  <c r="N22" i="1"/>
  <c r="N23" i="1" s="1"/>
  <c r="N65" i="1"/>
  <c r="N52" i="1"/>
  <c r="M68" i="1"/>
  <c r="R43" i="1"/>
  <c r="N33" i="1"/>
  <c r="N43" i="1"/>
  <c r="N41" i="1"/>
  <c r="N40" i="1"/>
  <c r="N35" i="1"/>
  <c r="N37" i="1"/>
  <c r="N36" i="1"/>
  <c r="N34" i="1"/>
  <c r="R58" i="1" l="1"/>
  <c r="R59" i="1"/>
  <c r="R57" i="1"/>
  <c r="R56" i="1"/>
  <c r="R19" i="1"/>
  <c r="R79" i="1"/>
  <c r="R80" i="1" s="1"/>
  <c r="R32" i="1"/>
  <c r="R81" i="1"/>
  <c r="R82" i="1" s="1"/>
  <c r="R67" i="1"/>
  <c r="R50" i="1"/>
  <c r="R63" i="1"/>
  <c r="R65" i="1"/>
  <c r="N68" i="1"/>
  <c r="R66" i="1"/>
  <c r="R22" i="1"/>
  <c r="R24" i="1" s="1"/>
  <c r="R53" i="1"/>
  <c r="R77" i="1"/>
  <c r="R78" i="1" s="1"/>
  <c r="N24" i="1"/>
  <c r="R52" i="1"/>
  <c r="R61" i="1"/>
  <c r="R75" i="1"/>
  <c r="R76" i="1" s="1"/>
  <c r="R64" i="1"/>
  <c r="R60" i="1"/>
  <c r="R73" i="1"/>
  <c r="R74" i="1" s="1"/>
  <c r="R86" i="1" s="1"/>
  <c r="R55" i="1"/>
  <c r="R54" i="1"/>
  <c r="R83" i="1"/>
  <c r="R62" i="1"/>
  <c r="R51" i="1"/>
  <c r="S18" i="1"/>
  <c r="S54" i="1" s="1"/>
  <c r="N85" i="1"/>
  <c r="N86" i="1"/>
  <c r="R40" i="1"/>
  <c r="R41" i="1"/>
  <c r="S32" i="1"/>
  <c r="S26" i="1"/>
  <c r="R35" i="1"/>
  <c r="R37" i="1"/>
  <c r="R34" i="1"/>
  <c r="R36" i="1"/>
  <c r="S58" i="1"/>
  <c r="S51" i="1"/>
  <c r="S62" i="1"/>
  <c r="S66" i="1"/>
  <c r="S57" i="1"/>
  <c r="S79" i="1"/>
  <c r="S80" i="1" s="1"/>
  <c r="S59" i="1"/>
  <c r="S60" i="1"/>
  <c r="S56" i="1"/>
  <c r="S52" i="1"/>
  <c r="S73" i="1"/>
  <c r="S77" i="1"/>
  <c r="S78" i="1" s="1"/>
  <c r="S63" i="1"/>
  <c r="R23" i="1" l="1"/>
  <c r="S75" i="1"/>
  <c r="S76" i="1" s="1"/>
  <c r="R68" i="1"/>
  <c r="S67" i="1"/>
  <c r="S83" i="1"/>
  <c r="S22" i="1"/>
  <c r="R69" i="1"/>
  <c r="S64" i="1"/>
  <c r="S55" i="1"/>
  <c r="S19" i="1"/>
  <c r="S50" i="1"/>
  <c r="S68" i="1" s="1"/>
  <c r="S61" i="1"/>
  <c r="T18" i="1"/>
  <c r="T26" i="1" s="1"/>
  <c r="R85" i="1"/>
  <c r="S53" i="1"/>
  <c r="S81" i="1"/>
  <c r="S82" i="1" s="1"/>
  <c r="S65" i="1"/>
  <c r="S23" i="1"/>
  <c r="S24" i="1"/>
  <c r="S43" i="1"/>
  <c r="S41" i="1"/>
  <c r="S40" i="1"/>
  <c r="S36" i="1"/>
  <c r="S37" i="1"/>
  <c r="S34" i="1"/>
  <c r="S35" i="1"/>
  <c r="S74" i="1"/>
  <c r="T52" i="1"/>
  <c r="T64" i="1"/>
  <c r="T51" i="1"/>
  <c r="T63" i="1"/>
  <c r="T79" i="1" l="1"/>
  <c r="T80" i="1" s="1"/>
  <c r="T56" i="1"/>
  <c r="T62" i="1"/>
  <c r="T77" i="1"/>
  <c r="T78" i="1" s="1"/>
  <c r="S69" i="1"/>
  <c r="T59" i="1"/>
  <c r="T61" i="1"/>
  <c r="T67" i="1"/>
  <c r="T65" i="1"/>
  <c r="T53" i="1"/>
  <c r="T50" i="1"/>
  <c r="T57" i="1"/>
  <c r="T54" i="1"/>
  <c r="T83" i="1"/>
  <c r="T19" i="1"/>
  <c r="T58" i="1"/>
  <c r="T66" i="1"/>
  <c r="T55" i="1"/>
  <c r="U18" i="1"/>
  <c r="U26" i="1" s="1"/>
  <c r="T81" i="1"/>
  <c r="T82" i="1" s="1"/>
  <c r="T60" i="1"/>
  <c r="T32" i="1"/>
  <c r="T73" i="1"/>
  <c r="T75" i="1"/>
  <c r="T76" i="1" s="1"/>
  <c r="T22" i="1"/>
  <c r="T23" i="1" s="1"/>
  <c r="S85" i="1"/>
  <c r="S86" i="1"/>
  <c r="T43" i="1"/>
  <c r="T41" i="1"/>
  <c r="R33" i="1" s="1"/>
  <c r="T40" i="1"/>
  <c r="U22" i="1"/>
  <c r="V18" i="1"/>
  <c r="V26" i="1" s="1"/>
  <c r="U19" i="1"/>
  <c r="T37" i="1"/>
  <c r="T34" i="1"/>
  <c r="T36" i="1"/>
  <c r="T35" i="1"/>
  <c r="T74" i="1"/>
  <c r="U83" i="1"/>
  <c r="U65" i="1"/>
  <c r="U73" i="1"/>
  <c r="U58" i="1"/>
  <c r="U56" i="1"/>
  <c r="U54" i="1"/>
  <c r="U53" i="1"/>
  <c r="U62" i="1"/>
  <c r="U77" i="1"/>
  <c r="U78" i="1" s="1"/>
  <c r="U79" i="1"/>
  <c r="U80" i="1" s="1"/>
  <c r="U60" i="1"/>
  <c r="U51" i="1"/>
  <c r="U52" i="1"/>
  <c r="U66" i="1"/>
  <c r="T86" i="1" l="1"/>
  <c r="U57" i="1"/>
  <c r="U50" i="1"/>
  <c r="T85" i="1"/>
  <c r="T69" i="1"/>
  <c r="T24" i="1"/>
  <c r="U75" i="1"/>
  <c r="U76" i="1" s="1"/>
  <c r="U61" i="1"/>
  <c r="U63" i="1"/>
  <c r="U59" i="1"/>
  <c r="T68" i="1"/>
  <c r="U55" i="1"/>
  <c r="U69" i="1" s="1"/>
  <c r="U67" i="1"/>
  <c r="U32" i="1"/>
  <c r="U64" i="1"/>
  <c r="U81" i="1"/>
  <c r="U82" i="1" s="1"/>
  <c r="K25" i="1"/>
  <c r="L25" i="1"/>
  <c r="M25" i="1"/>
  <c r="N25" i="1"/>
  <c r="R25" i="1"/>
  <c r="R28" i="1"/>
  <c r="K27" i="1"/>
  <c r="M27" i="1"/>
  <c r="L27" i="1"/>
  <c r="R27" i="1"/>
  <c r="N27" i="1"/>
  <c r="R30" i="1"/>
  <c r="R31" i="1" s="1"/>
  <c r="J28" i="1"/>
  <c r="K30" i="1"/>
  <c r="K31" i="1" s="1"/>
  <c r="L30" i="1"/>
  <c r="L31" i="1" s="1"/>
  <c r="I28" i="1"/>
  <c r="N30" i="1"/>
  <c r="N31" i="1" s="1"/>
  <c r="K28" i="1"/>
  <c r="M30" i="1"/>
  <c r="M31" i="1" s="1"/>
  <c r="L28" i="1"/>
  <c r="M28" i="1"/>
  <c r="N28" i="1"/>
  <c r="U41" i="1"/>
  <c r="U43" i="1"/>
  <c r="U23" i="1"/>
  <c r="U24" i="1"/>
  <c r="U34" i="1"/>
  <c r="U36" i="1"/>
  <c r="U40" i="1"/>
  <c r="U35" i="1"/>
  <c r="U37" i="1"/>
  <c r="V19" i="1"/>
  <c r="V22" i="1"/>
  <c r="V24" i="1" s="1"/>
  <c r="V32" i="1"/>
  <c r="U74" i="1"/>
  <c r="U86" i="1" s="1"/>
  <c r="U85" i="1"/>
  <c r="W18" i="1"/>
  <c r="V53" i="1"/>
  <c r="V65" i="1"/>
  <c r="V62" i="1"/>
  <c r="V55" i="1"/>
  <c r="V51" i="1"/>
  <c r="V77" i="1"/>
  <c r="V78" i="1" s="1"/>
  <c r="V83" i="1"/>
  <c r="V60" i="1"/>
  <c r="V54" i="1"/>
  <c r="V67" i="1"/>
  <c r="V81" i="1"/>
  <c r="V82" i="1" s="1"/>
  <c r="V56" i="1"/>
  <c r="V57" i="1"/>
  <c r="V64" i="1"/>
  <c r="V75" i="1"/>
  <c r="V76" i="1" s="1"/>
  <c r="V58" i="1"/>
  <c r="V79" i="1"/>
  <c r="V80" i="1" s="1"/>
  <c r="V52" i="1"/>
  <c r="V59" i="1"/>
  <c r="V50" i="1"/>
  <c r="V61" i="1"/>
  <c r="V63" i="1"/>
  <c r="V73" i="1"/>
  <c r="V66" i="1"/>
  <c r="U68" i="1"/>
  <c r="R29" i="1" l="1"/>
  <c r="R20" i="1" s="1"/>
  <c r="R21" i="1" s="1"/>
  <c r="I29" i="1"/>
  <c r="I20" i="1" s="1"/>
  <c r="I21" i="1" s="1"/>
  <c r="J29" i="1"/>
  <c r="J20" i="1" s="1"/>
  <c r="J21" i="1" s="1"/>
  <c r="N29" i="1"/>
  <c r="N20" i="1" s="1"/>
  <c r="N21" i="1" s="1"/>
  <c r="L29" i="1"/>
  <c r="L20" i="1" s="1"/>
  <c r="L21" i="1" s="1"/>
  <c r="M29" i="1"/>
  <c r="M20" i="1" s="1"/>
  <c r="M21" i="1" s="1"/>
  <c r="K29" i="1"/>
  <c r="K20" i="1" s="1"/>
  <c r="K21" i="1" s="1"/>
  <c r="W22" i="1"/>
  <c r="W26" i="1"/>
  <c r="V23" i="1"/>
  <c r="V41" i="1"/>
  <c r="V43" i="1"/>
  <c r="V34" i="1"/>
  <c r="V36" i="1"/>
  <c r="V37" i="1"/>
  <c r="V40" i="1"/>
  <c r="V35" i="1"/>
  <c r="W32" i="1"/>
  <c r="V68" i="1"/>
  <c r="V69" i="1"/>
  <c r="V74" i="1"/>
  <c r="V86" i="1" s="1"/>
  <c r="V85" i="1"/>
  <c r="X18" i="1"/>
  <c r="W55" i="1"/>
  <c r="W60" i="1"/>
  <c r="W54" i="1"/>
  <c r="W53" i="1"/>
  <c r="W59" i="1"/>
  <c r="W83" i="1"/>
  <c r="W50" i="1"/>
  <c r="W64" i="1"/>
  <c r="W79" i="1"/>
  <c r="W80" i="1" s="1"/>
  <c r="W58" i="1"/>
  <c r="W65" i="1"/>
  <c r="W66" i="1"/>
  <c r="W62" i="1"/>
  <c r="W77" i="1"/>
  <c r="W78" i="1" s="1"/>
  <c r="W19" i="1"/>
  <c r="W75" i="1"/>
  <c r="W76" i="1" s="1"/>
  <c r="W57" i="1"/>
  <c r="W63" i="1"/>
  <c r="W56" i="1"/>
  <c r="W51" i="1"/>
  <c r="W81" i="1"/>
  <c r="W82" i="1" s="1"/>
  <c r="W73" i="1"/>
  <c r="W61" i="1"/>
  <c r="W67" i="1"/>
  <c r="W52" i="1"/>
  <c r="W41" i="1" l="1"/>
  <c r="W43" i="1"/>
  <c r="X22" i="1"/>
  <c r="X26" i="1"/>
  <c r="W23" i="1"/>
  <c r="W24" i="1"/>
  <c r="W37" i="1"/>
  <c r="W36" i="1"/>
  <c r="W34" i="1"/>
  <c r="W40" i="1"/>
  <c r="W35" i="1"/>
  <c r="X32" i="1"/>
  <c r="W68" i="1"/>
  <c r="W74" i="1"/>
  <c r="W86" i="1" s="1"/>
  <c r="W85" i="1"/>
  <c r="Y18" i="1"/>
  <c r="X53" i="1"/>
  <c r="X56" i="1"/>
  <c r="X58" i="1"/>
  <c r="X57" i="1"/>
  <c r="X67" i="1"/>
  <c r="X79" i="1"/>
  <c r="X80" i="1" s="1"/>
  <c r="X54" i="1"/>
  <c r="X60" i="1"/>
  <c r="X64" i="1"/>
  <c r="X75" i="1"/>
  <c r="X76" i="1" s="1"/>
  <c r="X59" i="1"/>
  <c r="X77" i="1"/>
  <c r="X78" i="1" s="1"/>
  <c r="X63" i="1"/>
  <c r="X83" i="1"/>
  <c r="X51" i="1"/>
  <c r="X61" i="1"/>
  <c r="X81" i="1"/>
  <c r="X82" i="1" s="1"/>
  <c r="X73" i="1"/>
  <c r="X52" i="1"/>
  <c r="X55" i="1"/>
  <c r="X50" i="1"/>
  <c r="X66" i="1"/>
  <c r="X65" i="1"/>
  <c r="X19" i="1"/>
  <c r="X62" i="1"/>
  <c r="W69" i="1"/>
  <c r="Y22" i="1" l="1"/>
  <c r="Y26" i="1"/>
  <c r="X41" i="1"/>
  <c r="X43" i="1"/>
  <c r="X23" i="1"/>
  <c r="X24" i="1"/>
  <c r="X37" i="1"/>
  <c r="X34" i="1"/>
  <c r="X36" i="1"/>
  <c r="X40" i="1"/>
  <c r="X35" i="1"/>
  <c r="Y32" i="1"/>
  <c r="X69" i="1"/>
  <c r="X74" i="1"/>
  <c r="X86" i="1" s="1"/>
  <c r="X85" i="1"/>
  <c r="X68" i="1"/>
  <c r="Z18" i="1"/>
  <c r="Y77" i="1"/>
  <c r="Y78" i="1" s="1"/>
  <c r="Y55" i="1"/>
  <c r="Y51" i="1"/>
  <c r="Y60" i="1"/>
  <c r="Y81" i="1"/>
  <c r="Y82" i="1" s="1"/>
  <c r="Y53" i="1"/>
  <c r="Y79" i="1"/>
  <c r="Y80" i="1" s="1"/>
  <c r="Y59" i="1"/>
  <c r="Y52" i="1"/>
  <c r="Y57" i="1"/>
  <c r="Y73" i="1"/>
  <c r="Y56" i="1"/>
  <c r="Y61" i="1"/>
  <c r="Y63" i="1"/>
  <c r="Y19" i="1"/>
  <c r="Y75" i="1"/>
  <c r="Y76" i="1" s="1"/>
  <c r="Y66" i="1"/>
  <c r="Y54" i="1"/>
  <c r="Y67" i="1"/>
  <c r="Y50" i="1"/>
  <c r="Y65" i="1"/>
  <c r="Y64" i="1"/>
  <c r="Y58" i="1"/>
  <c r="Y83" i="1"/>
  <c r="Y62" i="1"/>
  <c r="Y43" i="1" l="1"/>
  <c r="Y41" i="1"/>
  <c r="Z22" i="1"/>
  <c r="Z26" i="1"/>
  <c r="Y23" i="1"/>
  <c r="Y24" i="1"/>
  <c r="Y34" i="1"/>
  <c r="Y36" i="1"/>
  <c r="Y40" i="1"/>
  <c r="Y35" i="1"/>
  <c r="Y37" i="1"/>
  <c r="Z32" i="1"/>
  <c r="AA18" i="1"/>
  <c r="Y68" i="1"/>
  <c r="Y69" i="1"/>
  <c r="Y74" i="1"/>
  <c r="Y86" i="1" s="1"/>
  <c r="Y85" i="1"/>
  <c r="Z56" i="1"/>
  <c r="Z62" i="1"/>
  <c r="Z59" i="1"/>
  <c r="Z51" i="1"/>
  <c r="Z53" i="1"/>
  <c r="Z50" i="1"/>
  <c r="Z83" i="1"/>
  <c r="Z60" i="1"/>
  <c r="Z81" i="1"/>
  <c r="Z82" i="1" s="1"/>
  <c r="Z54" i="1"/>
  <c r="Z63" i="1"/>
  <c r="Z57" i="1"/>
  <c r="Z65" i="1"/>
  <c r="Z79" i="1"/>
  <c r="Z80" i="1" s="1"/>
  <c r="Z75" i="1"/>
  <c r="Z76" i="1" s="1"/>
  <c r="Z73" i="1"/>
  <c r="Z52" i="1"/>
  <c r="Z66" i="1"/>
  <c r="Z67" i="1"/>
  <c r="Z64" i="1"/>
  <c r="Z77" i="1"/>
  <c r="Z78" i="1" s="1"/>
  <c r="Z58" i="1"/>
  <c r="Z61" i="1"/>
  <c r="Z55" i="1"/>
  <c r="Z19" i="1"/>
  <c r="S25" i="1" l="1"/>
  <c r="S28" i="1"/>
  <c r="S27" i="1"/>
  <c r="S33" i="1"/>
  <c r="S30" i="1"/>
  <c r="S31" i="1" s="1"/>
  <c r="T33" i="1"/>
  <c r="T30" i="1"/>
  <c r="T31" i="1" s="1"/>
  <c r="T27" i="1"/>
  <c r="T25" i="1"/>
  <c r="T28" i="1"/>
  <c r="AA22" i="1"/>
  <c r="AA24" i="1" s="1"/>
  <c r="AA26" i="1"/>
  <c r="Z43" i="1"/>
  <c r="Z41" i="1"/>
  <c r="Z23" i="1"/>
  <c r="Z24" i="1"/>
  <c r="Z40" i="1"/>
  <c r="Z35" i="1"/>
  <c r="Z34" i="1"/>
  <c r="Z36" i="1"/>
  <c r="Z37" i="1"/>
  <c r="AA32" i="1"/>
  <c r="AB18" i="1"/>
  <c r="AA73" i="1"/>
  <c r="AA79" i="1"/>
  <c r="AA80" i="1" s="1"/>
  <c r="AA75" i="1"/>
  <c r="AA76" i="1" s="1"/>
  <c r="AA19" i="1"/>
  <c r="AA81" i="1"/>
  <c r="AA82" i="1" s="1"/>
  <c r="AA77" i="1"/>
  <c r="AA78" i="1" s="1"/>
  <c r="AA83" i="1"/>
  <c r="AA52" i="1"/>
  <c r="AA53" i="1"/>
  <c r="AA59" i="1"/>
  <c r="AA54" i="1"/>
  <c r="AA67" i="1"/>
  <c r="AA58" i="1"/>
  <c r="AA66" i="1"/>
  <c r="AA64" i="1"/>
  <c r="AA50" i="1"/>
  <c r="AA55" i="1"/>
  <c r="AA65" i="1"/>
  <c r="AA60" i="1"/>
  <c r="AA51" i="1"/>
  <c r="AA61" i="1"/>
  <c r="AA62" i="1"/>
  <c r="AA56" i="1"/>
  <c r="AA63" i="1"/>
  <c r="AA57" i="1"/>
  <c r="Z68" i="1"/>
  <c r="Z74" i="1"/>
  <c r="Z86" i="1" s="1"/>
  <c r="Z85" i="1"/>
  <c r="Z69" i="1"/>
  <c r="S29" i="1" l="1"/>
  <c r="S20" i="1" s="1"/>
  <c r="S21" i="1" s="1"/>
  <c r="T29" i="1"/>
  <c r="T20" i="1" s="1"/>
  <c r="T21" i="1" s="1"/>
  <c r="U27" i="1"/>
  <c r="V25" i="1"/>
  <c r="W25" i="1"/>
  <c r="X25" i="1"/>
  <c r="V27" i="1"/>
  <c r="U25" i="1"/>
  <c r="Y25" i="1"/>
  <c r="W27" i="1"/>
  <c r="X27" i="1"/>
  <c r="Y27" i="1"/>
  <c r="U30" i="1"/>
  <c r="U31" i="1" s="1"/>
  <c r="U33" i="1"/>
  <c r="U28" i="1"/>
  <c r="V28" i="1"/>
  <c r="V33" i="1"/>
  <c r="V30" i="1"/>
  <c r="V31" i="1" s="1"/>
  <c r="W30" i="1"/>
  <c r="W31" i="1" s="1"/>
  <c r="W33" i="1"/>
  <c r="W28" i="1"/>
  <c r="X30" i="1"/>
  <c r="X31" i="1" s="1"/>
  <c r="X33" i="1"/>
  <c r="X28" i="1"/>
  <c r="Y30" i="1"/>
  <c r="Y31" i="1" s="1"/>
  <c r="Y28" i="1"/>
  <c r="Y33" i="1"/>
  <c r="AB22" i="1"/>
  <c r="AB26" i="1"/>
  <c r="AA41" i="1"/>
  <c r="AA43" i="1"/>
  <c r="AA23" i="1"/>
  <c r="AA35" i="1"/>
  <c r="AA36" i="1"/>
  <c r="AA34" i="1"/>
  <c r="AA37" i="1"/>
  <c r="AA40" i="1"/>
  <c r="AB32" i="1"/>
  <c r="AA74" i="1"/>
  <c r="AA86" i="1" s="1"/>
  <c r="AA85" i="1"/>
  <c r="AA68" i="1"/>
  <c r="AA69" i="1"/>
  <c r="AB73" i="1"/>
  <c r="AB79" i="1"/>
  <c r="AB80" i="1" s="1"/>
  <c r="AB81" i="1"/>
  <c r="AB82" i="1" s="1"/>
  <c r="AB77" i="1"/>
  <c r="AB78" i="1" s="1"/>
  <c r="AB83" i="1"/>
  <c r="AB75" i="1"/>
  <c r="AB76" i="1" s="1"/>
  <c r="AB53" i="1"/>
  <c r="AC18" i="1"/>
  <c r="AB19" i="1"/>
  <c r="AB52" i="1"/>
  <c r="AB58" i="1"/>
  <c r="AB54" i="1"/>
  <c r="AB67" i="1"/>
  <c r="AB51" i="1"/>
  <c r="AB59" i="1"/>
  <c r="AB55" i="1"/>
  <c r="AB61" i="1"/>
  <c r="AB66" i="1"/>
  <c r="AB57" i="1"/>
  <c r="AB50" i="1"/>
  <c r="AB60" i="1"/>
  <c r="AB62" i="1"/>
  <c r="AB56" i="1"/>
  <c r="AB65" i="1"/>
  <c r="AB64" i="1"/>
  <c r="AB63" i="1"/>
  <c r="AC62" i="1" l="1"/>
  <c r="AC22" i="1"/>
  <c r="Y29" i="1"/>
  <c r="Y20" i="1" s="1"/>
  <c r="Y21" i="1" s="1"/>
  <c r="V29" i="1"/>
  <c r="V20" i="1" s="1"/>
  <c r="V21" i="1" s="1"/>
  <c r="W29" i="1"/>
  <c r="W20" i="1" s="1"/>
  <c r="W21" i="1" s="1"/>
  <c r="X29" i="1"/>
  <c r="X20" i="1" s="1"/>
  <c r="X21" i="1" s="1"/>
  <c r="U29" i="1"/>
  <c r="U20" i="1" s="1"/>
  <c r="U21" i="1" s="1"/>
  <c r="AB41" i="1"/>
  <c r="AB43" i="1"/>
  <c r="AC32" i="1"/>
  <c r="AC26" i="1"/>
  <c r="AB23" i="1"/>
  <c r="AB24" i="1"/>
  <c r="AB36" i="1"/>
  <c r="AB35" i="1"/>
  <c r="AB34" i="1"/>
  <c r="AB37" i="1"/>
  <c r="AB40" i="1"/>
  <c r="AB69" i="1"/>
  <c r="AB85" i="1"/>
  <c r="AB74" i="1"/>
  <c r="AB86" i="1" s="1"/>
  <c r="AB68" i="1"/>
  <c r="AC77" i="1"/>
  <c r="AC78" i="1" s="1"/>
  <c r="AC73" i="1"/>
  <c r="AC79" i="1"/>
  <c r="AC80" i="1" s="1"/>
  <c r="AC75" i="1"/>
  <c r="AC76" i="1" s="1"/>
  <c r="AC81" i="1"/>
  <c r="AC82" i="1" s="1"/>
  <c r="AC83" i="1"/>
  <c r="AC53" i="1"/>
  <c r="AC52" i="1"/>
  <c r="AC63" i="1"/>
  <c r="AC57" i="1"/>
  <c r="AC60" i="1"/>
  <c r="AC51" i="1"/>
  <c r="AC58" i="1"/>
  <c r="AC56" i="1"/>
  <c r="AC64" i="1"/>
  <c r="AC61" i="1"/>
  <c r="AC66" i="1"/>
  <c r="AC59" i="1"/>
  <c r="AC54" i="1"/>
  <c r="AC19" i="1"/>
  <c r="AC50" i="1"/>
  <c r="AC67" i="1"/>
  <c r="AC55" i="1"/>
  <c r="AC65" i="1"/>
  <c r="Z27" i="1" l="1"/>
  <c r="Z28" i="1"/>
  <c r="Z30" i="1"/>
  <c r="Z31" i="1" s="1"/>
  <c r="Z33" i="1"/>
  <c r="Z25" i="1"/>
  <c r="AC24" i="1"/>
  <c r="AC23" i="1"/>
  <c r="AC41" i="1"/>
  <c r="AC43" i="1"/>
  <c r="AC37" i="1"/>
  <c r="AC34" i="1"/>
  <c r="AC40" i="1"/>
  <c r="AC35" i="1"/>
  <c r="AC36" i="1"/>
  <c r="AC69" i="1"/>
  <c r="AC68" i="1"/>
  <c r="AC74" i="1"/>
  <c r="AC86" i="1" s="1"/>
  <c r="AC85" i="1"/>
  <c r="Z29" i="1" l="1"/>
  <c r="Z20" i="1" s="1"/>
  <c r="Z21" i="1" s="1"/>
  <c r="AA27" i="1"/>
  <c r="AA25" i="1"/>
  <c r="AB25" i="1"/>
  <c r="AB27" i="1"/>
  <c r="AA33" i="1"/>
  <c r="AA28" i="1"/>
  <c r="AA30" i="1"/>
  <c r="AA31" i="1" s="1"/>
  <c r="AB28" i="1"/>
  <c r="AB30" i="1"/>
  <c r="AB31" i="1" s="1"/>
  <c r="AB33" i="1"/>
  <c r="AD41" i="1"/>
  <c r="AD33" i="1" s="1"/>
  <c r="AD43" i="1"/>
  <c r="AD28" i="1" s="1"/>
  <c r="AD37" i="1"/>
  <c r="AD34" i="1"/>
  <c r="AD40" i="1"/>
  <c r="AE17" i="1"/>
  <c r="AD36" i="1"/>
  <c r="AD35" i="1"/>
  <c r="AC28" i="1" l="1"/>
  <c r="AC33" i="1"/>
  <c r="AC30" i="1"/>
  <c r="AC31" i="1" s="1"/>
  <c r="AC27" i="1"/>
  <c r="AC25" i="1"/>
  <c r="AD25" i="1"/>
  <c r="AA29" i="1"/>
  <c r="AA20" i="1" s="1"/>
  <c r="AA21" i="1" s="1"/>
  <c r="AB29" i="1"/>
  <c r="AB20" i="1" s="1"/>
  <c r="AB21" i="1" s="1"/>
  <c r="AD30" i="1"/>
  <c r="AD31" i="1" s="1"/>
  <c r="AD29" i="1" s="1"/>
  <c r="AE41" i="1"/>
  <c r="AE40" i="1"/>
  <c r="AE43" i="1"/>
  <c r="AC29" i="1" l="1"/>
  <c r="AC20" i="1" s="1"/>
  <c r="AC21" i="1" s="1"/>
  <c r="AE33" i="1"/>
  <c r="AD27" i="1"/>
  <c r="AD20" i="1" s="1"/>
  <c r="AD21" i="1" s="1"/>
</calcChain>
</file>

<file path=xl/sharedStrings.xml><?xml version="1.0" encoding="utf-8"?>
<sst xmlns="http://schemas.openxmlformats.org/spreadsheetml/2006/main" count="366" uniqueCount="298">
  <si>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</si>
  <si>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</si>
  <si>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</si>
  <si>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</si>
  <si>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</si>
  <si>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</si>
  <si>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</si>
  <si>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</si>
  <si>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</si>
  <si>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</si>
  <si>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</si>
  <si>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</si>
  <si>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</si>
  <si>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</si>
  <si>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</si>
  <si>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</si>
  <si>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</si>
  <si>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</si>
  <si>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</si>
  <si>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</si>
  <si>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</si>
  <si>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</si>
  <si>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</si>
  <si>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</si>
  <si>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</si>
  <si>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</si>
  <si>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</si>
  <si>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</si>
  <si>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</si>
  <si>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</si>
  <si>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</si>
  <si>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</si>
  <si>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</si>
  <si>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</si>
  <si>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</si>
  <si>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</si>
  <si>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</si>
  <si>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</si>
  <si>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</si>
  <si>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</si>
  <si>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</si>
  <si>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</si>
  <si>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</si>
  <si>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</si>
  <si>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</si>
  <si>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</si>
  <si>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</si>
  <si>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</si>
  <si>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</si>
  <si>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</si>
  <si>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</si>
  <si>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</si>
  <si>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</si>
  <si>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</si>
  <si>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</si>
  <si>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</si>
  <si>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</si>
  <si>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</si>
  <si>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</si>
  <si>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</si>
  <si>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</si>
  <si>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</si>
  <si>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</si>
  <si>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</si>
  <si>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</si>
  <si>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</si>
  <si>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</si>
  <si>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</si>
  <si>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</si>
  <si>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</si>
  <si>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</si>
  <si>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</si>
  <si>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</si>
  <si>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</si>
  <si>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</si>
  <si>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</si>
  <si>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</si>
  <si>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</si>
  <si>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</si>
  <si>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</si>
  <si>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</si>
  <si>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</si>
  <si>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</si>
  <si>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</si>
  <si>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</si>
  <si>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</si>
  <si>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</si>
  <si>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</si>
  <si>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</si>
  <si>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</si>
  <si>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</si>
  <si>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</si>
  <si>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</si>
  <si>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</si>
  <si>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</si>
  <si>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</si>
  <si>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</si>
  <si>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</si>
  <si>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</si>
  <si>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</si>
  <si>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</si>
  <si>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</si>
  <si>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</si>
  <si>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</si>
  <si>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</si>
  <si>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</si>
  <si>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</si>
  <si>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</si>
  <si>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</si>
  <si>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</si>
  <si>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</si>
  <si>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</si>
  <si>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</si>
  <si>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</si>
  <si>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</si>
  <si>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</si>
  <si>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</si>
  <si>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</si>
  <si>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</si>
  <si>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</si>
  <si>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</si>
  <si>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</si>
  <si>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</si>
  <si>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</si>
  <si>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</si>
  <si>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</si>
  <si>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</si>
  <si>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</si>
  <si>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</si>
  <si>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</si>
  <si>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</si>
  <si>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</si>
  <si>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</si>
  <si>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</si>
  <si>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</si>
  <si>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</si>
  <si>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</si>
  <si>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</si>
  <si>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</si>
  <si>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</si>
  <si>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</si>
  <si>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</si>
  <si>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</si>
  <si>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</si>
  <si>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</si>
  <si>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</si>
  <si>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</si>
  <si>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</si>
  <si>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</si>
  <si>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</si>
  <si>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</si>
  <si>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</si>
  <si>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AU border closed 9pm 20/3</t>
  </si>
  <si>
    <t>SA, WA, NT borders closed 24/3</t>
  </si>
  <si>
    <t>QLD border closed 25/3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</si>
  <si>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</si>
  <si>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</si>
  <si>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</si>
  <si>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</si>
  <si>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</si>
  <si>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</si>
  <si>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</si>
  <si>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</si>
  <si>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</si>
  <si>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Tas border closed 19/3</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</si>
  <si>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</si>
  <si>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</si>
  <si>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</si>
  <si>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</si>
  <si>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</si>
  <si>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</si>
  <si>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</si>
  <si>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</si>
  <si>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</si>
  <si>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</si>
  <si>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</si>
  <si>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</si>
  <si>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</si>
  <si>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</si>
  <si>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</si>
  <si>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</si>
  <si>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</si>
  <si>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</si>
  <si>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</si>
  <si>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</si>
  <si>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</si>
  <si>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</si>
  <si>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</si>
  <si>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</si>
  <si>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</si>
  <si>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</si>
  <si>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</si>
  <si>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</si>
  <si>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</si>
  <si>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</si>
  <si>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</si>
  <si>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</si>
  <si>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</si>
  <si>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</si>
  <si>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</si>
  <si>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</si>
  <si>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</si>
  <si>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</si>
  <si>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</si>
  <si>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</si>
  <si>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</si>
  <si>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</si>
  <si>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</si>
  <si>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</si>
  <si>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</si>
  <si>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</si>
  <si>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</si>
  <si>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</si>
  <si>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</si>
  <si>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</si>
  <si>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</si>
  <si>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</si>
  <si>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</si>
  <si>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</si>
  <si>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</si>
  <si>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</si>
  <si>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Stage 1 Shutdown</t>
  </si>
  <si>
    <t>Stage 2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</si>
  <si>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</si>
  <si>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</si>
  <si>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</si>
  <si>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</si>
  <si>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</si>
  <si>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</si>
  <si>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</si>
  <si>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</si>
  <si>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</si>
  <si>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</si>
  <si>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</si>
  <si>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</si>
  <si>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</si>
  <si>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</si>
  <si>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</si>
  <si>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</si>
  <si>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</si>
  <si>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</si>
  <si>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</si>
  <si>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</si>
  <si>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</si>
  <si>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</si>
  <si>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</si>
  <si>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</si>
  <si>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</si>
  <si>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</si>
  <si>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</si>
  <si>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</si>
  <si>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</si>
  <si>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</si>
  <si>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</si>
  <si>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</si>
  <si>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</si>
  <si>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</si>
  <si>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</si>
  <si>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</si>
  <si>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</si>
  <si>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</si>
  <si>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</si>
  <si>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</si>
  <si>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</si>
  <si>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</si>
  <si>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</si>
  <si>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</si>
  <si>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</si>
  <si>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</si>
  <si>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</si>
  <si>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</si>
  <si>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</si>
  <si>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</si>
  <si>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</si>
  <si>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Outdoor gatherings &lt; 500</t>
  </si>
  <si>
    <t>Self isolation arrivals, indoor gatherings &lt; 100 people</t>
  </si>
  <si>
    <t>AU borders closed to non-citizens</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</si>
  <si>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</si>
  <si>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</si>
  <si>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</si>
  <si>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</si>
  <si>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</si>
  <si>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</si>
  <si>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</si>
  <si>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</si>
  <si>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</si>
  <si>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</si>
  <si>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</si>
  <si>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Decreasing</t>
  </si>
  <si>
    <t>Projected number of recovered infections</t>
  </si>
  <si>
    <t>Projected number active Mild Cases</t>
  </si>
  <si>
    <t>5% world avg</t>
  </si>
  <si>
    <t>14% world avg</t>
  </si>
  <si>
    <t>81% world avg</t>
  </si>
  <si>
    <t>Worst case numbers</t>
  </si>
  <si>
    <t>Undetected Cases</t>
  </si>
  <si>
    <t>Australian CFR</t>
  </si>
  <si>
    <t>Actual Active Confirmed Infections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</si>
</sst>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1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dotted">
        <color auto="1"/>
      </left>
      <right style="dotted">
        <color auto="1"/>
      </right>
      <top/>
      <bottom style="dotted">
        <color auto="1"/>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04">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0" borderId="12" xfId="0" applyFill="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2" borderId="3" xfId="0" applyNumberFormat="1" applyFill="1" applyBorder="1"/>
    <xf numFmtId="171" fontId="0" fillId="2" borderId="0" xfId="0" applyNumberFormat="1" applyFill="1" applyBorder="1"/>
    <xf numFmtId="171" fontId="0" fillId="2" borderId="4" xfId="0" applyNumberFormat="1" applyFill="1" applyBorder="1"/>
    <xf numFmtId="171" fontId="0" fillId="2" borderId="6" xfId="0" applyNumberFormat="1" applyFill="1" applyBorder="1"/>
    <xf numFmtId="171" fontId="0" fillId="2" borderId="8" xfId="0" applyNumberFormat="1" applyFill="1" applyBorder="1"/>
    <xf numFmtId="171" fontId="0" fillId="2" borderId="5" xfId="0" applyNumberFormat="1" applyFill="1" applyBorder="1"/>
    <xf numFmtId="171" fontId="0" fillId="0" borderId="1" xfId="0" applyNumberFormat="1" applyBorder="1"/>
    <xf numFmtId="171" fontId="0" fillId="0" borderId="7" xfId="0" applyNumberFormat="1" applyBorder="1"/>
    <xf numFmtId="171" fontId="0" fillId="9" borderId="1" xfId="0" applyNumberFormat="1" applyFill="1" applyBorder="1"/>
    <xf numFmtId="171" fontId="0" fillId="3" borderId="7" xfId="0" applyNumberFormat="1" applyFill="1" applyBorder="1"/>
    <xf numFmtId="171" fontId="0" fillId="3" borderId="1" xfId="0" applyNumberFormat="1" applyFill="1" applyBorder="1"/>
    <xf numFmtId="14" fontId="0" fillId="10" borderId="1" xfId="0" applyNumberFormat="1" applyFill="1" applyBorder="1"/>
    <xf numFmtId="14" fontId="0" fillId="10" borderId="7" xfId="0" applyNumberFormat="1" applyFill="1" applyBorder="1"/>
    <xf numFmtId="14" fontId="0" fillId="4" borderId="14" xfId="0" applyNumberFormat="1" applyFill="1" applyBorder="1"/>
    <xf numFmtId="0" fontId="10" fillId="0" borderId="0" xfId="0" applyFont="1"/>
    <xf numFmtId="171" fontId="0" fillId="3" borderId="2" xfId="0" applyNumberFormat="1" applyFill="1" applyBorder="1"/>
    <xf numFmtId="14" fontId="0" fillId="15" borderId="1" xfId="0" applyNumberFormat="1" applyFill="1" applyBorder="1"/>
    <xf numFmtId="14" fontId="0" fillId="15" borderId="2" xfId="0" applyNumberFormat="1" applyFill="1" applyBorder="1"/>
    <xf numFmtId="14" fontId="0" fillId="0" borderId="1" xfId="0" applyNumberFormat="1" applyFill="1" applyBorder="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0" fontId="0" fillId="3" borderId="1" xfId="0" applyFill="1" applyBorder="1"/>
    <xf numFmtId="0" fontId="0" fillId="3" borderId="7" xfId="0" applyFill="1" applyBorder="1"/>
    <xf numFmtId="0" fontId="0" fillId="3" borderId="2" xfId="0" applyFill="1" applyBorder="1"/>
    <xf numFmtId="0" fontId="0" fillId="3" borderId="3" xfId="0" applyFill="1" applyBorder="1"/>
    <xf numFmtId="0" fontId="0" fillId="3" borderId="4" xfId="0"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0" fontId="9" fillId="0" borderId="0" xfId="0" applyFont="1" applyFill="1"/>
    <xf numFmtId="14" fontId="9" fillId="0" borderId="16" xfId="0" applyNumberFormat="1" applyFont="1" applyFill="1" applyBorder="1"/>
    <xf numFmtId="3" fontId="9" fillId="8" borderId="14" xfId="0" applyNumberFormat="1" applyFont="1" applyFill="1" applyBorder="1"/>
    <xf numFmtId="3" fontId="9" fillId="2" borderId="14"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14" fontId="0" fillId="4" borderId="1" xfId="0" applyNumberFormat="1" applyFill="1" applyBorder="1"/>
    <xf numFmtId="14" fontId="0" fillId="8" borderId="1" xfId="0" applyNumberFormat="1" applyFill="1" applyBorder="1"/>
    <xf numFmtId="14" fontId="0" fillId="0" borderId="7" xfId="0" applyNumberFormat="1" applyFill="1" applyBorder="1"/>
    <xf numFmtId="14" fontId="0" fillId="8" borderId="7" xfId="0" applyNumberFormat="1" applyFill="1" applyBorder="1"/>
    <xf numFmtId="14" fontId="0" fillId="4" borderId="2" xfId="0" applyNumberFormat="1" applyFill="1" applyBorder="1"/>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14" fontId="0" fillId="0" borderId="2" xfId="0" applyNumberForma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4" borderId="1" xfId="0" applyNumberFormat="1" applyFill="1" applyBorder="1"/>
    <xf numFmtId="171" fontId="0" fillId="4" borderId="7" xfId="0" applyNumberForma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145.24328249818444</c:v>
                </c:pt>
                <c:pt idx="1">
                  <c:v>290.48656499636888</c:v>
                </c:pt>
                <c:pt idx="2">
                  <c:v>580.97312999273777</c:v>
                </c:pt>
                <c:pt idx="3">
                  <c:v>1161.9462599854755</c:v>
                </c:pt>
                <c:pt idx="4">
                  <c:v>2323.8925199709511</c:v>
                </c:pt>
                <c:pt idx="5">
                  <c:v>4647.7850399419021</c:v>
                </c:pt>
                <c:pt idx="6">
                  <c:v>9295.5700798838043</c:v>
                </c:pt>
                <c:pt idx="7">
                  <c:v>18591.140159767609</c:v>
                </c:pt>
                <c:pt idx="8">
                  <c:v>37182.280319535217</c:v>
                </c:pt>
                <c:pt idx="9">
                  <c:v>74364.560639070434</c:v>
                </c:pt>
                <c:pt idx="10">
                  <c:v>148729.12127814087</c:v>
                </c:pt>
                <c:pt idx="11">
                  <c:v>297458.24255628174</c:v>
                </c:pt>
                <c:pt idx="12">
                  <c:v>594916.48511256347</c:v>
                </c:pt>
                <c:pt idx="13">
                  <c:v>1189832.9702251269</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27.596223674655036</c:v>
                </c:pt>
                <c:pt idx="1">
                  <c:v>55.192447349310072</c:v>
                </c:pt>
                <c:pt idx="2">
                  <c:v>110.38489469862014</c:v>
                </c:pt>
                <c:pt idx="3">
                  <c:v>220.76978939724029</c:v>
                </c:pt>
                <c:pt idx="4">
                  <c:v>441.53957879448058</c:v>
                </c:pt>
                <c:pt idx="5">
                  <c:v>883.07915758896115</c:v>
                </c:pt>
                <c:pt idx="6">
                  <c:v>1766.1583151779223</c:v>
                </c:pt>
                <c:pt idx="7">
                  <c:v>3532.3166303558446</c:v>
                </c:pt>
                <c:pt idx="8">
                  <c:v>7064.6332607116892</c:v>
                </c:pt>
                <c:pt idx="9">
                  <c:v>14129.266521423378</c:v>
                </c:pt>
                <c:pt idx="10">
                  <c:v>28258.533042846757</c:v>
                </c:pt>
                <c:pt idx="11">
                  <c:v>56517.066085693514</c:v>
                </c:pt>
                <c:pt idx="12">
                  <c:v>113034.13217138703</c:v>
                </c:pt>
                <c:pt idx="13">
                  <c:v>226068.26434277405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117.64705882352941</c:v>
                </c:pt>
                <c:pt idx="4">
                  <c:v>235.29411764705881</c:v>
                </c:pt>
                <c:pt idx="5">
                  <c:v>470.58823529411762</c:v>
                </c:pt>
                <c:pt idx="6">
                  <c:v>941.17647058823525</c:v>
                </c:pt>
                <c:pt idx="7">
                  <c:v>1882.3529411764705</c:v>
                </c:pt>
                <c:pt idx="8">
                  <c:v>3764.705882352941</c:v>
                </c:pt>
                <c:pt idx="9">
                  <c:v>7529.411764705882</c:v>
                </c:pt>
                <c:pt idx="10">
                  <c:v>15058.823529411764</c:v>
                </c:pt>
                <c:pt idx="11">
                  <c:v>30117.647058823528</c:v>
                </c:pt>
                <c:pt idx="12">
                  <c:v>60235.294117647056</c:v>
                </c:pt>
                <c:pt idx="13">
                  <c:v>120470.58823529411</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Projections!$G$18:$AD$18</c15:sqref>
                  </c15:fullRef>
                </c:ext>
              </c:extLst>
              <c:f>Projections!$G$18:$R$18</c:f>
              <c:numCache>
                <c:formatCode>#,##0_ ;[Red]\-#,##0\ </c:formatCode>
                <c:ptCount val="12"/>
                <c:pt idx="0">
                  <c:v>31.25</c:v>
                </c:pt>
                <c:pt idx="1">
                  <c:v>62.5</c:v>
                </c:pt>
                <c:pt idx="2">
                  <c:v>125</c:v>
                </c:pt>
                <c:pt idx="3">
                  <c:v>250</c:v>
                </c:pt>
                <c:pt idx="4">
                  <c:v>500</c:v>
                </c:pt>
                <c:pt idx="5">
                  <c:v>1000</c:v>
                </c:pt>
                <c:pt idx="6">
                  <c:v>2000</c:v>
                </c:pt>
                <c:pt idx="7">
                  <c:v>4000</c:v>
                </c:pt>
                <c:pt idx="8">
                  <c:v>6000</c:v>
                </c:pt>
                <c:pt idx="9">
                  <c:v>7000</c:v>
                </c:pt>
                <c:pt idx="10">
                  <c:v>7520</c:v>
                </c:pt>
                <c:pt idx="11">
                  <c:v>8000</c:v>
                </c:pt>
              </c:numCache>
            </c:numRef>
          </c:val>
          <c:smooth val="0"/>
          <c:extLst>
            <c:ext xmlns:c16="http://schemas.microsoft.com/office/drawing/2014/chart" uri="{C3380CC4-5D6E-409C-BE32-E72D297353CC}">
              <c16:uniqueId val="{00000004-8BCC-427B-903C-670C749E04E9}"/>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Projections!$G$42:$AD$42</c15:sqref>
                  </c15:fullRef>
                </c:ext>
              </c:extLst>
              <c:f>Projections!$G$42:$R$42</c:f>
              <c:numCache>
                <c:formatCode>General</c:formatCode>
                <c:ptCount val="12"/>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7000</c:v>
                </c:pt>
                <c:pt idx="10" formatCode="#,##0">
                  <c:v>7520</c:v>
                </c:pt>
                <c:pt idx="11" formatCode="#,##0">
                  <c:v>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Projections!$G$32:$AD$32</c15:sqref>
                  </c15:fullRef>
                </c:ext>
              </c:extLst>
              <c:f>Projections!$G$32:$R$32</c:f>
              <c:numCache>
                <c:formatCode>#,##0_ ;[Red]\-#,##0\ </c:formatCode>
                <c:ptCount val="12"/>
                <c:pt idx="0">
                  <c:v>0.265625</c:v>
                </c:pt>
                <c:pt idx="1">
                  <c:v>0.53125</c:v>
                </c:pt>
                <c:pt idx="2">
                  <c:v>1.0625</c:v>
                </c:pt>
                <c:pt idx="3">
                  <c:v>2.125</c:v>
                </c:pt>
                <c:pt idx="4">
                  <c:v>4.25</c:v>
                </c:pt>
                <c:pt idx="5">
                  <c:v>8.5</c:v>
                </c:pt>
                <c:pt idx="6">
                  <c:v>17</c:v>
                </c:pt>
                <c:pt idx="7">
                  <c:v>34</c:v>
                </c:pt>
                <c:pt idx="8">
                  <c:v>51.000000000000007</c:v>
                </c:pt>
                <c:pt idx="9">
                  <c:v>59.500000000000007</c:v>
                </c:pt>
                <c:pt idx="10">
                  <c:v>63.92</c:v>
                </c:pt>
                <c:pt idx="11">
                  <c:v>68</c:v>
                </c:pt>
              </c:numCache>
            </c:numRef>
          </c:val>
          <c:smooth val="0"/>
          <c:extLst>
            <c:ext xmlns:c16="http://schemas.microsoft.com/office/drawing/2014/chart" uri="{C3380CC4-5D6E-409C-BE32-E72D297353CC}">
              <c16:uniqueId val="{00000000-50BE-40C1-B679-81AF0BCE3FCD}"/>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Projections!$G$46:$AD$46</c15:sqref>
                  </c15:fullRef>
                </c:ext>
              </c:extLst>
              <c:f>Projections!$G$46:$R$46</c:f>
              <c:numCache>
                <c:formatCode>General</c:formatCode>
                <c:ptCount val="12"/>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61</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Projections!$G$28:$AD$28</c15:sqref>
                  </c15:fullRef>
                </c:ext>
              </c:extLst>
              <c:f>Projections!$G$28:$R$28</c:f>
              <c:numCache>
                <c:formatCode>#,##0_ ;[Red]\-#,##0\ </c:formatCode>
                <c:ptCount val="12"/>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539.83989502715735</c:v>
                </c:pt>
                <c:pt idx="9">
                  <c:v>699.58854406192074</c:v>
                </c:pt>
                <c:pt idx="10">
                  <c:v>746.49942390249566</c:v>
                </c:pt>
                <c:pt idx="11">
                  <c:v>758.1123793543411</c:v>
                </c:pt>
              </c:numCache>
            </c:numRef>
          </c:val>
          <c:smooth val="0"/>
          <c:extLst>
            <c:ext xmlns:c16="http://schemas.microsoft.com/office/drawing/2014/chart" uri="{C3380CC4-5D6E-409C-BE32-E72D297353CC}">
              <c16:uniqueId val="{00000000-A3C2-4B4C-996C-CDB1A252886F}"/>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Projections!$G$29:$AD$29</c15:sqref>
                  </c15:fullRef>
                </c:ext>
              </c:extLst>
              <c:f>Projections!$G$29:$R$29</c:f>
              <c:numCache>
                <c:formatCode>#,##0_ ;[Red]\-#,##0\ </c:formatCode>
                <c:ptCount val="12"/>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459.98322567430228</c:v>
                </c:pt>
                <c:pt idx="9">
                  <c:v>353.06819678795603</c:v>
                </c:pt>
                <c:pt idx="10">
                  <c:v>346.19383098044386</c:v>
                </c:pt>
                <c:pt idx="11">
                  <c:v>457.83706768400037</c:v>
                </c:pt>
              </c:numCache>
            </c:numRef>
          </c:val>
          <c:smooth val="0"/>
          <c:extLst>
            <c:ext xmlns:c16="http://schemas.microsoft.com/office/drawing/2014/chart" uri="{C3380CC4-5D6E-409C-BE32-E72D297353CC}">
              <c16:uniqueId val="{00000001-A3C2-4B4C-996C-CDB1A252886F}"/>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Projections!$G$30:$AD$30</c15:sqref>
                  </c15:fullRef>
                </c:ext>
              </c:extLst>
              <c:f>Projections!$G$30:$R$30</c:f>
              <c:numCache>
                <c:formatCode>#,##0_ ;[Red]\-#,##0\ </c:formatCode>
                <c:ptCount val="12"/>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79.856669352855107</c:v>
                </c:pt>
                <c:pt idx="9">
                  <c:v>346.52034727396472</c:v>
                </c:pt>
                <c:pt idx="10">
                  <c:v>400.3055929220518</c:v>
                </c:pt>
                <c:pt idx="11">
                  <c:v>394.06341141992112</c:v>
                </c:pt>
              </c:numCache>
            </c:numRef>
          </c:val>
          <c:smooth val="0"/>
          <c:extLst>
            <c:ext xmlns:c16="http://schemas.microsoft.com/office/drawing/2014/chart" uri="{C3380CC4-5D6E-409C-BE32-E72D297353CC}">
              <c16:uniqueId val="{00000002-A3C2-4B4C-996C-CDB1A252886F}"/>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Projections!$G$31:$AD$31</c15:sqref>
                  </c15:fullRef>
                </c:ext>
              </c:extLst>
              <c:f>Projections!$G$31:$R$31</c:f>
              <c:numCache>
                <c:formatCode>#,##0_ ;[Red]\-#,##0\ </c:formatCode>
                <c:ptCount val="12"/>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79.856669352855107</c:v>
                </c:pt>
                <c:pt idx="9">
                  <c:v>346.52034727396472</c:v>
                </c:pt>
                <c:pt idx="10">
                  <c:v>400.3055929220518</c:v>
                </c:pt>
                <c:pt idx="11">
                  <c:v>104.38381369666985</c:v>
                </c:pt>
              </c:numCache>
            </c:numRef>
          </c:val>
          <c:smooth val="0"/>
          <c:extLst>
            <c:ext xmlns:c16="http://schemas.microsoft.com/office/drawing/2014/chart" uri="{C3380CC4-5D6E-409C-BE32-E72D297353CC}">
              <c16:uniqueId val="{00000003-A3C2-4B4C-996C-CDB1A252886F}"/>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Projections!$G$32:$AD$32</c15:sqref>
                  </c15:fullRef>
                </c:ext>
              </c:extLst>
              <c:f>Projections!$G$32:$R$32</c:f>
              <c:numCache>
                <c:formatCode>#,##0_ ;[Red]\-#,##0\ </c:formatCode>
                <c:ptCount val="12"/>
                <c:pt idx="0">
                  <c:v>0.265625</c:v>
                </c:pt>
                <c:pt idx="1">
                  <c:v>0.53125</c:v>
                </c:pt>
                <c:pt idx="2">
                  <c:v>1.0625</c:v>
                </c:pt>
                <c:pt idx="3">
                  <c:v>2.125</c:v>
                </c:pt>
                <c:pt idx="4">
                  <c:v>4.25</c:v>
                </c:pt>
                <c:pt idx="5">
                  <c:v>8.5</c:v>
                </c:pt>
                <c:pt idx="6">
                  <c:v>17</c:v>
                </c:pt>
                <c:pt idx="7">
                  <c:v>34</c:v>
                </c:pt>
                <c:pt idx="8">
                  <c:v>51.000000000000007</c:v>
                </c:pt>
                <c:pt idx="9">
                  <c:v>59.500000000000007</c:v>
                </c:pt>
                <c:pt idx="10">
                  <c:v>63.92</c:v>
                </c:pt>
                <c:pt idx="11">
                  <c:v>68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Projections!$G$50:$AD$50</c15:sqref>
                  </c15:fullRef>
                </c:ext>
              </c:extLst>
              <c:f>Projections!$G$50:$R$50</c:f>
              <c:numCache>
                <c:formatCode>#,##0</c:formatCode>
                <c:ptCount val="12"/>
                <c:pt idx="0">
                  <c:v>0.9028129751647237</c:v>
                </c:pt>
                <c:pt idx="1">
                  <c:v>1.8056259503294474</c:v>
                </c:pt>
                <c:pt idx="2">
                  <c:v>3.6112519006588948</c:v>
                </c:pt>
                <c:pt idx="3">
                  <c:v>7.2225038013177896</c:v>
                </c:pt>
                <c:pt idx="4">
                  <c:v>14.445007602635579</c:v>
                </c:pt>
                <c:pt idx="5">
                  <c:v>28.890015205271158</c:v>
                </c:pt>
                <c:pt idx="6">
                  <c:v>57.780030410542317</c:v>
                </c:pt>
                <c:pt idx="7">
                  <c:v>115.56006082108463</c:v>
                </c:pt>
                <c:pt idx="8">
                  <c:v>173.34009123162696</c:v>
                </c:pt>
                <c:pt idx="9">
                  <c:v>202.23010643689813</c:v>
                </c:pt>
                <c:pt idx="10">
                  <c:v>217.25291434363911</c:v>
                </c:pt>
                <c:pt idx="11">
                  <c:v>231.12012164216927</c:v>
                </c:pt>
              </c:numCache>
            </c:numRef>
          </c:val>
          <c:smooth val="0"/>
          <c:extLst>
            <c:ext xmlns:c16="http://schemas.microsoft.com/office/drawing/2014/chart" uri="{C3380CC4-5D6E-409C-BE32-E72D297353CC}">
              <c16:uniqueId val="{00000000-7972-43AB-83E8-C2C99B4277B0}"/>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Projections!$G$52:$AD$52</c15:sqref>
                  </c15:fullRef>
                </c:ext>
              </c:extLst>
              <c:f>Projections!$G$52:$R$52</c:f>
              <c:numCache>
                <c:formatCode>#,##0</c:formatCode>
                <c:ptCount val="12"/>
                <c:pt idx="0">
                  <c:v>3.315593850312553</c:v>
                </c:pt>
                <c:pt idx="1">
                  <c:v>6.6311877006251061</c:v>
                </c:pt>
                <c:pt idx="2">
                  <c:v>13.262375401250212</c:v>
                </c:pt>
                <c:pt idx="3">
                  <c:v>26.524750802500424</c:v>
                </c:pt>
                <c:pt idx="4">
                  <c:v>53.049501605000849</c:v>
                </c:pt>
                <c:pt idx="5">
                  <c:v>106.0990032100017</c:v>
                </c:pt>
                <c:pt idx="6">
                  <c:v>212.1980064200034</c:v>
                </c:pt>
                <c:pt idx="7">
                  <c:v>424.39601284000679</c:v>
                </c:pt>
                <c:pt idx="8">
                  <c:v>636.59401926001021</c:v>
                </c:pt>
                <c:pt idx="9">
                  <c:v>742.6930224700119</c:v>
                </c:pt>
                <c:pt idx="10">
                  <c:v>797.86450413921273</c:v>
                </c:pt>
                <c:pt idx="11">
                  <c:v>848.79202568001358</c:v>
                </c:pt>
              </c:numCache>
            </c:numRef>
          </c:val>
          <c:smooth val="0"/>
          <c:extLst>
            <c:ext xmlns:c16="http://schemas.microsoft.com/office/drawing/2014/chart" uri="{C3380CC4-5D6E-409C-BE32-E72D297353CC}">
              <c16:uniqueId val="{00000001-7972-43AB-83E8-C2C99B4277B0}"/>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Projections!$G$54:$AD$54</c15:sqref>
                  </c15:fullRef>
                </c:ext>
              </c:extLst>
              <c:f>Projections!$G$54:$R$54</c:f>
              <c:numCache>
                <c:formatCode>#,##0</c:formatCode>
                <c:ptCount val="12"/>
                <c:pt idx="0">
                  <c:v>5.2584896097313738</c:v>
                </c:pt>
                <c:pt idx="1">
                  <c:v>10.516979219462748</c:v>
                </c:pt>
                <c:pt idx="2">
                  <c:v>21.033958438925495</c:v>
                </c:pt>
                <c:pt idx="3">
                  <c:v>42.06791687785099</c:v>
                </c:pt>
                <c:pt idx="4">
                  <c:v>84.135833755701981</c:v>
                </c:pt>
                <c:pt idx="5">
                  <c:v>168.27166751140396</c:v>
                </c:pt>
                <c:pt idx="6">
                  <c:v>336.54333502280792</c:v>
                </c:pt>
                <c:pt idx="7">
                  <c:v>673.08667004561585</c:v>
                </c:pt>
                <c:pt idx="8">
                  <c:v>1009.6300050684238</c:v>
                </c:pt>
                <c:pt idx="9">
                  <c:v>1177.9016725798276</c:v>
                </c:pt>
                <c:pt idx="10">
                  <c:v>1265.4029396857577</c:v>
                </c:pt>
                <c:pt idx="11">
                  <c:v>1346.1733400912317</c:v>
                </c:pt>
              </c:numCache>
            </c:numRef>
          </c:val>
          <c:smooth val="0"/>
          <c:extLst>
            <c:ext xmlns:c16="http://schemas.microsoft.com/office/drawing/2014/chart" uri="{C3380CC4-5D6E-409C-BE32-E72D297353CC}">
              <c16:uniqueId val="{00000002-7972-43AB-83E8-C2C99B4277B0}"/>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Projections!$G$56:$AD$56</c15:sqref>
                  </c15:fullRef>
                </c:ext>
              </c:extLst>
              <c:f>Projections!$G$56:$R$56</c:f>
              <c:numCache>
                <c:formatCode>#,##0</c:formatCode>
                <c:ptCount val="12"/>
                <c:pt idx="0">
                  <c:v>4.8361209663794558</c:v>
                </c:pt>
                <c:pt idx="1">
                  <c:v>9.6722419327589115</c:v>
                </c:pt>
                <c:pt idx="2">
                  <c:v>19.344483865517823</c:v>
                </c:pt>
                <c:pt idx="3">
                  <c:v>38.688967731035646</c:v>
                </c:pt>
                <c:pt idx="4">
                  <c:v>77.377935462071292</c:v>
                </c:pt>
                <c:pt idx="5">
                  <c:v>154.75587092414258</c:v>
                </c:pt>
                <c:pt idx="6">
                  <c:v>309.51174184828517</c:v>
                </c:pt>
                <c:pt idx="7">
                  <c:v>619.02348369657034</c:v>
                </c:pt>
                <c:pt idx="8">
                  <c:v>928.53522554485551</c:v>
                </c:pt>
                <c:pt idx="9">
                  <c:v>1083.2910964689981</c:v>
                </c:pt>
                <c:pt idx="10">
                  <c:v>1163.7641493495523</c:v>
                </c:pt>
                <c:pt idx="11">
                  <c:v>1238.0469673931407</c:v>
                </c:pt>
              </c:numCache>
            </c:numRef>
          </c:val>
          <c:smooth val="0"/>
          <c:extLst>
            <c:ext xmlns:c16="http://schemas.microsoft.com/office/drawing/2014/chart" uri="{C3380CC4-5D6E-409C-BE32-E72D297353CC}">
              <c16:uniqueId val="{00000003-7972-43AB-83E8-C2C99B4277B0}"/>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Projections!$G$58:$AD$58</c15:sqref>
                  </c15:fullRef>
                </c:ext>
              </c:extLst>
              <c:f>Projections!$G$58:$R$58</c:f>
              <c:numCache>
                <c:formatCode>#,##0</c:formatCode>
                <c:ptCount val="12"/>
                <c:pt idx="0">
                  <c:v>4.028340935968914</c:v>
                </c:pt>
                <c:pt idx="1">
                  <c:v>8.0566818719378279</c:v>
                </c:pt>
                <c:pt idx="2">
                  <c:v>16.113363743875656</c:v>
                </c:pt>
                <c:pt idx="3">
                  <c:v>32.226727487751312</c:v>
                </c:pt>
                <c:pt idx="4">
                  <c:v>64.453454975502623</c:v>
                </c:pt>
                <c:pt idx="5">
                  <c:v>128.90690995100525</c:v>
                </c:pt>
                <c:pt idx="6">
                  <c:v>257.81381990201049</c:v>
                </c:pt>
                <c:pt idx="7">
                  <c:v>515.62763980402099</c:v>
                </c:pt>
                <c:pt idx="8">
                  <c:v>773.44145970603142</c:v>
                </c:pt>
                <c:pt idx="9">
                  <c:v>902.34836965703664</c:v>
                </c:pt>
                <c:pt idx="10">
                  <c:v>969.3799628315594</c:v>
                </c:pt>
                <c:pt idx="11">
                  <c:v>1031.255279608042</c:v>
                </c:pt>
              </c:numCache>
            </c:numRef>
          </c:val>
          <c:smooth val="0"/>
          <c:extLst>
            <c:ext xmlns:c16="http://schemas.microsoft.com/office/drawing/2014/chart" uri="{C3380CC4-5D6E-409C-BE32-E72D297353CC}">
              <c16:uniqueId val="{00000004-7972-43AB-83E8-C2C99B4277B0}"/>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Projections!$G$60:$AD$60</c15:sqref>
                  </c15:fullRef>
                </c:ext>
              </c:extLst>
              <c:f>Projections!$G$60:$R$60</c:f>
              <c:numCache>
                <c:formatCode>#,##0</c:formatCode>
                <c:ptCount val="12"/>
                <c:pt idx="0">
                  <c:v>4.9417131272174357</c:v>
                </c:pt>
                <c:pt idx="1">
                  <c:v>9.8834262544348714</c:v>
                </c:pt>
                <c:pt idx="2">
                  <c:v>19.766852508869743</c:v>
                </c:pt>
                <c:pt idx="3">
                  <c:v>39.533705017739486</c:v>
                </c:pt>
                <c:pt idx="4">
                  <c:v>79.067410035478972</c:v>
                </c:pt>
                <c:pt idx="5">
                  <c:v>158.13482007095794</c:v>
                </c:pt>
                <c:pt idx="6">
                  <c:v>316.26964014191589</c:v>
                </c:pt>
                <c:pt idx="7">
                  <c:v>632.53928028383177</c:v>
                </c:pt>
                <c:pt idx="8">
                  <c:v>948.80892042574771</c:v>
                </c:pt>
                <c:pt idx="9">
                  <c:v>1106.9437404967057</c:v>
                </c:pt>
                <c:pt idx="10">
                  <c:v>1189.1738469336037</c:v>
                </c:pt>
                <c:pt idx="11">
                  <c:v>1265.0785605676635</c:v>
                </c:pt>
              </c:numCache>
            </c:numRef>
          </c:val>
          <c:smooth val="0"/>
          <c:extLst>
            <c:ext xmlns:c16="http://schemas.microsoft.com/office/drawing/2014/chart" uri="{C3380CC4-5D6E-409C-BE32-E72D297353CC}">
              <c16:uniqueId val="{00000005-7972-43AB-83E8-C2C99B4277B0}"/>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Projections!$G$62:$AD$62</c15:sqref>
                  </c15:fullRef>
                </c:ext>
              </c:extLst>
              <c:f>Projections!$G$62:$R$62</c:f>
              <c:numCache>
                <c:formatCode>#,##0</c:formatCode>
                <c:ptCount val="12"/>
                <c:pt idx="0">
                  <c:v>6.7526186855887822</c:v>
                </c:pt>
                <c:pt idx="1">
                  <c:v>13.505237371177564</c:v>
                </c:pt>
                <c:pt idx="2">
                  <c:v>27.010474742355129</c:v>
                </c:pt>
                <c:pt idx="3">
                  <c:v>54.020949484710258</c:v>
                </c:pt>
                <c:pt idx="4">
                  <c:v>108.04189896942052</c:v>
                </c:pt>
                <c:pt idx="5">
                  <c:v>216.08379793884103</c:v>
                </c:pt>
                <c:pt idx="6">
                  <c:v>432.16759587768206</c:v>
                </c:pt>
                <c:pt idx="7">
                  <c:v>864.33519175536412</c:v>
                </c:pt>
                <c:pt idx="8">
                  <c:v>1296.5027876330462</c:v>
                </c:pt>
                <c:pt idx="9">
                  <c:v>1512.5865855718871</c:v>
                </c:pt>
                <c:pt idx="10">
                  <c:v>1624.9501605000846</c:v>
                </c:pt>
                <c:pt idx="11">
                  <c:v>1728.6703835107282</c:v>
                </c:pt>
              </c:numCache>
            </c:numRef>
          </c:val>
          <c:smooth val="0"/>
          <c:extLst>
            <c:ext xmlns:c16="http://schemas.microsoft.com/office/drawing/2014/chart" uri="{C3380CC4-5D6E-409C-BE32-E72D297353CC}">
              <c16:uniqueId val="{00000006-7972-43AB-83E8-C2C99B4277B0}"/>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Projections!$G$64:$AD$64</c15:sqref>
                  </c15:fullRef>
                </c:ext>
              </c:extLst>
              <c:f>Projections!$G$64:$R$64</c:f>
              <c:numCache>
                <c:formatCode>#,##0</c:formatCode>
                <c:ptCount val="12"/>
                <c:pt idx="0">
                  <c:v>0.9028129751647237</c:v>
                </c:pt>
                <c:pt idx="1">
                  <c:v>1.8056259503294474</c:v>
                </c:pt>
                <c:pt idx="2">
                  <c:v>3.6112519006588948</c:v>
                </c:pt>
                <c:pt idx="3">
                  <c:v>7.2225038013177896</c:v>
                </c:pt>
                <c:pt idx="4">
                  <c:v>14.445007602635579</c:v>
                </c:pt>
                <c:pt idx="5">
                  <c:v>28.890015205271158</c:v>
                </c:pt>
                <c:pt idx="6">
                  <c:v>57.780030410542317</c:v>
                </c:pt>
                <c:pt idx="7">
                  <c:v>115.56006082108463</c:v>
                </c:pt>
                <c:pt idx="8">
                  <c:v>173.34009123162696</c:v>
                </c:pt>
                <c:pt idx="9">
                  <c:v>202.23010643689813</c:v>
                </c:pt>
                <c:pt idx="10">
                  <c:v>217.25291434363911</c:v>
                </c:pt>
                <c:pt idx="11">
                  <c:v>231.12012164216927</c:v>
                </c:pt>
              </c:numCache>
            </c:numRef>
          </c:val>
          <c:smooth val="0"/>
          <c:extLst>
            <c:ext xmlns:c16="http://schemas.microsoft.com/office/drawing/2014/chart" uri="{C3380CC4-5D6E-409C-BE32-E72D297353CC}">
              <c16:uniqueId val="{00000007-7972-43AB-83E8-C2C99B4277B0}"/>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Projections!$G$66:$AD$66</c15:sqref>
                  </c15:fullRef>
                </c:ext>
              </c:extLst>
              <c:f>Projections!$G$66:$R$66</c:f>
              <c:numCache>
                <c:formatCode>#,##0</c:formatCode>
                <c:ptCount val="12"/>
                <c:pt idx="0">
                  <c:v>0.31149687447203916</c:v>
                </c:pt>
                <c:pt idx="1">
                  <c:v>0.62299374894407833</c:v>
                </c:pt>
                <c:pt idx="2">
                  <c:v>1.2459874978881567</c:v>
                </c:pt>
                <c:pt idx="3">
                  <c:v>2.4919749957763133</c:v>
                </c:pt>
                <c:pt idx="4">
                  <c:v>4.9839499915526266</c:v>
                </c:pt>
                <c:pt idx="5">
                  <c:v>9.9678999831052533</c:v>
                </c:pt>
                <c:pt idx="6">
                  <c:v>19.935799966210507</c:v>
                </c:pt>
                <c:pt idx="7">
                  <c:v>39.871599932421013</c:v>
                </c:pt>
                <c:pt idx="8">
                  <c:v>59.807399898631523</c:v>
                </c:pt>
                <c:pt idx="9">
                  <c:v>69.775299881736771</c:v>
                </c:pt>
                <c:pt idx="10">
                  <c:v>74.958607872951504</c:v>
                </c:pt>
                <c:pt idx="11">
                  <c:v>79.743199864842026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Projections!$G$51:$AD$51</c15:sqref>
                  </c15:fullRef>
                </c:ext>
              </c:extLst>
              <c:f>Projections!$G$51:$R$51</c:f>
              <c:numCache>
                <c:formatCode>#,##0</c:formatCode>
                <c:ptCount val="12"/>
                <c:pt idx="0">
                  <c:v>0.13361632032437909</c:v>
                </c:pt>
                <c:pt idx="1">
                  <c:v>0.26723264064875818</c:v>
                </c:pt>
                <c:pt idx="2">
                  <c:v>0.53446528129751636</c:v>
                </c:pt>
                <c:pt idx="3">
                  <c:v>1.0689305625950327</c:v>
                </c:pt>
                <c:pt idx="4">
                  <c:v>2.1378611251900654</c:v>
                </c:pt>
                <c:pt idx="5">
                  <c:v>4.2757222503801309</c:v>
                </c:pt>
                <c:pt idx="6">
                  <c:v>8.5514445007602617</c:v>
                </c:pt>
                <c:pt idx="7">
                  <c:v>17.102889001520523</c:v>
                </c:pt>
                <c:pt idx="8">
                  <c:v>25.654333502280789</c:v>
                </c:pt>
                <c:pt idx="9">
                  <c:v>29.93005575266092</c:v>
                </c:pt>
                <c:pt idx="10">
                  <c:v>32.153431322858587</c:v>
                </c:pt>
                <c:pt idx="11">
                  <c:v>34.205778003041047</c:v>
                </c:pt>
              </c:numCache>
            </c:numRef>
          </c:val>
          <c:smooth val="0"/>
          <c:extLst>
            <c:ext xmlns:c16="http://schemas.microsoft.com/office/drawing/2014/chart" uri="{C3380CC4-5D6E-409C-BE32-E72D297353CC}">
              <c16:uniqueId val="{00000000-FE50-482D-905D-7C3B099138E4}"/>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Projections!$G$53:$AD$53</c15:sqref>
                  </c15:fullRef>
                </c:ext>
              </c:extLst>
              <c:f>Projections!$G$53:$R$53</c:f>
              <c:numCache>
                <c:formatCode>#,##0</c:formatCode>
                <c:ptCount val="12"/>
                <c:pt idx="0">
                  <c:v>0.26524750802500424</c:v>
                </c:pt>
                <c:pt idx="1">
                  <c:v>0.53049501605000848</c:v>
                </c:pt>
                <c:pt idx="2">
                  <c:v>1.060990032100017</c:v>
                </c:pt>
                <c:pt idx="3">
                  <c:v>2.1219800642000339</c:v>
                </c:pt>
                <c:pt idx="4">
                  <c:v>4.2439601284000679</c:v>
                </c:pt>
                <c:pt idx="5">
                  <c:v>8.4879202568001357</c:v>
                </c:pt>
                <c:pt idx="6">
                  <c:v>16.975840513600271</c:v>
                </c:pt>
                <c:pt idx="7">
                  <c:v>33.951681027200543</c:v>
                </c:pt>
                <c:pt idx="8">
                  <c:v>50.927521540800818</c:v>
                </c:pt>
                <c:pt idx="9">
                  <c:v>59.415441797600955</c:v>
                </c:pt>
                <c:pt idx="10">
                  <c:v>63.829160331137018</c:v>
                </c:pt>
                <c:pt idx="11">
                  <c:v>67.903362054401086</c:v>
                </c:pt>
              </c:numCache>
            </c:numRef>
          </c:val>
          <c:smooth val="0"/>
          <c:extLst>
            <c:ext xmlns:c16="http://schemas.microsoft.com/office/drawing/2014/chart" uri="{C3380CC4-5D6E-409C-BE32-E72D297353CC}">
              <c16:uniqueId val="{00000001-FE50-482D-905D-7C3B099138E4}"/>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Projections!$G$55:$AD$55</c15:sqref>
                  </c15:fullRef>
                </c:ext>
              </c:extLst>
              <c:f>Projections!$G$55:$R$55</c:f>
              <c:numCache>
                <c:formatCode>#,##0</c:formatCode>
                <c:ptCount val="12"/>
                <c:pt idx="0">
                  <c:v>0.18930562595032943</c:v>
                </c:pt>
                <c:pt idx="1">
                  <c:v>0.37861125190065886</c:v>
                </c:pt>
                <c:pt idx="2">
                  <c:v>0.75722250380131773</c:v>
                </c:pt>
                <c:pt idx="3">
                  <c:v>1.5144450076026355</c:v>
                </c:pt>
                <c:pt idx="4">
                  <c:v>3.0288900152052709</c:v>
                </c:pt>
                <c:pt idx="5">
                  <c:v>6.0577800304105418</c:v>
                </c:pt>
                <c:pt idx="6">
                  <c:v>12.115560060821084</c:v>
                </c:pt>
                <c:pt idx="7">
                  <c:v>24.231120121642167</c:v>
                </c:pt>
                <c:pt idx="8">
                  <c:v>36.346680182463253</c:v>
                </c:pt>
                <c:pt idx="9">
                  <c:v>42.404460212873794</c:v>
                </c:pt>
                <c:pt idx="10">
                  <c:v>45.554505828687276</c:v>
                </c:pt>
                <c:pt idx="11">
                  <c:v>48.462240243284334</c:v>
                </c:pt>
              </c:numCache>
            </c:numRef>
          </c:val>
          <c:smooth val="0"/>
          <c:extLst>
            <c:ext xmlns:c16="http://schemas.microsoft.com/office/drawing/2014/chart" uri="{C3380CC4-5D6E-409C-BE32-E72D297353CC}">
              <c16:uniqueId val="{00000002-FE50-482D-905D-7C3B099138E4}"/>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Projections!$G$57:$AD$57</c15:sqref>
                  </c15:fullRef>
                </c:ext>
              </c:extLst>
              <c:f>Projections!$G$57:$R$57</c:f>
              <c:numCache>
                <c:formatCode>#,##0</c:formatCode>
                <c:ptCount val="12"/>
                <c:pt idx="0">
                  <c:v>6.2869572562932921E-2</c:v>
                </c:pt>
                <c:pt idx="1">
                  <c:v>0.12573914512586584</c:v>
                </c:pt>
                <c:pt idx="2">
                  <c:v>0.25147829025173168</c:v>
                </c:pt>
                <c:pt idx="3">
                  <c:v>0.50295658050346337</c:v>
                </c:pt>
                <c:pt idx="4">
                  <c:v>1.0059131610069267</c:v>
                </c:pt>
                <c:pt idx="5">
                  <c:v>2.0118263220138535</c:v>
                </c:pt>
                <c:pt idx="6">
                  <c:v>4.0236526440277069</c:v>
                </c:pt>
                <c:pt idx="7">
                  <c:v>8.0473052880554139</c:v>
                </c:pt>
                <c:pt idx="8">
                  <c:v>12.070957932083122</c:v>
                </c:pt>
                <c:pt idx="9">
                  <c:v>14.082784254096975</c:v>
                </c:pt>
                <c:pt idx="10">
                  <c:v>15.128933941544179</c:v>
                </c:pt>
                <c:pt idx="11">
                  <c:v>16.094610576110828</c:v>
                </c:pt>
              </c:numCache>
            </c:numRef>
          </c:val>
          <c:smooth val="0"/>
          <c:extLst>
            <c:ext xmlns:c16="http://schemas.microsoft.com/office/drawing/2014/chart" uri="{C3380CC4-5D6E-409C-BE32-E72D297353CC}">
              <c16:uniqueId val="{00000003-FE50-482D-905D-7C3B099138E4}"/>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Projections!$G$59:$AD$59</c15:sqref>
                  </c15:fullRef>
                </c:ext>
              </c:extLst>
              <c:f>Projections!$G$59:$R$59</c:f>
              <c:numCache>
                <c:formatCode>#,##0</c:formatCode>
                <c:ptCount val="12"/>
                <c:pt idx="0">
                  <c:v>1.6113363743875658E-2</c:v>
                </c:pt>
                <c:pt idx="1">
                  <c:v>3.2226727487751315E-2</c:v>
                </c:pt>
                <c:pt idx="2">
                  <c:v>6.445345497550263E-2</c:v>
                </c:pt>
                <c:pt idx="3">
                  <c:v>0.12890690995100526</c:v>
                </c:pt>
                <c:pt idx="4">
                  <c:v>0.25781381990201052</c:v>
                </c:pt>
                <c:pt idx="5">
                  <c:v>0.51562763980402104</c:v>
                </c:pt>
                <c:pt idx="6">
                  <c:v>1.0312552796080421</c:v>
                </c:pt>
                <c:pt idx="7">
                  <c:v>2.0625105592160842</c:v>
                </c:pt>
                <c:pt idx="8">
                  <c:v>3.0937658388241256</c:v>
                </c:pt>
                <c:pt idx="9">
                  <c:v>3.6093934786281467</c:v>
                </c:pt>
                <c:pt idx="10">
                  <c:v>3.8775198513262379</c:v>
                </c:pt>
                <c:pt idx="11">
                  <c:v>4.1250211184321683</c:v>
                </c:pt>
              </c:numCache>
            </c:numRef>
          </c:val>
          <c:smooth val="0"/>
          <c:extLst>
            <c:ext xmlns:c16="http://schemas.microsoft.com/office/drawing/2014/chart" uri="{C3380CC4-5D6E-409C-BE32-E72D297353CC}">
              <c16:uniqueId val="{00000004-FE50-482D-905D-7C3B099138E4}"/>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Projections!$G$61:$AD$61</c15:sqref>
                  </c15:fullRef>
                </c:ext>
              </c:extLst>
              <c:f>Projections!$G$61:$R$61</c:f>
              <c:numCache>
                <c:formatCode>#,##0</c:formatCode>
                <c:ptCount val="12"/>
                <c:pt idx="0">
                  <c:v>9.8834262544348715E-3</c:v>
                </c:pt>
                <c:pt idx="1">
                  <c:v>1.9766852508869743E-2</c:v>
                </c:pt>
                <c:pt idx="2">
                  <c:v>3.9533705017739486E-2</c:v>
                </c:pt>
                <c:pt idx="3">
                  <c:v>7.9067410035478972E-2</c:v>
                </c:pt>
                <c:pt idx="4">
                  <c:v>0.15813482007095794</c:v>
                </c:pt>
                <c:pt idx="5">
                  <c:v>0.31626964014191589</c:v>
                </c:pt>
                <c:pt idx="6">
                  <c:v>0.63253928028383177</c:v>
                </c:pt>
                <c:pt idx="7">
                  <c:v>1.2650785605676635</c:v>
                </c:pt>
                <c:pt idx="8">
                  <c:v>1.8976178408514954</c:v>
                </c:pt>
                <c:pt idx="9">
                  <c:v>2.2138874809934115</c:v>
                </c:pt>
                <c:pt idx="10">
                  <c:v>2.3783476938672075</c:v>
                </c:pt>
                <c:pt idx="11">
                  <c:v>2.5301571211353271</c:v>
                </c:pt>
              </c:numCache>
            </c:numRef>
          </c:val>
          <c:smooth val="0"/>
          <c:extLst>
            <c:ext xmlns:c16="http://schemas.microsoft.com/office/drawing/2014/chart" uri="{C3380CC4-5D6E-409C-BE32-E72D297353CC}">
              <c16:uniqueId val="{00000005-FE50-482D-905D-7C3B099138E4}"/>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Projections!$G$63:$AD$63</c15:sqref>
                  </c15:fullRef>
                </c:ext>
              </c:extLst>
              <c:f>Projections!$G$63:$R$63</c:f>
              <c:numCache>
                <c:formatCode>#,##0</c:formatCode>
                <c:ptCount val="12"/>
                <c:pt idx="0">
                  <c:v>1.3505237371177564E-2</c:v>
                </c:pt>
                <c:pt idx="1">
                  <c:v>2.7010474742355128E-2</c:v>
                </c:pt>
                <c:pt idx="2">
                  <c:v>5.4020949484710257E-2</c:v>
                </c:pt>
                <c:pt idx="3">
                  <c:v>0.10804189896942051</c:v>
                </c:pt>
                <c:pt idx="4">
                  <c:v>0.21608379793884103</c:v>
                </c:pt>
                <c:pt idx="5">
                  <c:v>0.43216759587768205</c:v>
                </c:pt>
                <c:pt idx="6">
                  <c:v>0.86433519175536411</c:v>
                </c:pt>
                <c:pt idx="7">
                  <c:v>1.7286703835107282</c:v>
                </c:pt>
                <c:pt idx="8">
                  <c:v>2.5930055752660923</c:v>
                </c:pt>
                <c:pt idx="9">
                  <c:v>3.0251731711437744</c:v>
                </c:pt>
                <c:pt idx="10">
                  <c:v>3.2499003210001693</c:v>
                </c:pt>
                <c:pt idx="11">
                  <c:v>3.4573407670214564</c:v>
                </c:pt>
              </c:numCache>
            </c:numRef>
          </c:val>
          <c:smooth val="0"/>
          <c:extLst>
            <c:ext xmlns:c16="http://schemas.microsoft.com/office/drawing/2014/chart" uri="{C3380CC4-5D6E-409C-BE32-E72D297353CC}">
              <c16:uniqueId val="{00000006-FE50-482D-905D-7C3B099138E4}"/>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Projections!$G$65:$AD$65</c15:sqref>
                  </c15:fullRef>
                </c:ext>
              </c:extLst>
              <c:f>Projections!$G$65:$R$65</c:f>
              <c:numCache>
                <c:formatCode>#,##0</c:formatCode>
                <c:ptCount val="12"/>
                <c:pt idx="0">
                  <c:v>1.8056259503294475E-3</c:v>
                </c:pt>
                <c:pt idx="1">
                  <c:v>3.6112519006588949E-3</c:v>
                </c:pt>
                <c:pt idx="2">
                  <c:v>7.2225038013177898E-3</c:v>
                </c:pt>
                <c:pt idx="3">
                  <c:v>1.444500760263558E-2</c:v>
                </c:pt>
                <c:pt idx="4">
                  <c:v>2.8890015205271159E-2</c:v>
                </c:pt>
                <c:pt idx="5">
                  <c:v>5.7780030410542318E-2</c:v>
                </c:pt>
                <c:pt idx="6">
                  <c:v>0.11556006082108464</c:v>
                </c:pt>
                <c:pt idx="7">
                  <c:v>0.23112012164216927</c:v>
                </c:pt>
                <c:pt idx="8">
                  <c:v>0.34668018246325394</c:v>
                </c:pt>
                <c:pt idx="9">
                  <c:v>0.40446021287379624</c:v>
                </c:pt>
                <c:pt idx="10">
                  <c:v>0.43450582868727822</c:v>
                </c:pt>
                <c:pt idx="11">
                  <c:v>0.46224024328433855</c:v>
                </c:pt>
              </c:numCache>
            </c:numRef>
          </c:val>
          <c:smooth val="0"/>
          <c:extLst>
            <c:ext xmlns:c16="http://schemas.microsoft.com/office/drawing/2014/chart" uri="{C3380CC4-5D6E-409C-BE32-E72D297353CC}">
              <c16:uniqueId val="{00000007-FE50-482D-905D-7C3B099138E4}"/>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Projections!$G$67:$AD$67</c15:sqref>
                  </c15:fullRef>
                </c:ext>
              </c:extLst>
              <c:f>Projections!$G$67:$R$67</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Projections!$G$79:$AD$79</c15:sqref>
                  </c15:fullRef>
                </c:ext>
              </c:extLst>
              <c:f>Projections!$G$79:$R$79</c:f>
              <c:numCache>
                <c:formatCode>#,##0</c:formatCode>
                <c:ptCount val="12"/>
                <c:pt idx="0">
                  <c:v>10.53125</c:v>
                </c:pt>
                <c:pt idx="1">
                  <c:v>21.0625</c:v>
                </c:pt>
                <c:pt idx="2">
                  <c:v>42.125</c:v>
                </c:pt>
                <c:pt idx="3">
                  <c:v>84.25</c:v>
                </c:pt>
                <c:pt idx="4">
                  <c:v>168.5</c:v>
                </c:pt>
                <c:pt idx="5">
                  <c:v>337</c:v>
                </c:pt>
                <c:pt idx="6">
                  <c:v>674</c:v>
                </c:pt>
                <c:pt idx="7">
                  <c:v>1348</c:v>
                </c:pt>
                <c:pt idx="8">
                  <c:v>2022.0000000000002</c:v>
                </c:pt>
                <c:pt idx="9">
                  <c:v>2359</c:v>
                </c:pt>
                <c:pt idx="10">
                  <c:v>2534.2400000000002</c:v>
                </c:pt>
                <c:pt idx="11">
                  <c:v>2696</c:v>
                </c:pt>
              </c:numCache>
            </c:numRef>
          </c:val>
          <c:smooth val="0"/>
          <c:extLst>
            <c:ext xmlns:c16="http://schemas.microsoft.com/office/drawing/2014/chart" uri="{C3380CC4-5D6E-409C-BE32-E72D297353CC}">
              <c16:uniqueId val="{00000000-C5BA-4495-93D4-AC4CA8674604}"/>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Projections!$G$77:$AD$77</c15:sqref>
                  </c15:fullRef>
                </c:ext>
              </c:extLst>
              <c:f>Projections!$G$77:$R$77</c:f>
              <c:numCache>
                <c:formatCode>#,##0</c:formatCode>
                <c:ptCount val="12"/>
                <c:pt idx="0">
                  <c:v>9.6875</c:v>
                </c:pt>
                <c:pt idx="1">
                  <c:v>19.375</c:v>
                </c:pt>
                <c:pt idx="2">
                  <c:v>38.75</c:v>
                </c:pt>
                <c:pt idx="3">
                  <c:v>77.5</c:v>
                </c:pt>
                <c:pt idx="4">
                  <c:v>155</c:v>
                </c:pt>
                <c:pt idx="5">
                  <c:v>310</c:v>
                </c:pt>
                <c:pt idx="6">
                  <c:v>620</c:v>
                </c:pt>
                <c:pt idx="7">
                  <c:v>1240</c:v>
                </c:pt>
                <c:pt idx="8">
                  <c:v>1860</c:v>
                </c:pt>
                <c:pt idx="9">
                  <c:v>2170</c:v>
                </c:pt>
                <c:pt idx="10">
                  <c:v>2331.1999999999998</c:v>
                </c:pt>
                <c:pt idx="11">
                  <c:v>2480</c:v>
                </c:pt>
              </c:numCache>
            </c:numRef>
          </c:val>
          <c:smooth val="0"/>
          <c:extLst>
            <c:ext xmlns:c16="http://schemas.microsoft.com/office/drawing/2014/chart" uri="{C3380CC4-5D6E-409C-BE32-E72D297353CC}">
              <c16:uniqueId val="{00000001-C5BA-4495-93D4-AC4CA8674604}"/>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Projections!$G$83:$AD$83</c15:sqref>
                  </c15:fullRef>
                </c:ext>
              </c:extLst>
              <c:f>Projections!$G$83:$R$83</c:f>
              <c:numCache>
                <c:formatCode>#,##0</c:formatCode>
                <c:ptCount val="12"/>
                <c:pt idx="0">
                  <c:v>5.03125</c:v>
                </c:pt>
                <c:pt idx="1">
                  <c:v>10.0625</c:v>
                </c:pt>
                <c:pt idx="2">
                  <c:v>20.125</c:v>
                </c:pt>
                <c:pt idx="3">
                  <c:v>40.25</c:v>
                </c:pt>
                <c:pt idx="4">
                  <c:v>80.5</c:v>
                </c:pt>
                <c:pt idx="5">
                  <c:v>161</c:v>
                </c:pt>
                <c:pt idx="6">
                  <c:v>322</c:v>
                </c:pt>
                <c:pt idx="7">
                  <c:v>644</c:v>
                </c:pt>
                <c:pt idx="8">
                  <c:v>966</c:v>
                </c:pt>
                <c:pt idx="9">
                  <c:v>1127</c:v>
                </c:pt>
                <c:pt idx="10">
                  <c:v>1210.72</c:v>
                </c:pt>
                <c:pt idx="11">
                  <c:v>1288</c:v>
                </c:pt>
              </c:numCache>
            </c:numRef>
          </c:val>
          <c:smooth val="0"/>
          <c:extLst>
            <c:ext xmlns:c16="http://schemas.microsoft.com/office/drawing/2014/chart" uri="{C3380CC4-5D6E-409C-BE32-E72D297353CC}">
              <c16:uniqueId val="{00000002-C5BA-4495-93D4-AC4CA8674604}"/>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Projections!$G$73:$AD$73</c15:sqref>
                  </c15:fullRef>
                </c:ext>
              </c:extLst>
              <c:f>Projections!$G$73:$R$73</c:f>
              <c:numCache>
                <c:formatCode>#,##0</c:formatCode>
                <c:ptCount val="12"/>
                <c:pt idx="0">
                  <c:v>1.5625</c:v>
                </c:pt>
                <c:pt idx="1">
                  <c:v>3.125</c:v>
                </c:pt>
                <c:pt idx="2">
                  <c:v>6.25</c:v>
                </c:pt>
                <c:pt idx="3">
                  <c:v>12.5</c:v>
                </c:pt>
                <c:pt idx="4">
                  <c:v>25</c:v>
                </c:pt>
                <c:pt idx="5">
                  <c:v>50</c:v>
                </c:pt>
                <c:pt idx="6">
                  <c:v>100</c:v>
                </c:pt>
                <c:pt idx="7">
                  <c:v>200</c:v>
                </c:pt>
                <c:pt idx="8">
                  <c:v>300</c:v>
                </c:pt>
                <c:pt idx="9">
                  <c:v>350</c:v>
                </c:pt>
                <c:pt idx="10">
                  <c:v>376</c:v>
                </c:pt>
                <c:pt idx="11">
                  <c:v>400</c:v>
                </c:pt>
              </c:numCache>
            </c:numRef>
          </c:val>
          <c:smooth val="0"/>
          <c:extLst>
            <c:ext xmlns:c16="http://schemas.microsoft.com/office/drawing/2014/chart" uri="{C3380CC4-5D6E-409C-BE32-E72D297353CC}">
              <c16:uniqueId val="{00000003-C5BA-4495-93D4-AC4CA8674604}"/>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Projections!$G$75:$AD$75</c15:sqref>
                  </c15:fullRef>
                </c:ext>
              </c:extLst>
              <c:f>Projections!$G$75:$R$75</c:f>
              <c:numCache>
                <c:formatCode>#,##0</c:formatCode>
                <c:ptCount val="12"/>
                <c:pt idx="0">
                  <c:v>1.4375</c:v>
                </c:pt>
                <c:pt idx="1">
                  <c:v>2.875</c:v>
                </c:pt>
                <c:pt idx="2">
                  <c:v>5.75</c:v>
                </c:pt>
                <c:pt idx="3">
                  <c:v>11.5</c:v>
                </c:pt>
                <c:pt idx="4">
                  <c:v>23</c:v>
                </c:pt>
                <c:pt idx="5">
                  <c:v>46</c:v>
                </c:pt>
                <c:pt idx="6">
                  <c:v>92</c:v>
                </c:pt>
                <c:pt idx="7">
                  <c:v>184</c:v>
                </c:pt>
                <c:pt idx="8">
                  <c:v>276</c:v>
                </c:pt>
                <c:pt idx="9">
                  <c:v>322</c:v>
                </c:pt>
                <c:pt idx="10">
                  <c:v>345.92</c:v>
                </c:pt>
                <c:pt idx="11">
                  <c:v>368</c:v>
                </c:pt>
              </c:numCache>
            </c:numRef>
          </c:val>
          <c:smooth val="0"/>
          <c:extLst>
            <c:ext xmlns:c16="http://schemas.microsoft.com/office/drawing/2014/chart" uri="{C3380CC4-5D6E-409C-BE32-E72D297353CC}">
              <c16:uniqueId val="{00000004-C5BA-4495-93D4-AC4CA8674604}"/>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Projections!$G$81:$AD$81</c15:sqref>
                  </c15:fullRef>
                </c:ext>
              </c:extLst>
              <c:f>Projections!$G$81:$R$81</c:f>
              <c:numCache>
                <c:formatCode>#,##0</c:formatCode>
                <c:ptCount val="12"/>
                <c:pt idx="0">
                  <c:v>0.46875</c:v>
                </c:pt>
                <c:pt idx="1">
                  <c:v>0.9375</c:v>
                </c:pt>
                <c:pt idx="2">
                  <c:v>1.875</c:v>
                </c:pt>
                <c:pt idx="3">
                  <c:v>3.75</c:v>
                </c:pt>
                <c:pt idx="4">
                  <c:v>7.5</c:v>
                </c:pt>
                <c:pt idx="5">
                  <c:v>15</c:v>
                </c:pt>
                <c:pt idx="6">
                  <c:v>30</c:v>
                </c:pt>
                <c:pt idx="7">
                  <c:v>60</c:v>
                </c:pt>
                <c:pt idx="8">
                  <c:v>90</c:v>
                </c:pt>
                <c:pt idx="9">
                  <c:v>105</c:v>
                </c:pt>
                <c:pt idx="10">
                  <c:v>112.8</c:v>
                </c:pt>
                <c:pt idx="11">
                  <c:v>120</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Projections!$G$80:$AD$80</c15:sqref>
                  </c15:fullRef>
                </c:ext>
              </c:extLst>
              <c:f>Projections!$G$80:$R$80</c:f>
              <c:numCache>
                <c:formatCode>#,##0</c:formatCode>
                <c:ptCount val="12"/>
                <c:pt idx="0">
                  <c:v>0.63187499999999996</c:v>
                </c:pt>
                <c:pt idx="1">
                  <c:v>1.2637499999999999</c:v>
                </c:pt>
                <c:pt idx="2">
                  <c:v>2.5274999999999999</c:v>
                </c:pt>
                <c:pt idx="3">
                  <c:v>5.0549999999999997</c:v>
                </c:pt>
                <c:pt idx="4">
                  <c:v>10.11</c:v>
                </c:pt>
                <c:pt idx="5">
                  <c:v>20.22</c:v>
                </c:pt>
                <c:pt idx="6">
                  <c:v>40.44</c:v>
                </c:pt>
                <c:pt idx="7">
                  <c:v>80.88</c:v>
                </c:pt>
                <c:pt idx="8">
                  <c:v>121.32000000000001</c:v>
                </c:pt>
                <c:pt idx="9">
                  <c:v>141.54</c:v>
                </c:pt>
                <c:pt idx="10">
                  <c:v>152.05440000000002</c:v>
                </c:pt>
                <c:pt idx="11">
                  <c:v>161.76</c:v>
                </c:pt>
              </c:numCache>
            </c:numRef>
          </c:val>
          <c:smooth val="0"/>
          <c:extLst>
            <c:ext xmlns:c16="http://schemas.microsoft.com/office/drawing/2014/chart" uri="{C3380CC4-5D6E-409C-BE32-E72D297353CC}">
              <c16:uniqueId val="{00000000-5E66-4AF0-A3CA-7CF12153AA8E}"/>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Projections!$G$78:$AD$78</c15:sqref>
                  </c15:fullRef>
                </c:ext>
              </c:extLst>
              <c:f>Projections!$G$78:$R$78</c:f>
              <c:numCache>
                <c:formatCode>#,##0</c:formatCode>
                <c:ptCount val="12"/>
                <c:pt idx="0">
                  <c:v>0.61031250000000004</c:v>
                </c:pt>
                <c:pt idx="1">
                  <c:v>1.2206250000000001</c:v>
                </c:pt>
                <c:pt idx="2">
                  <c:v>2.4412500000000001</c:v>
                </c:pt>
                <c:pt idx="3">
                  <c:v>4.8825000000000003</c:v>
                </c:pt>
                <c:pt idx="4">
                  <c:v>9.7650000000000006</c:v>
                </c:pt>
                <c:pt idx="5">
                  <c:v>19.53</c:v>
                </c:pt>
                <c:pt idx="6">
                  <c:v>39.06</c:v>
                </c:pt>
                <c:pt idx="7">
                  <c:v>78.12</c:v>
                </c:pt>
                <c:pt idx="8">
                  <c:v>117.18</c:v>
                </c:pt>
                <c:pt idx="9">
                  <c:v>136.71</c:v>
                </c:pt>
                <c:pt idx="10">
                  <c:v>146.8656</c:v>
                </c:pt>
                <c:pt idx="11">
                  <c:v>156.24</c:v>
                </c:pt>
              </c:numCache>
            </c:numRef>
          </c:val>
          <c:smooth val="0"/>
          <c:extLst>
            <c:ext xmlns:c16="http://schemas.microsoft.com/office/drawing/2014/chart" uri="{C3380CC4-5D6E-409C-BE32-E72D297353CC}">
              <c16:uniqueId val="{00000001-5E66-4AF0-A3CA-7CF12153AA8E}"/>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Projections!$G$74:$AD$74</c15:sqref>
                  </c15:fullRef>
                </c:ext>
              </c:extLst>
              <c:f>Projections!$G$74:$R$74</c:f>
              <c:numCache>
                <c:formatCode>#,##0</c:formatCode>
                <c:ptCount val="12"/>
                <c:pt idx="0">
                  <c:v>0.1640625</c:v>
                </c:pt>
                <c:pt idx="1">
                  <c:v>0.328125</c:v>
                </c:pt>
                <c:pt idx="2">
                  <c:v>0.65625</c:v>
                </c:pt>
                <c:pt idx="3">
                  <c:v>1.3125</c:v>
                </c:pt>
                <c:pt idx="4">
                  <c:v>2.625</c:v>
                </c:pt>
                <c:pt idx="5">
                  <c:v>5.25</c:v>
                </c:pt>
                <c:pt idx="6">
                  <c:v>10.5</c:v>
                </c:pt>
                <c:pt idx="7">
                  <c:v>21</c:v>
                </c:pt>
                <c:pt idx="8">
                  <c:v>31.5</c:v>
                </c:pt>
                <c:pt idx="9">
                  <c:v>36.75</c:v>
                </c:pt>
                <c:pt idx="10">
                  <c:v>39.479999999999997</c:v>
                </c:pt>
                <c:pt idx="11">
                  <c:v>42</c:v>
                </c:pt>
              </c:numCache>
            </c:numRef>
          </c:val>
          <c:smooth val="0"/>
          <c:extLst>
            <c:ext xmlns:c16="http://schemas.microsoft.com/office/drawing/2014/chart" uri="{C3380CC4-5D6E-409C-BE32-E72D297353CC}">
              <c16:uniqueId val="{00000002-5E66-4AF0-A3CA-7CF12153AA8E}"/>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Projections!$G$76:$AD$76</c15:sqref>
                  </c15:fullRef>
                </c:ext>
              </c:extLst>
              <c:f>Projections!$G$76:$R$76</c:f>
              <c:numCache>
                <c:formatCode>#,##0</c:formatCode>
                <c:ptCount val="12"/>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20.148</c:v>
                </c:pt>
                <c:pt idx="9">
                  <c:v>23.506</c:v>
                </c:pt>
                <c:pt idx="10">
                  <c:v>25.25216</c:v>
                </c:pt>
                <c:pt idx="11">
                  <c:v>26.863999999999997</c:v>
                </c:pt>
              </c:numCache>
            </c:numRef>
          </c:val>
          <c:smooth val="0"/>
          <c:extLst>
            <c:ext xmlns:c16="http://schemas.microsoft.com/office/drawing/2014/chart" uri="{C3380CC4-5D6E-409C-BE32-E72D297353CC}">
              <c16:uniqueId val="{00000003-5E66-4AF0-A3CA-7CF12153AA8E}"/>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Projections!$G$82:$AD$82</c15:sqref>
                  </c15:fullRef>
                </c:ext>
              </c:extLst>
              <c:f>Projections!$G$82:$R$82</c:f>
              <c:numCache>
                <c:formatCode>#,##0</c:formatCode>
                <c:ptCount val="12"/>
                <c:pt idx="0">
                  <c:v>2.6249999999999999E-2</c:v>
                </c:pt>
                <c:pt idx="1">
                  <c:v>5.2499999999999998E-2</c:v>
                </c:pt>
                <c:pt idx="2">
                  <c:v>0.105</c:v>
                </c:pt>
                <c:pt idx="3">
                  <c:v>0.21</c:v>
                </c:pt>
                <c:pt idx="4">
                  <c:v>0.42</c:v>
                </c:pt>
                <c:pt idx="5">
                  <c:v>0.84</c:v>
                </c:pt>
                <c:pt idx="6">
                  <c:v>1.68</c:v>
                </c:pt>
                <c:pt idx="7">
                  <c:v>3.36</c:v>
                </c:pt>
                <c:pt idx="8">
                  <c:v>5.04</c:v>
                </c:pt>
                <c:pt idx="9">
                  <c:v>5.88</c:v>
                </c:pt>
                <c:pt idx="10">
                  <c:v>6.3167999999999997</c:v>
                </c:pt>
                <c:pt idx="11">
                  <c:v>6.72</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Projections!$G$18:$AD$18</c15:sqref>
                  </c15:fullRef>
                </c:ext>
              </c:extLst>
              <c:f>Projections!$G$18:$R$18</c:f>
              <c:numCache>
                <c:formatCode>#,##0_ ;[Red]\-#,##0\ </c:formatCode>
                <c:ptCount val="12"/>
                <c:pt idx="0">
                  <c:v>31.25</c:v>
                </c:pt>
                <c:pt idx="1">
                  <c:v>62.5</c:v>
                </c:pt>
                <c:pt idx="2">
                  <c:v>125</c:v>
                </c:pt>
                <c:pt idx="3">
                  <c:v>250</c:v>
                </c:pt>
                <c:pt idx="4">
                  <c:v>500</c:v>
                </c:pt>
                <c:pt idx="5">
                  <c:v>1000</c:v>
                </c:pt>
                <c:pt idx="6">
                  <c:v>2000</c:v>
                </c:pt>
                <c:pt idx="7">
                  <c:v>4000</c:v>
                </c:pt>
                <c:pt idx="8">
                  <c:v>6000</c:v>
                </c:pt>
                <c:pt idx="9">
                  <c:v>7000</c:v>
                </c:pt>
                <c:pt idx="10">
                  <c:v>7520</c:v>
                </c:pt>
                <c:pt idx="11">
                  <c:v>8000</c:v>
                </c:pt>
              </c:numCache>
            </c:numRef>
          </c:val>
          <c:smooth val="0"/>
          <c:extLst>
            <c:ext xmlns:c16="http://schemas.microsoft.com/office/drawing/2014/chart" uri="{C3380CC4-5D6E-409C-BE32-E72D297353CC}">
              <c16:uniqueId val="{00000000-9DE3-43B6-B60B-9B4AA4851702}"/>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Projections!$G$42:$AD$42</c15:sqref>
                  </c15:fullRef>
                </c:ext>
              </c:extLst>
              <c:f>Projections!$G$42:$R$42</c:f>
              <c:numCache>
                <c:formatCode>General</c:formatCode>
                <c:ptCount val="12"/>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7000</c:v>
                </c:pt>
                <c:pt idx="10" formatCode="#,##0">
                  <c:v>7520</c:v>
                </c:pt>
                <c:pt idx="11" formatCode="#,##0">
                  <c:v>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Projections!$G$32:$AD$32</c15:sqref>
                  </c15:fullRef>
                </c:ext>
              </c:extLst>
              <c:f>Projections!$G$32:$R$32</c:f>
              <c:numCache>
                <c:formatCode>#,##0_ ;[Red]\-#,##0\ </c:formatCode>
                <c:ptCount val="12"/>
                <c:pt idx="0">
                  <c:v>0.265625</c:v>
                </c:pt>
                <c:pt idx="1">
                  <c:v>0.53125</c:v>
                </c:pt>
                <c:pt idx="2">
                  <c:v>1.0625</c:v>
                </c:pt>
                <c:pt idx="3">
                  <c:v>2.125</c:v>
                </c:pt>
                <c:pt idx="4">
                  <c:v>4.25</c:v>
                </c:pt>
                <c:pt idx="5">
                  <c:v>8.5</c:v>
                </c:pt>
                <c:pt idx="6">
                  <c:v>17</c:v>
                </c:pt>
                <c:pt idx="7">
                  <c:v>34</c:v>
                </c:pt>
                <c:pt idx="8">
                  <c:v>51.000000000000007</c:v>
                </c:pt>
                <c:pt idx="9">
                  <c:v>59.500000000000007</c:v>
                </c:pt>
                <c:pt idx="10">
                  <c:v>63.92</c:v>
                </c:pt>
                <c:pt idx="11">
                  <c:v>68</c:v>
                </c:pt>
              </c:numCache>
            </c:numRef>
          </c:val>
          <c:smooth val="0"/>
          <c:extLst>
            <c:ext xmlns:c16="http://schemas.microsoft.com/office/drawing/2014/chart" uri="{C3380CC4-5D6E-409C-BE32-E72D297353CC}">
              <c16:uniqueId val="{00000000-FE1B-4946-A476-7952C5C71231}"/>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Projections!$G$46:$AD$46</c15:sqref>
                  </c15:fullRef>
                </c:ext>
              </c:extLst>
              <c:f>Projections!$G$46:$R$46</c:f>
              <c:numCache>
                <c:formatCode>General</c:formatCode>
                <c:ptCount val="12"/>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61</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117.64705882352941</c:v>
                </c:pt>
                <c:pt idx="4">
                  <c:v>235.29411764705881</c:v>
                </c:pt>
                <c:pt idx="5">
                  <c:v>470.58823529411762</c:v>
                </c:pt>
                <c:pt idx="6">
                  <c:v>941.17647058823525</c:v>
                </c:pt>
                <c:pt idx="7">
                  <c:v>1882.3529411764705</c:v>
                </c:pt>
                <c:pt idx="8">
                  <c:v>3764.705882352941</c:v>
                </c:pt>
                <c:pt idx="9">
                  <c:v>7529.411764705882</c:v>
                </c:pt>
                <c:pt idx="10">
                  <c:v>15058.823529411764</c:v>
                </c:pt>
                <c:pt idx="11">
                  <c:v>30117.647058823528</c:v>
                </c:pt>
                <c:pt idx="12">
                  <c:v>60235.294117647056</c:v>
                </c:pt>
                <c:pt idx="13">
                  <c:v>120470.58823529411</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117.64705882352941</c:v>
                </c:pt>
                <c:pt idx="3">
                  <c:v>235.29411764705881</c:v>
                </c:pt>
                <c:pt idx="4">
                  <c:v>432.94117647058823</c:v>
                </c:pt>
                <c:pt idx="5">
                  <c:v>865.88235294117646</c:v>
                </c:pt>
                <c:pt idx="6">
                  <c:v>1731.7647058823529</c:v>
                </c:pt>
                <c:pt idx="7">
                  <c:v>3355.294117647059</c:v>
                </c:pt>
                <c:pt idx="8">
                  <c:v>6710.588235294118</c:v>
                </c:pt>
                <c:pt idx="9">
                  <c:v>13421.176470588236</c:v>
                </c:pt>
                <c:pt idx="10">
                  <c:v>26842.352941176472</c:v>
                </c:pt>
                <c:pt idx="11">
                  <c:v>53684.705882352944</c:v>
                </c:pt>
                <c:pt idx="12">
                  <c:v>107477.64705882352</c:v>
                </c:pt>
                <c:pt idx="13">
                  <c:v>214955.29411764705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37.647058823529413</c:v>
                </c:pt>
                <c:pt idx="5">
                  <c:v>75.294117647058826</c:v>
                </c:pt>
                <c:pt idx="6">
                  <c:v>94.117647058823536</c:v>
                </c:pt>
                <c:pt idx="7">
                  <c:v>188.23529411764707</c:v>
                </c:pt>
                <c:pt idx="8">
                  <c:v>376.47058823529414</c:v>
                </c:pt>
                <c:pt idx="9">
                  <c:v>752.94117647058829</c:v>
                </c:pt>
                <c:pt idx="10">
                  <c:v>1505.8823529411766</c:v>
                </c:pt>
                <c:pt idx="11">
                  <c:v>3011.7647058823532</c:v>
                </c:pt>
                <c:pt idx="12">
                  <c:v>6023.5294117647063</c:v>
                </c:pt>
                <c:pt idx="13">
                  <c:v>12047.058823529413</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56.470588235294116</c:v>
                </c:pt>
                <c:pt idx="7">
                  <c:v>112.94117647058823</c:v>
                </c:pt>
                <c:pt idx="8">
                  <c:v>225.88235294117646</c:v>
                </c:pt>
                <c:pt idx="9">
                  <c:v>451.76470588235293</c:v>
                </c:pt>
                <c:pt idx="10">
                  <c:v>903.52941176470586</c:v>
                </c:pt>
                <c:pt idx="11">
                  <c:v>1807.0588235294117</c:v>
                </c:pt>
                <c:pt idx="12">
                  <c:v>3614.1176470588234</c:v>
                </c:pt>
                <c:pt idx="13">
                  <c:v>7228.2352941176468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145.24328249818444</c:v>
                </c:pt>
                <c:pt idx="1">
                  <c:v>290.48656499636888</c:v>
                </c:pt>
                <c:pt idx="2">
                  <c:v>580.97312999273777</c:v>
                </c:pt>
                <c:pt idx="3">
                  <c:v>1161.9462599854755</c:v>
                </c:pt>
                <c:pt idx="4">
                  <c:v>2323.8925199709511</c:v>
                </c:pt>
                <c:pt idx="5">
                  <c:v>4647.7850399419021</c:v>
                </c:pt>
                <c:pt idx="6">
                  <c:v>9295.5700798838043</c:v>
                </c:pt>
                <c:pt idx="7">
                  <c:v>18591.140159767609</c:v>
                </c:pt>
                <c:pt idx="8">
                  <c:v>37182.280319535217</c:v>
                </c:pt>
                <c:pt idx="9">
                  <c:v>74364.560639070434</c:v>
                </c:pt>
                <c:pt idx="10">
                  <c:v>148729.12127814087</c:v>
                </c:pt>
                <c:pt idx="11">
                  <c:v>297458.24255628174</c:v>
                </c:pt>
                <c:pt idx="12">
                  <c:v>594916.48511256347</c:v>
                </c:pt>
                <c:pt idx="13">
                  <c:v>1189832.9702251269</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27.596223674655036</c:v>
                </c:pt>
                <c:pt idx="1">
                  <c:v>55.192447349310072</c:v>
                </c:pt>
                <c:pt idx="2">
                  <c:v>110.38489469862014</c:v>
                </c:pt>
                <c:pt idx="3">
                  <c:v>220.76978939724029</c:v>
                </c:pt>
                <c:pt idx="4">
                  <c:v>441.53957879448058</c:v>
                </c:pt>
                <c:pt idx="5">
                  <c:v>883.07915758896115</c:v>
                </c:pt>
                <c:pt idx="6">
                  <c:v>1766.1583151779223</c:v>
                </c:pt>
                <c:pt idx="7">
                  <c:v>3532.3166303558446</c:v>
                </c:pt>
                <c:pt idx="8">
                  <c:v>7064.6332607116892</c:v>
                </c:pt>
                <c:pt idx="9">
                  <c:v>14129.266521423378</c:v>
                </c:pt>
                <c:pt idx="10">
                  <c:v>28258.533042846757</c:v>
                </c:pt>
                <c:pt idx="11">
                  <c:v>56517.066085693514</c:v>
                </c:pt>
                <c:pt idx="12">
                  <c:v>113034.13217138703</c:v>
                </c:pt>
                <c:pt idx="13">
                  <c:v>226068.26434277405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117.64705882352941</c:v>
                </c:pt>
                <c:pt idx="4">
                  <c:v>235.29411764705881</c:v>
                </c:pt>
                <c:pt idx="5">
                  <c:v>470.58823529411762</c:v>
                </c:pt>
                <c:pt idx="6">
                  <c:v>941.17647058823525</c:v>
                </c:pt>
                <c:pt idx="7">
                  <c:v>1882.3529411764705</c:v>
                </c:pt>
                <c:pt idx="8">
                  <c:v>3764.705882352941</c:v>
                </c:pt>
                <c:pt idx="9">
                  <c:v>7529.411764705882</c:v>
                </c:pt>
                <c:pt idx="10">
                  <c:v>15058.823529411764</c:v>
                </c:pt>
                <c:pt idx="11">
                  <c:v>30117.647058823528</c:v>
                </c:pt>
                <c:pt idx="12">
                  <c:v>60235.294117647056</c:v>
                </c:pt>
                <c:pt idx="13">
                  <c:v>120470.58823529411</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117.64705882352941</c:v>
                </c:pt>
                <c:pt idx="4">
                  <c:v>235.29411764705881</c:v>
                </c:pt>
                <c:pt idx="5">
                  <c:v>470.58823529411762</c:v>
                </c:pt>
                <c:pt idx="6">
                  <c:v>941.17647058823525</c:v>
                </c:pt>
                <c:pt idx="7">
                  <c:v>1882.3529411764705</c:v>
                </c:pt>
                <c:pt idx="8">
                  <c:v>3764.705882352941</c:v>
                </c:pt>
                <c:pt idx="9">
                  <c:v>7529.411764705882</c:v>
                </c:pt>
                <c:pt idx="10">
                  <c:v>15058.823529411764</c:v>
                </c:pt>
                <c:pt idx="11">
                  <c:v>30117.647058823528</c:v>
                </c:pt>
                <c:pt idx="12">
                  <c:v>60235.294117647056</c:v>
                </c:pt>
                <c:pt idx="13">
                  <c:v>120470.58823529411</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117.64705882352941</c:v>
                </c:pt>
                <c:pt idx="3">
                  <c:v>235.29411764705881</c:v>
                </c:pt>
                <c:pt idx="4">
                  <c:v>432.94117647058823</c:v>
                </c:pt>
                <c:pt idx="5">
                  <c:v>865.88235294117646</c:v>
                </c:pt>
                <c:pt idx="6">
                  <c:v>1731.7647058823529</c:v>
                </c:pt>
                <c:pt idx="7">
                  <c:v>3355.294117647059</c:v>
                </c:pt>
                <c:pt idx="8">
                  <c:v>6710.588235294118</c:v>
                </c:pt>
                <c:pt idx="9">
                  <c:v>13421.176470588236</c:v>
                </c:pt>
                <c:pt idx="10">
                  <c:v>26842.352941176472</c:v>
                </c:pt>
                <c:pt idx="11">
                  <c:v>53684.705882352944</c:v>
                </c:pt>
                <c:pt idx="12">
                  <c:v>107477.64705882352</c:v>
                </c:pt>
                <c:pt idx="13">
                  <c:v>214955.29411764705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37.647058823529413</c:v>
                </c:pt>
                <c:pt idx="5">
                  <c:v>75.294117647058826</c:v>
                </c:pt>
                <c:pt idx="6">
                  <c:v>94.117647058823536</c:v>
                </c:pt>
                <c:pt idx="7">
                  <c:v>188.23529411764707</c:v>
                </c:pt>
                <c:pt idx="8">
                  <c:v>376.47058823529414</c:v>
                </c:pt>
                <c:pt idx="9">
                  <c:v>752.94117647058829</c:v>
                </c:pt>
                <c:pt idx="10">
                  <c:v>1505.8823529411766</c:v>
                </c:pt>
                <c:pt idx="11">
                  <c:v>3011.7647058823532</c:v>
                </c:pt>
                <c:pt idx="12">
                  <c:v>6023.5294117647063</c:v>
                </c:pt>
                <c:pt idx="13">
                  <c:v>12047.058823529413</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56.470588235294116</c:v>
                </c:pt>
                <c:pt idx="7">
                  <c:v>112.94117647058823</c:v>
                </c:pt>
                <c:pt idx="8">
                  <c:v>225.88235294117646</c:v>
                </c:pt>
                <c:pt idx="9">
                  <c:v>451.76470588235293</c:v>
                </c:pt>
                <c:pt idx="10">
                  <c:v>903.52941176470586</c:v>
                </c:pt>
                <c:pt idx="11">
                  <c:v>1807.0588235294117</c:v>
                </c:pt>
                <c:pt idx="12">
                  <c:v>3614.1176470588234</c:v>
                </c:pt>
                <c:pt idx="13">
                  <c:v>7228.2352941176468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Projections!$G$28:$AD$28</c15:sqref>
                  </c15:fullRef>
                </c:ext>
              </c:extLst>
              <c:f>Projections!$G$28:$R$28</c:f>
              <c:numCache>
                <c:formatCode>#,##0_ ;[Red]\-#,##0\ </c:formatCode>
                <c:ptCount val="12"/>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539.83989502715735</c:v>
                </c:pt>
                <c:pt idx="9">
                  <c:v>699.58854406192074</c:v>
                </c:pt>
                <c:pt idx="10">
                  <c:v>746.49942390249566</c:v>
                </c:pt>
                <c:pt idx="11">
                  <c:v>758.1123793543411</c:v>
                </c:pt>
              </c:numCache>
            </c:numRef>
          </c:val>
          <c:smooth val="0"/>
          <c:extLst>
            <c:ext xmlns:c16="http://schemas.microsoft.com/office/drawing/2014/chart" uri="{C3380CC4-5D6E-409C-BE32-E72D297353CC}">
              <c16:uniqueId val="{00000003-5231-4BE2-97ED-54F0C3DB105C}"/>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Projections!$G$29:$AD$29</c15:sqref>
                  </c15:fullRef>
                </c:ext>
              </c:extLst>
              <c:f>Projections!$G$29:$R$29</c:f>
              <c:numCache>
                <c:formatCode>#,##0_ ;[Red]\-#,##0\ </c:formatCode>
                <c:ptCount val="12"/>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459.98322567430228</c:v>
                </c:pt>
                <c:pt idx="9">
                  <c:v>353.06819678795603</c:v>
                </c:pt>
                <c:pt idx="10">
                  <c:v>346.19383098044386</c:v>
                </c:pt>
                <c:pt idx="11">
                  <c:v>457.83706768400037</c:v>
                </c:pt>
              </c:numCache>
            </c:numRef>
          </c:val>
          <c:smooth val="0"/>
          <c:extLst>
            <c:ext xmlns:c16="http://schemas.microsoft.com/office/drawing/2014/chart" uri="{C3380CC4-5D6E-409C-BE32-E72D297353CC}">
              <c16:uniqueId val="{00000002-9381-4A4E-BB43-DCD8EC2F4E00}"/>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Projections!$G$30:$AD$30</c15:sqref>
                  </c15:fullRef>
                </c:ext>
              </c:extLst>
              <c:f>Projections!$G$30:$R$30</c:f>
              <c:numCache>
                <c:formatCode>#,##0_ ;[Red]\-#,##0\ </c:formatCode>
                <c:ptCount val="12"/>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79.856669352855107</c:v>
                </c:pt>
                <c:pt idx="9">
                  <c:v>346.52034727396472</c:v>
                </c:pt>
                <c:pt idx="10">
                  <c:v>400.3055929220518</c:v>
                </c:pt>
                <c:pt idx="11">
                  <c:v>394.06341141992112</c:v>
                </c:pt>
              </c:numCache>
            </c:numRef>
          </c:val>
          <c:smooth val="0"/>
          <c:extLst>
            <c:ext xmlns:c16="http://schemas.microsoft.com/office/drawing/2014/chart" uri="{C3380CC4-5D6E-409C-BE32-E72D297353CC}">
              <c16:uniqueId val="{00000000-9381-4A4E-BB43-DCD8EC2F4E00}"/>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Projections!$G$31:$AD$31</c15:sqref>
                  </c15:fullRef>
                </c:ext>
              </c:extLst>
              <c:f>Projections!$G$31:$R$31</c:f>
              <c:numCache>
                <c:formatCode>#,##0_ ;[Red]\-#,##0\ </c:formatCode>
                <c:ptCount val="12"/>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79.856669352855107</c:v>
                </c:pt>
                <c:pt idx="9">
                  <c:v>346.52034727396472</c:v>
                </c:pt>
                <c:pt idx="10">
                  <c:v>400.3055929220518</c:v>
                </c:pt>
                <c:pt idx="11">
                  <c:v>104.38381369666985</c:v>
                </c:pt>
              </c:numCache>
            </c:numRef>
          </c:val>
          <c:smooth val="0"/>
          <c:extLst>
            <c:ext xmlns:c16="http://schemas.microsoft.com/office/drawing/2014/chart" uri="{C3380CC4-5D6E-409C-BE32-E72D297353CC}">
              <c16:uniqueId val="{00000003-9381-4A4E-BB43-DCD8EC2F4E00}"/>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Projections!$G$32:$AD$32</c15:sqref>
                  </c15:fullRef>
                </c:ext>
              </c:extLst>
              <c:f>Projections!$G$32:$R$32</c:f>
              <c:numCache>
                <c:formatCode>#,##0_ ;[Red]\-#,##0\ </c:formatCode>
                <c:ptCount val="12"/>
                <c:pt idx="0">
                  <c:v>0.265625</c:v>
                </c:pt>
                <c:pt idx="1">
                  <c:v>0.53125</c:v>
                </c:pt>
                <c:pt idx="2">
                  <c:v>1.0625</c:v>
                </c:pt>
                <c:pt idx="3">
                  <c:v>2.125</c:v>
                </c:pt>
                <c:pt idx="4">
                  <c:v>4.25</c:v>
                </c:pt>
                <c:pt idx="5">
                  <c:v>8.5</c:v>
                </c:pt>
                <c:pt idx="6">
                  <c:v>17</c:v>
                </c:pt>
                <c:pt idx="7">
                  <c:v>34</c:v>
                </c:pt>
                <c:pt idx="8">
                  <c:v>51.000000000000007</c:v>
                </c:pt>
                <c:pt idx="9">
                  <c:v>59.500000000000007</c:v>
                </c:pt>
                <c:pt idx="10">
                  <c:v>63.92</c:v>
                </c:pt>
                <c:pt idx="11">
                  <c:v>68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Projections!$G$50:$AD$50</c15:sqref>
                  </c15:fullRef>
                </c:ext>
              </c:extLst>
              <c:f>Projections!$G$50:$R$50</c:f>
              <c:numCache>
                <c:formatCode>#,##0</c:formatCode>
                <c:ptCount val="12"/>
                <c:pt idx="0">
                  <c:v>0.9028129751647237</c:v>
                </c:pt>
                <c:pt idx="1">
                  <c:v>1.8056259503294474</c:v>
                </c:pt>
                <c:pt idx="2">
                  <c:v>3.6112519006588948</c:v>
                </c:pt>
                <c:pt idx="3">
                  <c:v>7.2225038013177896</c:v>
                </c:pt>
                <c:pt idx="4">
                  <c:v>14.445007602635579</c:v>
                </c:pt>
                <c:pt idx="5">
                  <c:v>28.890015205271158</c:v>
                </c:pt>
                <c:pt idx="6">
                  <c:v>57.780030410542317</c:v>
                </c:pt>
                <c:pt idx="7">
                  <c:v>115.56006082108463</c:v>
                </c:pt>
                <c:pt idx="8">
                  <c:v>173.34009123162696</c:v>
                </c:pt>
                <c:pt idx="9">
                  <c:v>202.23010643689813</c:v>
                </c:pt>
                <c:pt idx="10">
                  <c:v>217.25291434363911</c:v>
                </c:pt>
                <c:pt idx="11">
                  <c:v>231.12012164216927</c:v>
                </c:pt>
              </c:numCache>
            </c:numRef>
          </c:val>
          <c:smooth val="0"/>
          <c:extLst>
            <c:ext xmlns:c16="http://schemas.microsoft.com/office/drawing/2014/chart" uri="{C3380CC4-5D6E-409C-BE32-E72D297353CC}">
              <c16:uniqueId val="{00000000-04B6-450D-AD81-6BF382C059D1}"/>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Projections!$G$52:$AD$52</c15:sqref>
                  </c15:fullRef>
                </c:ext>
              </c:extLst>
              <c:f>Projections!$G$52:$R$52</c:f>
              <c:numCache>
                <c:formatCode>#,##0</c:formatCode>
                <c:ptCount val="12"/>
                <c:pt idx="0">
                  <c:v>3.315593850312553</c:v>
                </c:pt>
                <c:pt idx="1">
                  <c:v>6.6311877006251061</c:v>
                </c:pt>
                <c:pt idx="2">
                  <c:v>13.262375401250212</c:v>
                </c:pt>
                <c:pt idx="3">
                  <c:v>26.524750802500424</c:v>
                </c:pt>
                <c:pt idx="4">
                  <c:v>53.049501605000849</c:v>
                </c:pt>
                <c:pt idx="5">
                  <c:v>106.0990032100017</c:v>
                </c:pt>
                <c:pt idx="6">
                  <c:v>212.1980064200034</c:v>
                </c:pt>
                <c:pt idx="7">
                  <c:v>424.39601284000679</c:v>
                </c:pt>
                <c:pt idx="8">
                  <c:v>636.59401926001021</c:v>
                </c:pt>
                <c:pt idx="9">
                  <c:v>742.6930224700119</c:v>
                </c:pt>
                <c:pt idx="10">
                  <c:v>797.86450413921273</c:v>
                </c:pt>
                <c:pt idx="11">
                  <c:v>848.79202568001358</c:v>
                </c:pt>
              </c:numCache>
            </c:numRef>
          </c:val>
          <c:smooth val="0"/>
          <c:extLst>
            <c:ext xmlns:c16="http://schemas.microsoft.com/office/drawing/2014/chart" uri="{C3380CC4-5D6E-409C-BE32-E72D297353CC}">
              <c16:uniqueId val="{00000002-04B6-450D-AD81-6BF382C059D1}"/>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Projections!$G$54:$AD$54</c15:sqref>
                  </c15:fullRef>
                </c:ext>
              </c:extLst>
              <c:f>Projections!$G$54:$R$54</c:f>
              <c:numCache>
                <c:formatCode>#,##0</c:formatCode>
                <c:ptCount val="12"/>
                <c:pt idx="0">
                  <c:v>5.2584896097313738</c:v>
                </c:pt>
                <c:pt idx="1">
                  <c:v>10.516979219462748</c:v>
                </c:pt>
                <c:pt idx="2">
                  <c:v>21.033958438925495</c:v>
                </c:pt>
                <c:pt idx="3">
                  <c:v>42.06791687785099</c:v>
                </c:pt>
                <c:pt idx="4">
                  <c:v>84.135833755701981</c:v>
                </c:pt>
                <c:pt idx="5">
                  <c:v>168.27166751140396</c:v>
                </c:pt>
                <c:pt idx="6">
                  <c:v>336.54333502280792</c:v>
                </c:pt>
                <c:pt idx="7">
                  <c:v>673.08667004561585</c:v>
                </c:pt>
                <c:pt idx="8">
                  <c:v>1009.6300050684238</c:v>
                </c:pt>
                <c:pt idx="9">
                  <c:v>1177.9016725798276</c:v>
                </c:pt>
                <c:pt idx="10">
                  <c:v>1265.4029396857577</c:v>
                </c:pt>
                <c:pt idx="11">
                  <c:v>1346.1733400912317</c:v>
                </c:pt>
              </c:numCache>
            </c:numRef>
          </c:val>
          <c:smooth val="0"/>
          <c:extLst>
            <c:ext xmlns:c16="http://schemas.microsoft.com/office/drawing/2014/chart" uri="{C3380CC4-5D6E-409C-BE32-E72D297353CC}">
              <c16:uniqueId val="{00000004-04B6-450D-AD81-6BF382C059D1}"/>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Projections!$G$56:$AD$56</c15:sqref>
                  </c15:fullRef>
                </c:ext>
              </c:extLst>
              <c:f>Projections!$G$56:$R$56</c:f>
              <c:numCache>
                <c:formatCode>#,##0</c:formatCode>
                <c:ptCount val="12"/>
                <c:pt idx="0">
                  <c:v>4.8361209663794558</c:v>
                </c:pt>
                <c:pt idx="1">
                  <c:v>9.6722419327589115</c:v>
                </c:pt>
                <c:pt idx="2">
                  <c:v>19.344483865517823</c:v>
                </c:pt>
                <c:pt idx="3">
                  <c:v>38.688967731035646</c:v>
                </c:pt>
                <c:pt idx="4">
                  <c:v>77.377935462071292</c:v>
                </c:pt>
                <c:pt idx="5">
                  <c:v>154.75587092414258</c:v>
                </c:pt>
                <c:pt idx="6">
                  <c:v>309.51174184828517</c:v>
                </c:pt>
                <c:pt idx="7">
                  <c:v>619.02348369657034</c:v>
                </c:pt>
                <c:pt idx="8">
                  <c:v>928.53522554485551</c:v>
                </c:pt>
                <c:pt idx="9">
                  <c:v>1083.2910964689981</c:v>
                </c:pt>
                <c:pt idx="10">
                  <c:v>1163.7641493495523</c:v>
                </c:pt>
                <c:pt idx="11">
                  <c:v>1238.0469673931407</c:v>
                </c:pt>
              </c:numCache>
            </c:numRef>
          </c:val>
          <c:smooth val="0"/>
          <c:extLst>
            <c:ext xmlns:c16="http://schemas.microsoft.com/office/drawing/2014/chart" uri="{C3380CC4-5D6E-409C-BE32-E72D297353CC}">
              <c16:uniqueId val="{00000006-04B6-450D-AD81-6BF382C059D1}"/>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Projections!$G$58:$AD$58</c15:sqref>
                  </c15:fullRef>
                </c:ext>
              </c:extLst>
              <c:f>Projections!$G$58:$R$58</c:f>
              <c:numCache>
                <c:formatCode>#,##0</c:formatCode>
                <c:ptCount val="12"/>
                <c:pt idx="0">
                  <c:v>4.028340935968914</c:v>
                </c:pt>
                <c:pt idx="1">
                  <c:v>8.0566818719378279</c:v>
                </c:pt>
                <c:pt idx="2">
                  <c:v>16.113363743875656</c:v>
                </c:pt>
                <c:pt idx="3">
                  <c:v>32.226727487751312</c:v>
                </c:pt>
                <c:pt idx="4">
                  <c:v>64.453454975502623</c:v>
                </c:pt>
                <c:pt idx="5">
                  <c:v>128.90690995100525</c:v>
                </c:pt>
                <c:pt idx="6">
                  <c:v>257.81381990201049</c:v>
                </c:pt>
                <c:pt idx="7">
                  <c:v>515.62763980402099</c:v>
                </c:pt>
                <c:pt idx="8">
                  <c:v>773.44145970603142</c:v>
                </c:pt>
                <c:pt idx="9">
                  <c:v>902.34836965703664</c:v>
                </c:pt>
                <c:pt idx="10">
                  <c:v>969.3799628315594</c:v>
                </c:pt>
                <c:pt idx="11">
                  <c:v>1031.255279608042</c:v>
                </c:pt>
              </c:numCache>
            </c:numRef>
          </c:val>
          <c:smooth val="0"/>
          <c:extLst>
            <c:ext xmlns:c16="http://schemas.microsoft.com/office/drawing/2014/chart" uri="{C3380CC4-5D6E-409C-BE32-E72D297353CC}">
              <c16:uniqueId val="{00000008-04B6-450D-AD81-6BF382C059D1}"/>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Projections!$G$60:$AD$60</c15:sqref>
                  </c15:fullRef>
                </c:ext>
              </c:extLst>
              <c:f>Projections!$G$60:$R$60</c:f>
              <c:numCache>
                <c:formatCode>#,##0</c:formatCode>
                <c:ptCount val="12"/>
                <c:pt idx="0">
                  <c:v>4.9417131272174357</c:v>
                </c:pt>
                <c:pt idx="1">
                  <c:v>9.8834262544348714</c:v>
                </c:pt>
                <c:pt idx="2">
                  <c:v>19.766852508869743</c:v>
                </c:pt>
                <c:pt idx="3">
                  <c:v>39.533705017739486</c:v>
                </c:pt>
                <c:pt idx="4">
                  <c:v>79.067410035478972</c:v>
                </c:pt>
                <c:pt idx="5">
                  <c:v>158.13482007095794</c:v>
                </c:pt>
                <c:pt idx="6">
                  <c:v>316.26964014191589</c:v>
                </c:pt>
                <c:pt idx="7">
                  <c:v>632.53928028383177</c:v>
                </c:pt>
                <c:pt idx="8">
                  <c:v>948.80892042574771</c:v>
                </c:pt>
                <c:pt idx="9">
                  <c:v>1106.9437404967057</c:v>
                </c:pt>
                <c:pt idx="10">
                  <c:v>1189.1738469336037</c:v>
                </c:pt>
                <c:pt idx="11">
                  <c:v>1265.0785605676635</c:v>
                </c:pt>
              </c:numCache>
            </c:numRef>
          </c:val>
          <c:smooth val="0"/>
          <c:extLst>
            <c:ext xmlns:c16="http://schemas.microsoft.com/office/drawing/2014/chart" uri="{C3380CC4-5D6E-409C-BE32-E72D297353CC}">
              <c16:uniqueId val="{0000000A-04B6-450D-AD81-6BF382C059D1}"/>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Projections!$G$62:$AD$62</c15:sqref>
                  </c15:fullRef>
                </c:ext>
              </c:extLst>
              <c:f>Projections!$G$62:$R$62</c:f>
              <c:numCache>
                <c:formatCode>#,##0</c:formatCode>
                <c:ptCount val="12"/>
                <c:pt idx="0">
                  <c:v>6.7526186855887822</c:v>
                </c:pt>
                <c:pt idx="1">
                  <c:v>13.505237371177564</c:v>
                </c:pt>
                <c:pt idx="2">
                  <c:v>27.010474742355129</c:v>
                </c:pt>
                <c:pt idx="3">
                  <c:v>54.020949484710258</c:v>
                </c:pt>
                <c:pt idx="4">
                  <c:v>108.04189896942052</c:v>
                </c:pt>
                <c:pt idx="5">
                  <c:v>216.08379793884103</c:v>
                </c:pt>
                <c:pt idx="6">
                  <c:v>432.16759587768206</c:v>
                </c:pt>
                <c:pt idx="7">
                  <c:v>864.33519175536412</c:v>
                </c:pt>
                <c:pt idx="8">
                  <c:v>1296.5027876330462</c:v>
                </c:pt>
                <c:pt idx="9">
                  <c:v>1512.5865855718871</c:v>
                </c:pt>
                <c:pt idx="10">
                  <c:v>1624.9501605000846</c:v>
                </c:pt>
                <c:pt idx="11">
                  <c:v>1728.6703835107282</c:v>
                </c:pt>
              </c:numCache>
            </c:numRef>
          </c:val>
          <c:smooth val="0"/>
          <c:extLst>
            <c:ext xmlns:c16="http://schemas.microsoft.com/office/drawing/2014/chart" uri="{C3380CC4-5D6E-409C-BE32-E72D297353CC}">
              <c16:uniqueId val="{0000000C-04B6-450D-AD81-6BF382C059D1}"/>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Projections!$G$64:$AD$64</c15:sqref>
                  </c15:fullRef>
                </c:ext>
              </c:extLst>
              <c:f>Projections!$G$64:$R$64</c:f>
              <c:numCache>
                <c:formatCode>#,##0</c:formatCode>
                <c:ptCount val="12"/>
                <c:pt idx="0">
                  <c:v>0.9028129751647237</c:v>
                </c:pt>
                <c:pt idx="1">
                  <c:v>1.8056259503294474</c:v>
                </c:pt>
                <c:pt idx="2">
                  <c:v>3.6112519006588948</c:v>
                </c:pt>
                <c:pt idx="3">
                  <c:v>7.2225038013177896</c:v>
                </c:pt>
                <c:pt idx="4">
                  <c:v>14.445007602635579</c:v>
                </c:pt>
                <c:pt idx="5">
                  <c:v>28.890015205271158</c:v>
                </c:pt>
                <c:pt idx="6">
                  <c:v>57.780030410542317</c:v>
                </c:pt>
                <c:pt idx="7">
                  <c:v>115.56006082108463</c:v>
                </c:pt>
                <c:pt idx="8">
                  <c:v>173.34009123162696</c:v>
                </c:pt>
                <c:pt idx="9">
                  <c:v>202.23010643689813</c:v>
                </c:pt>
                <c:pt idx="10">
                  <c:v>217.25291434363911</c:v>
                </c:pt>
                <c:pt idx="11">
                  <c:v>231.12012164216927</c:v>
                </c:pt>
              </c:numCache>
            </c:numRef>
          </c:val>
          <c:smooth val="0"/>
          <c:extLst>
            <c:ext xmlns:c16="http://schemas.microsoft.com/office/drawing/2014/chart" uri="{C3380CC4-5D6E-409C-BE32-E72D297353CC}">
              <c16:uniqueId val="{0000000E-04B6-450D-AD81-6BF382C059D1}"/>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Projections!$G$66:$AD$66</c15:sqref>
                  </c15:fullRef>
                </c:ext>
              </c:extLst>
              <c:f>Projections!$G$66:$R$66</c:f>
              <c:numCache>
                <c:formatCode>#,##0</c:formatCode>
                <c:ptCount val="12"/>
                <c:pt idx="0">
                  <c:v>0.31149687447203916</c:v>
                </c:pt>
                <c:pt idx="1">
                  <c:v>0.62299374894407833</c:v>
                </c:pt>
                <c:pt idx="2">
                  <c:v>1.2459874978881567</c:v>
                </c:pt>
                <c:pt idx="3">
                  <c:v>2.4919749957763133</c:v>
                </c:pt>
                <c:pt idx="4">
                  <c:v>4.9839499915526266</c:v>
                </c:pt>
                <c:pt idx="5">
                  <c:v>9.9678999831052533</c:v>
                </c:pt>
                <c:pt idx="6">
                  <c:v>19.935799966210507</c:v>
                </c:pt>
                <c:pt idx="7">
                  <c:v>39.871599932421013</c:v>
                </c:pt>
                <c:pt idx="8">
                  <c:v>59.807399898631523</c:v>
                </c:pt>
                <c:pt idx="9">
                  <c:v>69.775299881736771</c:v>
                </c:pt>
                <c:pt idx="10">
                  <c:v>74.958607872951504</c:v>
                </c:pt>
                <c:pt idx="11">
                  <c:v>79.743199864842026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Projections!$G$51:$AD$51</c15:sqref>
                  </c15:fullRef>
                </c:ext>
              </c:extLst>
              <c:f>Projections!$G$51:$R$51</c:f>
              <c:numCache>
                <c:formatCode>#,##0</c:formatCode>
                <c:ptCount val="12"/>
                <c:pt idx="0">
                  <c:v>0.13361632032437909</c:v>
                </c:pt>
                <c:pt idx="1">
                  <c:v>0.26723264064875818</c:v>
                </c:pt>
                <c:pt idx="2">
                  <c:v>0.53446528129751636</c:v>
                </c:pt>
                <c:pt idx="3">
                  <c:v>1.0689305625950327</c:v>
                </c:pt>
                <c:pt idx="4">
                  <c:v>2.1378611251900654</c:v>
                </c:pt>
                <c:pt idx="5">
                  <c:v>4.2757222503801309</c:v>
                </c:pt>
                <c:pt idx="6">
                  <c:v>8.5514445007602617</c:v>
                </c:pt>
                <c:pt idx="7">
                  <c:v>17.102889001520523</c:v>
                </c:pt>
                <c:pt idx="8">
                  <c:v>25.654333502280789</c:v>
                </c:pt>
                <c:pt idx="9">
                  <c:v>29.93005575266092</c:v>
                </c:pt>
                <c:pt idx="10">
                  <c:v>32.153431322858587</c:v>
                </c:pt>
                <c:pt idx="11">
                  <c:v>34.205778003041047</c:v>
                </c:pt>
              </c:numCache>
            </c:numRef>
          </c:val>
          <c:smooth val="0"/>
          <c:extLst>
            <c:ext xmlns:c16="http://schemas.microsoft.com/office/drawing/2014/chart" uri="{C3380CC4-5D6E-409C-BE32-E72D297353CC}">
              <c16:uniqueId val="{00000001-EBAD-48A5-9277-83F388186C0C}"/>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Projections!$G$53:$AD$53</c15:sqref>
                  </c15:fullRef>
                </c:ext>
              </c:extLst>
              <c:f>Projections!$G$53:$R$53</c:f>
              <c:numCache>
                <c:formatCode>#,##0</c:formatCode>
                <c:ptCount val="12"/>
                <c:pt idx="0">
                  <c:v>0.26524750802500424</c:v>
                </c:pt>
                <c:pt idx="1">
                  <c:v>0.53049501605000848</c:v>
                </c:pt>
                <c:pt idx="2">
                  <c:v>1.060990032100017</c:v>
                </c:pt>
                <c:pt idx="3">
                  <c:v>2.1219800642000339</c:v>
                </c:pt>
                <c:pt idx="4">
                  <c:v>4.2439601284000679</c:v>
                </c:pt>
                <c:pt idx="5">
                  <c:v>8.4879202568001357</c:v>
                </c:pt>
                <c:pt idx="6">
                  <c:v>16.975840513600271</c:v>
                </c:pt>
                <c:pt idx="7">
                  <c:v>33.951681027200543</c:v>
                </c:pt>
                <c:pt idx="8">
                  <c:v>50.927521540800818</c:v>
                </c:pt>
                <c:pt idx="9">
                  <c:v>59.415441797600955</c:v>
                </c:pt>
                <c:pt idx="10">
                  <c:v>63.829160331137018</c:v>
                </c:pt>
                <c:pt idx="11">
                  <c:v>67.903362054401086</c:v>
                </c:pt>
              </c:numCache>
            </c:numRef>
          </c:val>
          <c:smooth val="0"/>
          <c:extLst>
            <c:ext xmlns:c16="http://schemas.microsoft.com/office/drawing/2014/chart" uri="{C3380CC4-5D6E-409C-BE32-E72D297353CC}">
              <c16:uniqueId val="{00000003-EBAD-48A5-9277-83F388186C0C}"/>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Projections!$G$55:$AD$55</c15:sqref>
                  </c15:fullRef>
                </c:ext>
              </c:extLst>
              <c:f>Projections!$G$55:$R$55</c:f>
              <c:numCache>
                <c:formatCode>#,##0</c:formatCode>
                <c:ptCount val="12"/>
                <c:pt idx="0">
                  <c:v>0.18930562595032943</c:v>
                </c:pt>
                <c:pt idx="1">
                  <c:v>0.37861125190065886</c:v>
                </c:pt>
                <c:pt idx="2">
                  <c:v>0.75722250380131773</c:v>
                </c:pt>
                <c:pt idx="3">
                  <c:v>1.5144450076026355</c:v>
                </c:pt>
                <c:pt idx="4">
                  <c:v>3.0288900152052709</c:v>
                </c:pt>
                <c:pt idx="5">
                  <c:v>6.0577800304105418</c:v>
                </c:pt>
                <c:pt idx="6">
                  <c:v>12.115560060821084</c:v>
                </c:pt>
                <c:pt idx="7">
                  <c:v>24.231120121642167</c:v>
                </c:pt>
                <c:pt idx="8">
                  <c:v>36.346680182463253</c:v>
                </c:pt>
                <c:pt idx="9">
                  <c:v>42.404460212873794</c:v>
                </c:pt>
                <c:pt idx="10">
                  <c:v>45.554505828687276</c:v>
                </c:pt>
                <c:pt idx="11">
                  <c:v>48.462240243284334</c:v>
                </c:pt>
              </c:numCache>
            </c:numRef>
          </c:val>
          <c:smooth val="0"/>
          <c:extLst>
            <c:ext xmlns:c16="http://schemas.microsoft.com/office/drawing/2014/chart" uri="{C3380CC4-5D6E-409C-BE32-E72D297353CC}">
              <c16:uniqueId val="{00000005-EBAD-48A5-9277-83F388186C0C}"/>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Projections!$G$57:$AD$57</c15:sqref>
                  </c15:fullRef>
                </c:ext>
              </c:extLst>
              <c:f>Projections!$G$57:$R$57</c:f>
              <c:numCache>
                <c:formatCode>#,##0</c:formatCode>
                <c:ptCount val="12"/>
                <c:pt idx="0">
                  <c:v>6.2869572562932921E-2</c:v>
                </c:pt>
                <c:pt idx="1">
                  <c:v>0.12573914512586584</c:v>
                </c:pt>
                <c:pt idx="2">
                  <c:v>0.25147829025173168</c:v>
                </c:pt>
                <c:pt idx="3">
                  <c:v>0.50295658050346337</c:v>
                </c:pt>
                <c:pt idx="4">
                  <c:v>1.0059131610069267</c:v>
                </c:pt>
                <c:pt idx="5">
                  <c:v>2.0118263220138535</c:v>
                </c:pt>
                <c:pt idx="6">
                  <c:v>4.0236526440277069</c:v>
                </c:pt>
                <c:pt idx="7">
                  <c:v>8.0473052880554139</c:v>
                </c:pt>
                <c:pt idx="8">
                  <c:v>12.070957932083122</c:v>
                </c:pt>
                <c:pt idx="9">
                  <c:v>14.082784254096975</c:v>
                </c:pt>
                <c:pt idx="10">
                  <c:v>15.128933941544179</c:v>
                </c:pt>
                <c:pt idx="11">
                  <c:v>16.094610576110828</c:v>
                </c:pt>
              </c:numCache>
            </c:numRef>
          </c:val>
          <c:smooth val="0"/>
          <c:extLst>
            <c:ext xmlns:c16="http://schemas.microsoft.com/office/drawing/2014/chart" uri="{C3380CC4-5D6E-409C-BE32-E72D297353CC}">
              <c16:uniqueId val="{00000007-EBAD-48A5-9277-83F388186C0C}"/>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Projections!$G$59:$AD$59</c15:sqref>
                  </c15:fullRef>
                </c:ext>
              </c:extLst>
              <c:f>Projections!$G$59:$R$59</c:f>
              <c:numCache>
                <c:formatCode>#,##0</c:formatCode>
                <c:ptCount val="12"/>
                <c:pt idx="0">
                  <c:v>1.6113363743875658E-2</c:v>
                </c:pt>
                <c:pt idx="1">
                  <c:v>3.2226727487751315E-2</c:v>
                </c:pt>
                <c:pt idx="2">
                  <c:v>6.445345497550263E-2</c:v>
                </c:pt>
                <c:pt idx="3">
                  <c:v>0.12890690995100526</c:v>
                </c:pt>
                <c:pt idx="4">
                  <c:v>0.25781381990201052</c:v>
                </c:pt>
                <c:pt idx="5">
                  <c:v>0.51562763980402104</c:v>
                </c:pt>
                <c:pt idx="6">
                  <c:v>1.0312552796080421</c:v>
                </c:pt>
                <c:pt idx="7">
                  <c:v>2.0625105592160842</c:v>
                </c:pt>
                <c:pt idx="8">
                  <c:v>3.0937658388241256</c:v>
                </c:pt>
                <c:pt idx="9">
                  <c:v>3.6093934786281467</c:v>
                </c:pt>
                <c:pt idx="10">
                  <c:v>3.8775198513262379</c:v>
                </c:pt>
                <c:pt idx="11">
                  <c:v>4.1250211184321683</c:v>
                </c:pt>
              </c:numCache>
            </c:numRef>
          </c:val>
          <c:smooth val="0"/>
          <c:extLst>
            <c:ext xmlns:c16="http://schemas.microsoft.com/office/drawing/2014/chart" uri="{C3380CC4-5D6E-409C-BE32-E72D297353CC}">
              <c16:uniqueId val="{00000009-EBAD-48A5-9277-83F388186C0C}"/>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Projections!$G$61:$AD$61</c15:sqref>
                  </c15:fullRef>
                </c:ext>
              </c:extLst>
              <c:f>Projections!$G$61:$R$61</c:f>
              <c:numCache>
                <c:formatCode>#,##0</c:formatCode>
                <c:ptCount val="12"/>
                <c:pt idx="0">
                  <c:v>9.8834262544348715E-3</c:v>
                </c:pt>
                <c:pt idx="1">
                  <c:v>1.9766852508869743E-2</c:v>
                </c:pt>
                <c:pt idx="2">
                  <c:v>3.9533705017739486E-2</c:v>
                </c:pt>
                <c:pt idx="3">
                  <c:v>7.9067410035478972E-2</c:v>
                </c:pt>
                <c:pt idx="4">
                  <c:v>0.15813482007095794</c:v>
                </c:pt>
                <c:pt idx="5">
                  <c:v>0.31626964014191589</c:v>
                </c:pt>
                <c:pt idx="6">
                  <c:v>0.63253928028383177</c:v>
                </c:pt>
                <c:pt idx="7">
                  <c:v>1.2650785605676635</c:v>
                </c:pt>
                <c:pt idx="8">
                  <c:v>1.8976178408514954</c:v>
                </c:pt>
                <c:pt idx="9">
                  <c:v>2.2138874809934115</c:v>
                </c:pt>
                <c:pt idx="10">
                  <c:v>2.3783476938672075</c:v>
                </c:pt>
                <c:pt idx="11">
                  <c:v>2.5301571211353271</c:v>
                </c:pt>
              </c:numCache>
            </c:numRef>
          </c:val>
          <c:smooth val="0"/>
          <c:extLst>
            <c:ext xmlns:c16="http://schemas.microsoft.com/office/drawing/2014/chart" uri="{C3380CC4-5D6E-409C-BE32-E72D297353CC}">
              <c16:uniqueId val="{0000000B-EBAD-48A5-9277-83F388186C0C}"/>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Projections!$G$63:$AD$63</c15:sqref>
                  </c15:fullRef>
                </c:ext>
              </c:extLst>
              <c:f>Projections!$G$63:$R$63</c:f>
              <c:numCache>
                <c:formatCode>#,##0</c:formatCode>
                <c:ptCount val="12"/>
                <c:pt idx="0">
                  <c:v>1.3505237371177564E-2</c:v>
                </c:pt>
                <c:pt idx="1">
                  <c:v>2.7010474742355128E-2</c:v>
                </c:pt>
                <c:pt idx="2">
                  <c:v>5.4020949484710257E-2</c:v>
                </c:pt>
                <c:pt idx="3">
                  <c:v>0.10804189896942051</c:v>
                </c:pt>
                <c:pt idx="4">
                  <c:v>0.21608379793884103</c:v>
                </c:pt>
                <c:pt idx="5">
                  <c:v>0.43216759587768205</c:v>
                </c:pt>
                <c:pt idx="6">
                  <c:v>0.86433519175536411</c:v>
                </c:pt>
                <c:pt idx="7">
                  <c:v>1.7286703835107282</c:v>
                </c:pt>
                <c:pt idx="8">
                  <c:v>2.5930055752660923</c:v>
                </c:pt>
                <c:pt idx="9">
                  <c:v>3.0251731711437744</c:v>
                </c:pt>
                <c:pt idx="10">
                  <c:v>3.2499003210001693</c:v>
                </c:pt>
                <c:pt idx="11">
                  <c:v>3.4573407670214564</c:v>
                </c:pt>
              </c:numCache>
            </c:numRef>
          </c:val>
          <c:smooth val="0"/>
          <c:extLst>
            <c:ext xmlns:c16="http://schemas.microsoft.com/office/drawing/2014/chart" uri="{C3380CC4-5D6E-409C-BE32-E72D297353CC}">
              <c16:uniqueId val="{0000000D-EBAD-48A5-9277-83F388186C0C}"/>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Projections!$G$65:$AD$65</c15:sqref>
                  </c15:fullRef>
                </c:ext>
              </c:extLst>
              <c:f>Projections!$G$65:$R$65</c:f>
              <c:numCache>
                <c:formatCode>#,##0</c:formatCode>
                <c:ptCount val="12"/>
                <c:pt idx="0">
                  <c:v>1.8056259503294475E-3</c:v>
                </c:pt>
                <c:pt idx="1">
                  <c:v>3.6112519006588949E-3</c:v>
                </c:pt>
                <c:pt idx="2">
                  <c:v>7.2225038013177898E-3</c:v>
                </c:pt>
                <c:pt idx="3">
                  <c:v>1.444500760263558E-2</c:v>
                </c:pt>
                <c:pt idx="4">
                  <c:v>2.8890015205271159E-2</c:v>
                </c:pt>
                <c:pt idx="5">
                  <c:v>5.7780030410542318E-2</c:v>
                </c:pt>
                <c:pt idx="6">
                  <c:v>0.11556006082108464</c:v>
                </c:pt>
                <c:pt idx="7">
                  <c:v>0.23112012164216927</c:v>
                </c:pt>
                <c:pt idx="8">
                  <c:v>0.34668018246325394</c:v>
                </c:pt>
                <c:pt idx="9">
                  <c:v>0.40446021287379624</c:v>
                </c:pt>
                <c:pt idx="10">
                  <c:v>0.43450582868727822</c:v>
                </c:pt>
                <c:pt idx="11">
                  <c:v>0.46224024328433855</c:v>
                </c:pt>
              </c:numCache>
            </c:numRef>
          </c:val>
          <c:smooth val="0"/>
          <c:extLst>
            <c:ext xmlns:c16="http://schemas.microsoft.com/office/drawing/2014/chart" uri="{C3380CC4-5D6E-409C-BE32-E72D297353CC}">
              <c16:uniqueId val="{0000000F-EBAD-48A5-9277-83F388186C0C}"/>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Projections!$G$67:$AD$67</c15:sqref>
                  </c15:fullRef>
                </c:ext>
              </c:extLst>
              <c:f>Projections!$G$67:$R$67</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Projections!$G$79:$AD$79</c15:sqref>
                  </c15:fullRef>
                </c:ext>
              </c:extLst>
              <c:f>Projections!$G$79:$R$79</c:f>
              <c:numCache>
                <c:formatCode>#,##0</c:formatCode>
                <c:ptCount val="12"/>
                <c:pt idx="0">
                  <c:v>10.53125</c:v>
                </c:pt>
                <c:pt idx="1">
                  <c:v>21.0625</c:v>
                </c:pt>
                <c:pt idx="2">
                  <c:v>42.125</c:v>
                </c:pt>
                <c:pt idx="3">
                  <c:v>84.25</c:v>
                </c:pt>
                <c:pt idx="4">
                  <c:v>168.5</c:v>
                </c:pt>
                <c:pt idx="5">
                  <c:v>337</c:v>
                </c:pt>
                <c:pt idx="6">
                  <c:v>674</c:v>
                </c:pt>
                <c:pt idx="7">
                  <c:v>1348</c:v>
                </c:pt>
                <c:pt idx="8">
                  <c:v>2022.0000000000002</c:v>
                </c:pt>
                <c:pt idx="9">
                  <c:v>2359</c:v>
                </c:pt>
                <c:pt idx="10">
                  <c:v>2534.2400000000002</c:v>
                </c:pt>
                <c:pt idx="11">
                  <c:v>2696</c:v>
                </c:pt>
              </c:numCache>
            </c:numRef>
          </c:val>
          <c:smooth val="0"/>
          <c:extLst>
            <c:ext xmlns:c16="http://schemas.microsoft.com/office/drawing/2014/chart" uri="{C3380CC4-5D6E-409C-BE32-E72D297353CC}">
              <c16:uniqueId val="{0000001E-05DD-4DD4-A5B5-12D162507280}"/>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Projections!$G$77:$AD$77</c15:sqref>
                  </c15:fullRef>
                </c:ext>
              </c:extLst>
              <c:f>Projections!$G$77:$R$77</c:f>
              <c:numCache>
                <c:formatCode>#,##0</c:formatCode>
                <c:ptCount val="12"/>
                <c:pt idx="0">
                  <c:v>9.6875</c:v>
                </c:pt>
                <c:pt idx="1">
                  <c:v>19.375</c:v>
                </c:pt>
                <c:pt idx="2">
                  <c:v>38.75</c:v>
                </c:pt>
                <c:pt idx="3">
                  <c:v>77.5</c:v>
                </c:pt>
                <c:pt idx="4">
                  <c:v>155</c:v>
                </c:pt>
                <c:pt idx="5">
                  <c:v>310</c:v>
                </c:pt>
                <c:pt idx="6">
                  <c:v>620</c:v>
                </c:pt>
                <c:pt idx="7">
                  <c:v>1240</c:v>
                </c:pt>
                <c:pt idx="8">
                  <c:v>1860</c:v>
                </c:pt>
                <c:pt idx="9">
                  <c:v>2170</c:v>
                </c:pt>
                <c:pt idx="10">
                  <c:v>2331.1999999999998</c:v>
                </c:pt>
                <c:pt idx="11">
                  <c:v>2480</c:v>
                </c:pt>
              </c:numCache>
            </c:numRef>
          </c:val>
          <c:smooth val="0"/>
          <c:extLst>
            <c:ext xmlns:c16="http://schemas.microsoft.com/office/drawing/2014/chart" uri="{C3380CC4-5D6E-409C-BE32-E72D297353CC}">
              <c16:uniqueId val="{0000001C-05DD-4DD4-A5B5-12D162507280}"/>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Projections!$G$83:$AD$83</c15:sqref>
                  </c15:fullRef>
                </c:ext>
              </c:extLst>
              <c:f>Projections!$G$83:$R$83</c:f>
              <c:numCache>
                <c:formatCode>#,##0</c:formatCode>
                <c:ptCount val="12"/>
                <c:pt idx="0">
                  <c:v>5.03125</c:v>
                </c:pt>
                <c:pt idx="1">
                  <c:v>10.0625</c:v>
                </c:pt>
                <c:pt idx="2">
                  <c:v>20.125</c:v>
                </c:pt>
                <c:pt idx="3">
                  <c:v>40.25</c:v>
                </c:pt>
                <c:pt idx="4">
                  <c:v>80.5</c:v>
                </c:pt>
                <c:pt idx="5">
                  <c:v>161</c:v>
                </c:pt>
                <c:pt idx="6">
                  <c:v>322</c:v>
                </c:pt>
                <c:pt idx="7">
                  <c:v>644</c:v>
                </c:pt>
                <c:pt idx="8">
                  <c:v>966</c:v>
                </c:pt>
                <c:pt idx="9">
                  <c:v>1127</c:v>
                </c:pt>
                <c:pt idx="10">
                  <c:v>1210.72</c:v>
                </c:pt>
                <c:pt idx="11">
                  <c:v>1288</c:v>
                </c:pt>
              </c:numCache>
            </c:numRef>
          </c:val>
          <c:smooth val="0"/>
          <c:extLst>
            <c:ext xmlns:c16="http://schemas.microsoft.com/office/drawing/2014/chart" uri="{C3380CC4-5D6E-409C-BE32-E72D297353CC}">
              <c16:uniqueId val="{00000022-05DD-4DD4-A5B5-12D162507280}"/>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Projections!$G$73:$AD$73</c15:sqref>
                  </c15:fullRef>
                </c:ext>
              </c:extLst>
              <c:f>Projections!$G$73:$R$73</c:f>
              <c:numCache>
                <c:formatCode>#,##0</c:formatCode>
                <c:ptCount val="12"/>
                <c:pt idx="0">
                  <c:v>1.5625</c:v>
                </c:pt>
                <c:pt idx="1">
                  <c:v>3.125</c:v>
                </c:pt>
                <c:pt idx="2">
                  <c:v>6.25</c:v>
                </c:pt>
                <c:pt idx="3">
                  <c:v>12.5</c:v>
                </c:pt>
                <c:pt idx="4">
                  <c:v>25</c:v>
                </c:pt>
                <c:pt idx="5">
                  <c:v>50</c:v>
                </c:pt>
                <c:pt idx="6">
                  <c:v>100</c:v>
                </c:pt>
                <c:pt idx="7">
                  <c:v>200</c:v>
                </c:pt>
                <c:pt idx="8">
                  <c:v>300</c:v>
                </c:pt>
                <c:pt idx="9">
                  <c:v>350</c:v>
                </c:pt>
                <c:pt idx="10">
                  <c:v>376</c:v>
                </c:pt>
                <c:pt idx="11">
                  <c:v>400</c:v>
                </c:pt>
              </c:numCache>
            </c:numRef>
          </c:val>
          <c:smooth val="0"/>
          <c:extLst>
            <c:ext xmlns:c16="http://schemas.microsoft.com/office/drawing/2014/chart" uri="{C3380CC4-5D6E-409C-BE32-E72D297353CC}">
              <c16:uniqueId val="{00000018-05DD-4DD4-A5B5-12D162507280}"/>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Projections!$G$75:$AD$75</c15:sqref>
                  </c15:fullRef>
                </c:ext>
              </c:extLst>
              <c:f>Projections!$G$75:$R$75</c:f>
              <c:numCache>
                <c:formatCode>#,##0</c:formatCode>
                <c:ptCount val="12"/>
                <c:pt idx="0">
                  <c:v>1.4375</c:v>
                </c:pt>
                <c:pt idx="1">
                  <c:v>2.875</c:v>
                </c:pt>
                <c:pt idx="2">
                  <c:v>5.75</c:v>
                </c:pt>
                <c:pt idx="3">
                  <c:v>11.5</c:v>
                </c:pt>
                <c:pt idx="4">
                  <c:v>23</c:v>
                </c:pt>
                <c:pt idx="5">
                  <c:v>46</c:v>
                </c:pt>
                <c:pt idx="6">
                  <c:v>92</c:v>
                </c:pt>
                <c:pt idx="7">
                  <c:v>184</c:v>
                </c:pt>
                <c:pt idx="8">
                  <c:v>276</c:v>
                </c:pt>
                <c:pt idx="9">
                  <c:v>322</c:v>
                </c:pt>
                <c:pt idx="10">
                  <c:v>345.92</c:v>
                </c:pt>
                <c:pt idx="11">
                  <c:v>368</c:v>
                </c:pt>
              </c:numCache>
            </c:numRef>
          </c:val>
          <c:smooth val="0"/>
          <c:extLst>
            <c:ext xmlns:c16="http://schemas.microsoft.com/office/drawing/2014/chart" uri="{C3380CC4-5D6E-409C-BE32-E72D297353CC}">
              <c16:uniqueId val="{0000001A-05DD-4DD4-A5B5-12D162507280}"/>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Projections!$G$81:$AD$81</c15:sqref>
                  </c15:fullRef>
                </c:ext>
              </c:extLst>
              <c:f>Projections!$G$81:$R$81</c:f>
              <c:numCache>
                <c:formatCode>#,##0</c:formatCode>
                <c:ptCount val="12"/>
                <c:pt idx="0">
                  <c:v>0.46875</c:v>
                </c:pt>
                <c:pt idx="1">
                  <c:v>0.9375</c:v>
                </c:pt>
                <c:pt idx="2">
                  <c:v>1.875</c:v>
                </c:pt>
                <c:pt idx="3">
                  <c:v>3.75</c:v>
                </c:pt>
                <c:pt idx="4">
                  <c:v>7.5</c:v>
                </c:pt>
                <c:pt idx="5">
                  <c:v>15</c:v>
                </c:pt>
                <c:pt idx="6">
                  <c:v>30</c:v>
                </c:pt>
                <c:pt idx="7">
                  <c:v>60</c:v>
                </c:pt>
                <c:pt idx="8">
                  <c:v>90</c:v>
                </c:pt>
                <c:pt idx="9">
                  <c:v>105</c:v>
                </c:pt>
                <c:pt idx="10">
                  <c:v>112.8</c:v>
                </c:pt>
                <c:pt idx="11">
                  <c:v>120</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Projections!$G$80:$AD$80</c15:sqref>
                  </c15:fullRef>
                </c:ext>
              </c:extLst>
              <c:f>Projections!$G$80:$R$80</c:f>
              <c:numCache>
                <c:formatCode>#,##0</c:formatCode>
                <c:ptCount val="12"/>
                <c:pt idx="0">
                  <c:v>0.63187499999999996</c:v>
                </c:pt>
                <c:pt idx="1">
                  <c:v>1.2637499999999999</c:v>
                </c:pt>
                <c:pt idx="2">
                  <c:v>2.5274999999999999</c:v>
                </c:pt>
                <c:pt idx="3">
                  <c:v>5.0549999999999997</c:v>
                </c:pt>
                <c:pt idx="4">
                  <c:v>10.11</c:v>
                </c:pt>
                <c:pt idx="5">
                  <c:v>20.22</c:v>
                </c:pt>
                <c:pt idx="6">
                  <c:v>40.44</c:v>
                </c:pt>
                <c:pt idx="7">
                  <c:v>80.88</c:v>
                </c:pt>
                <c:pt idx="8">
                  <c:v>121.32000000000001</c:v>
                </c:pt>
                <c:pt idx="9">
                  <c:v>141.54</c:v>
                </c:pt>
                <c:pt idx="10">
                  <c:v>152.05440000000002</c:v>
                </c:pt>
                <c:pt idx="11">
                  <c:v>161.76</c:v>
                </c:pt>
              </c:numCache>
            </c:numRef>
          </c:val>
          <c:smooth val="0"/>
          <c:extLst>
            <c:ext xmlns:c16="http://schemas.microsoft.com/office/drawing/2014/chart" uri="{C3380CC4-5D6E-409C-BE32-E72D297353CC}">
              <c16:uniqueId val="{00000007-65B4-47F9-9B97-64FB989C8893}"/>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Projections!$G$78:$AD$78</c15:sqref>
                  </c15:fullRef>
                </c:ext>
              </c:extLst>
              <c:f>Projections!$G$78:$R$78</c:f>
              <c:numCache>
                <c:formatCode>#,##0</c:formatCode>
                <c:ptCount val="12"/>
                <c:pt idx="0">
                  <c:v>0.61031250000000004</c:v>
                </c:pt>
                <c:pt idx="1">
                  <c:v>1.2206250000000001</c:v>
                </c:pt>
                <c:pt idx="2">
                  <c:v>2.4412500000000001</c:v>
                </c:pt>
                <c:pt idx="3">
                  <c:v>4.8825000000000003</c:v>
                </c:pt>
                <c:pt idx="4">
                  <c:v>9.7650000000000006</c:v>
                </c:pt>
                <c:pt idx="5">
                  <c:v>19.53</c:v>
                </c:pt>
                <c:pt idx="6">
                  <c:v>39.06</c:v>
                </c:pt>
                <c:pt idx="7">
                  <c:v>78.12</c:v>
                </c:pt>
                <c:pt idx="8">
                  <c:v>117.18</c:v>
                </c:pt>
                <c:pt idx="9">
                  <c:v>136.71</c:v>
                </c:pt>
                <c:pt idx="10">
                  <c:v>146.8656</c:v>
                </c:pt>
                <c:pt idx="11">
                  <c:v>156.24</c:v>
                </c:pt>
              </c:numCache>
            </c:numRef>
          </c:val>
          <c:smooth val="0"/>
          <c:extLst>
            <c:ext xmlns:c16="http://schemas.microsoft.com/office/drawing/2014/chart" uri="{C3380CC4-5D6E-409C-BE32-E72D297353CC}">
              <c16:uniqueId val="{00000005-65B4-47F9-9B97-64FB989C8893}"/>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Projections!$G$74:$AD$74</c15:sqref>
                  </c15:fullRef>
                </c:ext>
              </c:extLst>
              <c:f>Projections!$G$74:$R$74</c:f>
              <c:numCache>
                <c:formatCode>#,##0</c:formatCode>
                <c:ptCount val="12"/>
                <c:pt idx="0">
                  <c:v>0.1640625</c:v>
                </c:pt>
                <c:pt idx="1">
                  <c:v>0.328125</c:v>
                </c:pt>
                <c:pt idx="2">
                  <c:v>0.65625</c:v>
                </c:pt>
                <c:pt idx="3">
                  <c:v>1.3125</c:v>
                </c:pt>
                <c:pt idx="4">
                  <c:v>2.625</c:v>
                </c:pt>
                <c:pt idx="5">
                  <c:v>5.25</c:v>
                </c:pt>
                <c:pt idx="6">
                  <c:v>10.5</c:v>
                </c:pt>
                <c:pt idx="7">
                  <c:v>21</c:v>
                </c:pt>
                <c:pt idx="8">
                  <c:v>31.5</c:v>
                </c:pt>
                <c:pt idx="9">
                  <c:v>36.75</c:v>
                </c:pt>
                <c:pt idx="10">
                  <c:v>39.479999999999997</c:v>
                </c:pt>
                <c:pt idx="11">
                  <c:v>42</c:v>
                </c:pt>
              </c:numCache>
            </c:numRef>
          </c:val>
          <c:smooth val="0"/>
          <c:extLst>
            <c:ext xmlns:c16="http://schemas.microsoft.com/office/drawing/2014/chart" uri="{C3380CC4-5D6E-409C-BE32-E72D297353CC}">
              <c16:uniqueId val="{00000001-65B4-47F9-9B97-64FB989C8893}"/>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Projections!$G$76:$AD$76</c15:sqref>
                  </c15:fullRef>
                </c:ext>
              </c:extLst>
              <c:f>Projections!$G$76:$R$76</c:f>
              <c:numCache>
                <c:formatCode>#,##0</c:formatCode>
                <c:ptCount val="12"/>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20.148</c:v>
                </c:pt>
                <c:pt idx="9">
                  <c:v>23.506</c:v>
                </c:pt>
                <c:pt idx="10">
                  <c:v>25.25216</c:v>
                </c:pt>
                <c:pt idx="11">
                  <c:v>26.863999999999997</c:v>
                </c:pt>
              </c:numCache>
            </c:numRef>
          </c:val>
          <c:smooth val="0"/>
          <c:extLst>
            <c:ext xmlns:c16="http://schemas.microsoft.com/office/drawing/2014/chart" uri="{C3380CC4-5D6E-409C-BE32-E72D297353CC}">
              <c16:uniqueId val="{00000003-65B4-47F9-9B97-64FB989C8893}"/>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Projections!$G$17:$AD$17</c15:sqref>
                  </c15:fullRef>
                </c:ext>
              </c:extLst>
              <c:f>Projections!$G$17:$R$17</c:f>
              <c:numCache>
                <c:formatCode>m/d/yyyy</c:formatCode>
                <c:ptCount val="12"/>
                <c:pt idx="0">
                  <c:v>43892</c:v>
                </c:pt>
                <c:pt idx="1">
                  <c:v>43896</c:v>
                </c:pt>
                <c:pt idx="2">
                  <c:v>43900</c:v>
                </c:pt>
                <c:pt idx="3">
                  <c:v>43904</c:v>
                </c:pt>
                <c:pt idx="4">
                  <c:v>43908</c:v>
                </c:pt>
                <c:pt idx="5">
                  <c:v>43911</c:v>
                </c:pt>
                <c:pt idx="6">
                  <c:v>43914</c:v>
                </c:pt>
                <c:pt idx="7">
                  <c:v>43919</c:v>
                </c:pt>
                <c:pt idx="8">
                  <c:v>43929</c:v>
                </c:pt>
                <c:pt idx="9">
                  <c:v>43939</c:v>
                </c:pt>
                <c:pt idx="10">
                  <c:v>43949</c:v>
                </c:pt>
                <c:pt idx="11">
                  <c:v>43959</c:v>
                </c:pt>
              </c:numCache>
            </c:numRef>
          </c:cat>
          <c:val>
            <c:numRef>
              <c:extLst>
                <c:ext xmlns:c15="http://schemas.microsoft.com/office/drawing/2012/chart" uri="{02D57815-91ED-43cb-92C2-25804820EDAC}">
                  <c15:fullRef>
                    <c15:sqref>Projections!$G$82:$AD$82</c15:sqref>
                  </c15:fullRef>
                </c:ext>
              </c:extLst>
              <c:f>Projections!$G$82:$R$82</c:f>
              <c:numCache>
                <c:formatCode>#,##0</c:formatCode>
                <c:ptCount val="12"/>
                <c:pt idx="0">
                  <c:v>2.6249999999999999E-2</c:v>
                </c:pt>
                <c:pt idx="1">
                  <c:v>5.2499999999999998E-2</c:v>
                </c:pt>
                <c:pt idx="2">
                  <c:v>0.105</c:v>
                </c:pt>
                <c:pt idx="3">
                  <c:v>0.21</c:v>
                </c:pt>
                <c:pt idx="4">
                  <c:v>0.42</c:v>
                </c:pt>
                <c:pt idx="5">
                  <c:v>0.84</c:v>
                </c:pt>
                <c:pt idx="6">
                  <c:v>1.68</c:v>
                </c:pt>
                <c:pt idx="7">
                  <c:v>3.36</c:v>
                </c:pt>
                <c:pt idx="8">
                  <c:v>5.04</c:v>
                </c:pt>
                <c:pt idx="9">
                  <c:v>5.88</c:v>
                </c:pt>
                <c:pt idx="10">
                  <c:v>6.3167999999999997</c:v>
                </c:pt>
                <c:pt idx="11">
                  <c:v>6.72</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32</xdr:col>
      <xdr:colOff>9526</xdr:colOff>
      <xdr:row>4</xdr:row>
      <xdr:rowOff>180975</xdr:rowOff>
    </xdr:from>
    <xdr:to>
      <xdr:col>43</xdr:col>
      <xdr:colOff>600075</xdr:colOff>
      <xdr:row>31</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736455</xdr:colOff>
      <xdr:row>76</xdr:row>
      <xdr:rowOff>5814</xdr:rowOff>
    </xdr:from>
    <xdr:to>
      <xdr:col>44</xdr:col>
      <xdr:colOff>19050</xdr:colOff>
      <xdr:row>99</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3031</xdr:colOff>
      <xdr:row>100</xdr:row>
      <xdr:rowOff>10576</xdr:rowOff>
    </xdr:from>
    <xdr:to>
      <xdr:col>44</xdr:col>
      <xdr:colOff>28575</xdr:colOff>
      <xdr:row>116</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741217</xdr:colOff>
      <xdr:row>117</xdr:row>
      <xdr:rowOff>182025</xdr:rowOff>
    </xdr:from>
    <xdr:to>
      <xdr:col>44</xdr:col>
      <xdr:colOff>38099</xdr:colOff>
      <xdr:row>133</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741219</xdr:colOff>
      <xdr:row>135</xdr:row>
      <xdr:rowOff>10575</xdr:rowOff>
    </xdr:from>
    <xdr:to>
      <xdr:col>44</xdr:col>
      <xdr:colOff>19050</xdr:colOff>
      <xdr:row>154</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738187</xdr:colOff>
      <xdr:row>38</xdr:row>
      <xdr:rowOff>4762</xdr:rowOff>
    </xdr:from>
    <xdr:to>
      <xdr:col>44</xdr:col>
      <xdr:colOff>19050</xdr:colOff>
      <xdr:row>58</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740228</xdr:colOff>
      <xdr:row>59</xdr:row>
      <xdr:rowOff>2721</xdr:rowOff>
    </xdr:from>
    <xdr:to>
      <xdr:col>43</xdr:col>
      <xdr:colOff>590550</xdr:colOff>
      <xdr:row>74</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45</xdr:col>
      <xdr:colOff>1</xdr:colOff>
      <xdr:row>4</xdr:row>
      <xdr:rowOff>180975</xdr:rowOff>
    </xdr:from>
    <xdr:to>
      <xdr:col>57</xdr:col>
      <xdr:colOff>161925</xdr:colOff>
      <xdr:row>31</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44</xdr:col>
      <xdr:colOff>607867</xdr:colOff>
      <xdr:row>75</xdr:row>
      <xdr:rowOff>177264</xdr:rowOff>
    </xdr:from>
    <xdr:to>
      <xdr:col>57</xdr:col>
      <xdr:colOff>209550</xdr:colOff>
      <xdr:row>98</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44</xdr:col>
      <xdr:colOff>598343</xdr:colOff>
      <xdr:row>100</xdr:row>
      <xdr:rowOff>1051</xdr:rowOff>
    </xdr:from>
    <xdr:to>
      <xdr:col>57</xdr:col>
      <xdr:colOff>200025</xdr:colOff>
      <xdr:row>116</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45</xdr:col>
      <xdr:colOff>3029</xdr:colOff>
      <xdr:row>117</xdr:row>
      <xdr:rowOff>182025</xdr:rowOff>
    </xdr:from>
    <xdr:to>
      <xdr:col>57</xdr:col>
      <xdr:colOff>219074</xdr:colOff>
      <xdr:row>133</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45</xdr:col>
      <xdr:colOff>22081</xdr:colOff>
      <xdr:row>135</xdr:row>
      <xdr:rowOff>10575</xdr:rowOff>
    </xdr:from>
    <xdr:to>
      <xdr:col>57</xdr:col>
      <xdr:colOff>228600</xdr:colOff>
      <xdr:row>154</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44</xdr:col>
      <xdr:colOff>600074</xdr:colOff>
      <xdr:row>38</xdr:row>
      <xdr:rowOff>14287</xdr:rowOff>
    </xdr:from>
    <xdr:to>
      <xdr:col>57</xdr:col>
      <xdr:colOff>200025</xdr:colOff>
      <xdr:row>58</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44</xdr:col>
      <xdr:colOff>606878</xdr:colOff>
      <xdr:row>59</xdr:row>
      <xdr:rowOff>2721</xdr:rowOff>
    </xdr:from>
    <xdr:to>
      <xdr:col>57</xdr:col>
      <xdr:colOff>161925</xdr:colOff>
      <xdr:row>74</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ourworldindata.org/coronavirus"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166</v>
      </c>
    </row>
    <row r="3" spans="2:2" x14ac:dyDescent="0.25">
      <c r="B3" t="s">
        <v>146</v>
      </c>
    </row>
    <row r="4" spans="2:2" x14ac:dyDescent="0.25">
      <c r="B4" t="s">
        <v>162</v>
      </c>
    </row>
    <row r="5" spans="2:2" x14ac:dyDescent="0.25">
      <c r="B5" t="s">
        <v>167</v>
      </c>
    </row>
    <row r="6" spans="2:2" x14ac:dyDescent="0.25">
      <c r="B6" t="s">
        <v>168</v>
      </c>
    </row>
    <row r="7" spans="2:2" x14ac:dyDescent="0.25">
      <c r="B7" t="s">
        <v>149</v>
      </c>
    </row>
    <row r="11" spans="2:2" x14ac:dyDescent="0.25">
      <c r="B11" t="s">
        <v>175</v>
      </c>
    </row>
    <row r="12" spans="2:2" x14ac:dyDescent="0.25">
      <c r="B12" t="s">
        <v>188</v>
      </c>
    </row>
    <row r="13" spans="2:2" x14ac:dyDescent="0.25">
      <c r="B13" t="s">
        <v>190</v>
      </c>
    </row>
    <row r="14" spans="2:2" x14ac:dyDescent="0.25">
      <c r="B14" t="s">
        <v>189</v>
      </c>
    </row>
    <row r="15" spans="2:2" x14ac:dyDescent="0.25">
      <c r="B15" t="s">
        <v>196</v>
      </c>
    </row>
    <row r="17" spans="1:43" x14ac:dyDescent="0.25">
      <c r="A17" t="s">
        <v>194</v>
      </c>
      <c r="B17" s="115">
        <f>(AP25/E31) /Projections!B6</f>
        <v>145.24328249818444</v>
      </c>
      <c r="C17" s="116"/>
      <c r="D17" s="117"/>
      <c r="E17" s="111">
        <f>B17*2</f>
        <v>290.48656499636888</v>
      </c>
      <c r="F17" s="116"/>
      <c r="G17" s="111"/>
      <c r="H17" s="111">
        <f>E17*2</f>
        <v>580.97312999273777</v>
      </c>
      <c r="I17" s="116"/>
      <c r="J17" s="117"/>
      <c r="K17" s="108">
        <f>H17*2</f>
        <v>1161.9462599854755</v>
      </c>
      <c r="L17" s="106"/>
      <c r="M17" s="107"/>
      <c r="N17" s="108">
        <f>K17*2</f>
        <v>2323.8925199709511</v>
      </c>
      <c r="O17" s="106"/>
      <c r="P17" s="107"/>
      <c r="Q17" s="108">
        <f>N17*2</f>
        <v>4647.7850399419021</v>
      </c>
      <c r="R17" s="106"/>
      <c r="S17" s="107"/>
      <c r="T17" s="108">
        <f>Q17*2</f>
        <v>9295.5700798838043</v>
      </c>
      <c r="U17" s="106"/>
      <c r="V17" s="107"/>
      <c r="W17" s="108">
        <f>T17*2</f>
        <v>18591.140159767609</v>
      </c>
      <c r="X17" s="106"/>
      <c r="Y17" s="107"/>
      <c r="Z17" s="108">
        <f>W17*2</f>
        <v>37182.280319535217</v>
      </c>
      <c r="AA17" s="106"/>
      <c r="AB17" s="107"/>
      <c r="AC17" s="108">
        <f>Z17*2</f>
        <v>74364.560639070434</v>
      </c>
      <c r="AD17" s="106"/>
      <c r="AE17" s="107"/>
      <c r="AF17" s="108">
        <f>AC17*2</f>
        <v>148729.12127814087</v>
      </c>
      <c r="AG17" s="106"/>
      <c r="AH17" s="107"/>
      <c r="AI17" s="108">
        <f>AF17*2</f>
        <v>297458.24255628174</v>
      </c>
      <c r="AJ17" s="106"/>
      <c r="AK17" s="107"/>
      <c r="AL17" s="108">
        <f>AI17*2</f>
        <v>594916.48511256347</v>
      </c>
      <c r="AM17" s="106"/>
      <c r="AN17" s="107"/>
      <c r="AO17" s="108">
        <f>AL17*2</f>
        <v>1189832.9702251269</v>
      </c>
      <c r="AP17" s="111"/>
      <c r="AQ17" t="s">
        <v>194</v>
      </c>
    </row>
    <row r="18" spans="1:43" s="81" customFormat="1" x14ac:dyDescent="0.25">
      <c r="A18" s="81" t="s">
        <v>281</v>
      </c>
      <c r="B18" s="100">
        <f>B17*$E$34</f>
        <v>27.596223674655036</v>
      </c>
      <c r="C18" s="118"/>
      <c r="D18" s="118"/>
      <c r="E18" s="118">
        <f>E17*$E$34</f>
        <v>55.192447349310072</v>
      </c>
      <c r="F18" s="118"/>
      <c r="G18" s="45"/>
      <c r="H18" s="118">
        <f>H17*$E$34</f>
        <v>110.38489469862014</v>
      </c>
      <c r="I18" s="118"/>
      <c r="J18" s="118"/>
      <c r="K18" s="118">
        <f>K17*$E$34</f>
        <v>220.76978939724029</v>
      </c>
      <c r="L18" s="118"/>
      <c r="M18" s="118"/>
      <c r="N18" s="118">
        <f>N17*$E$34</f>
        <v>441.53957879448058</v>
      </c>
      <c r="O18" s="118"/>
      <c r="P18" s="118"/>
      <c r="Q18" s="118">
        <f>Q17*$E$34</f>
        <v>883.07915758896115</v>
      </c>
      <c r="R18" s="118"/>
      <c r="S18" s="118"/>
      <c r="T18" s="118">
        <f>T17*$E$34</f>
        <v>1766.1583151779223</v>
      </c>
      <c r="U18" s="118"/>
      <c r="V18" s="118"/>
      <c r="W18" s="118">
        <f>W17*$E$34</f>
        <v>3532.3166303558446</v>
      </c>
      <c r="X18" s="118"/>
      <c r="Y18" s="118"/>
      <c r="Z18" s="118">
        <f>Z17*$E$34</f>
        <v>7064.6332607116892</v>
      </c>
      <c r="AA18" s="118"/>
      <c r="AB18" s="118"/>
      <c r="AC18" s="118">
        <f>AC17*$E$34</f>
        <v>14129.266521423378</v>
      </c>
      <c r="AD18" s="118"/>
      <c r="AE18" s="118"/>
      <c r="AF18" s="118">
        <f>AF17*$E$34</f>
        <v>28258.533042846757</v>
      </c>
      <c r="AG18" s="118"/>
      <c r="AH18" s="118"/>
      <c r="AI18" s="118">
        <f>AI17*$E$34</f>
        <v>56517.066085693514</v>
      </c>
      <c r="AJ18" s="118"/>
      <c r="AK18" s="118"/>
      <c r="AL18" s="118">
        <f>AL17*$E$34</f>
        <v>113034.13217138703</v>
      </c>
      <c r="AM18" s="118"/>
      <c r="AN18" s="118"/>
      <c r="AO18" s="118">
        <f>AO17*$E$34</f>
        <v>226068.26434277405</v>
      </c>
      <c r="AP18" s="45"/>
      <c r="AQ18" s="81" t="s">
        <v>281</v>
      </c>
    </row>
    <row r="19" spans="1:43" s="81" customFormat="1" x14ac:dyDescent="0.25">
      <c r="A19" s="59" t="s">
        <v>283</v>
      </c>
      <c r="B19" s="98">
        <f>B18</f>
        <v>27.596223674655036</v>
      </c>
      <c r="C19" s="99"/>
      <c r="D19" s="99"/>
      <c r="E19" s="99">
        <f>E18</f>
        <v>55.192447349310072</v>
      </c>
      <c r="F19" s="99"/>
      <c r="G19" s="46"/>
      <c r="H19" s="99">
        <f>H18</f>
        <v>110.38489469862014</v>
      </c>
      <c r="I19" s="99"/>
      <c r="J19" s="99"/>
      <c r="K19" s="99">
        <f>K18</f>
        <v>220.76978939724029</v>
      </c>
      <c r="L19" s="99"/>
      <c r="M19" s="99"/>
      <c r="N19" s="99">
        <f>N18</f>
        <v>441.53957879448058</v>
      </c>
      <c r="O19" s="99"/>
      <c r="P19" s="99"/>
      <c r="Q19" s="99">
        <f>Q18</f>
        <v>883.07915758896115</v>
      </c>
      <c r="R19" s="99"/>
      <c r="S19" s="99"/>
      <c r="T19" s="99">
        <f>T18</f>
        <v>1766.1583151779223</v>
      </c>
      <c r="U19" s="99"/>
      <c r="V19" s="99"/>
      <c r="W19" s="135">
        <f>W18-B18</f>
        <v>3504.7204066811896</v>
      </c>
      <c r="X19" s="135"/>
      <c r="Y19" s="135"/>
      <c r="Z19" s="135">
        <f>Z18-E18</f>
        <v>7009.4408133623792</v>
      </c>
      <c r="AA19" s="135"/>
      <c r="AB19" s="135"/>
      <c r="AC19" s="135">
        <f>AC18-H18</f>
        <v>14018.881626724758</v>
      </c>
      <c r="AD19" s="135"/>
      <c r="AE19" s="135"/>
      <c r="AF19" s="135">
        <f>AF18-K18</f>
        <v>28037.763253449517</v>
      </c>
      <c r="AG19" s="135"/>
      <c r="AH19" s="135"/>
      <c r="AI19" s="135">
        <f>AI18-N18</f>
        <v>56075.526506899034</v>
      </c>
      <c r="AJ19" s="135"/>
      <c r="AK19" s="135"/>
      <c r="AL19" s="135">
        <f>AL18-Q18</f>
        <v>112151.05301379807</v>
      </c>
      <c r="AM19" s="135"/>
      <c r="AN19" s="135"/>
      <c r="AO19" s="135">
        <f>AO18-T18</f>
        <v>224302.10602759614</v>
      </c>
      <c r="AP19" s="136"/>
      <c r="AQ19" s="59" t="s">
        <v>283</v>
      </c>
    </row>
    <row r="20" spans="1:43" s="81" customFormat="1" x14ac:dyDescent="0.25">
      <c r="A20" t="s">
        <v>195</v>
      </c>
      <c r="B20" s="100"/>
      <c r="C20" s="118"/>
      <c r="D20" s="118"/>
      <c r="E20" s="118"/>
      <c r="F20" s="118"/>
      <c r="G20" s="45"/>
      <c r="H20" s="119"/>
      <c r="I20" s="120"/>
      <c r="J20" s="121"/>
      <c r="K20" s="145">
        <f>B17*(1-E34)</f>
        <v>117.64705882352941</v>
      </c>
      <c r="L20" s="142"/>
      <c r="M20" s="143"/>
      <c r="N20" s="144">
        <f>E17*(1-E34)</f>
        <v>235.29411764705881</v>
      </c>
      <c r="O20" s="142"/>
      <c r="P20" s="143"/>
      <c r="Q20" s="144">
        <f>H17*(1-E34)</f>
        <v>470.58823529411762</v>
      </c>
      <c r="R20" s="142"/>
      <c r="S20" s="143"/>
      <c r="T20" s="144">
        <f>K17*(1-E34)</f>
        <v>941.17647058823525</v>
      </c>
      <c r="U20" s="142"/>
      <c r="V20" s="143"/>
      <c r="W20" s="144">
        <f>N17*(1-E34)</f>
        <v>1882.3529411764705</v>
      </c>
      <c r="X20" s="142"/>
      <c r="Y20" s="143"/>
      <c r="Z20" s="144">
        <f>Q17*(1-E34)</f>
        <v>3764.705882352941</v>
      </c>
      <c r="AA20" s="142"/>
      <c r="AB20" s="143"/>
      <c r="AC20" s="144">
        <f>T17*(1-E34)</f>
        <v>7529.411764705882</v>
      </c>
      <c r="AD20" s="142"/>
      <c r="AE20" s="143"/>
      <c r="AF20" s="144">
        <f>W17*(1-E34)</f>
        <v>15058.823529411764</v>
      </c>
      <c r="AG20" s="142"/>
      <c r="AH20" s="143"/>
      <c r="AI20" s="144">
        <f>Z17*(1-E34)</f>
        <v>30117.647058823528</v>
      </c>
      <c r="AJ20" s="142"/>
      <c r="AK20" s="143"/>
      <c r="AL20" s="144">
        <f>AC17*(1-E34)</f>
        <v>60235.294117647056</v>
      </c>
      <c r="AM20" s="142"/>
      <c r="AN20" s="143"/>
      <c r="AO20" s="144">
        <f>AF17*(1-E34)</f>
        <v>120470.58823529411</v>
      </c>
      <c r="AP20" s="91"/>
      <c r="AQ20" t="s">
        <v>195</v>
      </c>
    </row>
    <row r="21" spans="1:43" s="81" customFormat="1" x14ac:dyDescent="0.25">
      <c r="A21" s="81" t="s">
        <v>176</v>
      </c>
      <c r="B21" s="92"/>
      <c r="C21" s="93"/>
      <c r="D21" s="93"/>
      <c r="E21" s="93"/>
      <c r="F21" s="93"/>
      <c r="G21" s="94"/>
      <c r="H21" s="137">
        <f>B17-B18</f>
        <v>117.64705882352941</v>
      </c>
      <c r="I21" s="137"/>
      <c r="J21" s="137"/>
      <c r="K21" s="137">
        <f>E17-E18</f>
        <v>235.29411764705881</v>
      </c>
      <c r="L21" s="137"/>
      <c r="M21" s="137"/>
      <c r="N21" s="137">
        <f>(H17-H18)*$E$35</f>
        <v>432.94117647058823</v>
      </c>
      <c r="O21" s="137"/>
      <c r="P21" s="137"/>
      <c r="Q21" s="137">
        <f>(K17-K18)*$E$35</f>
        <v>865.88235294117646</v>
      </c>
      <c r="R21" s="137"/>
      <c r="S21" s="137"/>
      <c r="T21" s="137">
        <f>(N17-N18)*$E$35</f>
        <v>1731.7647058823529</v>
      </c>
      <c r="U21" s="137"/>
      <c r="V21" s="137"/>
      <c r="W21" s="137">
        <f>((Q17-Q18)*$E$35)-(H21*$E$35)</f>
        <v>3355.294117647059</v>
      </c>
      <c r="X21" s="137"/>
      <c r="Y21" s="137"/>
      <c r="Z21" s="137">
        <f>((T17-T18)*$E$35)-(K21*$E$35)</f>
        <v>6710.588235294118</v>
      </c>
      <c r="AA21" s="137"/>
      <c r="AB21" s="137"/>
      <c r="AC21" s="137">
        <f>((W17-W18)*$E$35)-N21</f>
        <v>13421.176470588236</v>
      </c>
      <c r="AD21" s="137"/>
      <c r="AE21" s="137"/>
      <c r="AF21" s="137">
        <f>((Z17-Z18)*$E$35)-Q21</f>
        <v>26842.352941176472</v>
      </c>
      <c r="AG21" s="137"/>
      <c r="AH21" s="137"/>
      <c r="AI21" s="137">
        <f>((AC17-AC18)*$E$35)-T21</f>
        <v>53684.705882352944</v>
      </c>
      <c r="AJ21" s="137"/>
      <c r="AK21" s="137"/>
      <c r="AL21" s="137">
        <f>((AF17-AF18)*$E$35)-W21</f>
        <v>107477.64705882352</v>
      </c>
      <c r="AM21" s="137"/>
      <c r="AN21" s="137"/>
      <c r="AO21" s="137">
        <f>((AI17-AI18)*$E$35)-Z21</f>
        <v>214955.29411764705</v>
      </c>
      <c r="AP21" s="138"/>
      <c r="AQ21" s="81" t="s">
        <v>176</v>
      </c>
    </row>
    <row r="22" spans="1:43" s="81" customFormat="1" x14ac:dyDescent="0.25">
      <c r="A22" s="81" t="s">
        <v>177</v>
      </c>
      <c r="B22" s="92"/>
      <c r="C22" s="93"/>
      <c r="D22" s="93"/>
      <c r="E22" s="93"/>
      <c r="F22" s="93"/>
      <c r="G22" s="94"/>
      <c r="H22" s="120"/>
      <c r="I22" s="120"/>
      <c r="J22" s="120"/>
      <c r="K22" s="120"/>
      <c r="L22" s="120"/>
      <c r="M22" s="121"/>
      <c r="N22" s="139">
        <f>(H17-H18)*($E$36+$E$37)</f>
        <v>37.647058823529413</v>
      </c>
      <c r="O22" s="139"/>
      <c r="P22" s="139"/>
      <c r="Q22" s="139">
        <f>(K17-K18)*($E$36+$E$37)</f>
        <v>75.294117647058826</v>
      </c>
      <c r="R22" s="139"/>
      <c r="S22" s="139"/>
      <c r="T22" s="139">
        <f>(N17-N18)*$E$36</f>
        <v>94.117647058823536</v>
      </c>
      <c r="U22" s="139"/>
      <c r="V22" s="139"/>
      <c r="W22" s="139">
        <f>(Q17-Q18)*$E$36</f>
        <v>188.23529411764707</v>
      </c>
      <c r="X22" s="139"/>
      <c r="Y22" s="139"/>
      <c r="Z22" s="139">
        <f>(T17-T18)*$E$36</f>
        <v>376.47058823529414</v>
      </c>
      <c r="AA22" s="139"/>
      <c r="AB22" s="139"/>
      <c r="AC22" s="139">
        <f>(W17-W18)*$E$36</f>
        <v>752.94117647058829</v>
      </c>
      <c r="AD22" s="139"/>
      <c r="AE22" s="139"/>
      <c r="AF22" s="139">
        <f>(Z17-Z18)*$E$36</f>
        <v>1505.8823529411766</v>
      </c>
      <c r="AG22" s="139"/>
      <c r="AH22" s="139"/>
      <c r="AI22" s="139">
        <f>(AC17-AC18)*$E$36</f>
        <v>3011.7647058823532</v>
      </c>
      <c r="AJ22" s="139"/>
      <c r="AK22" s="139"/>
      <c r="AL22" s="139">
        <f>(AF17-AF18)*$E$36</f>
        <v>6023.5294117647063</v>
      </c>
      <c r="AM22" s="139"/>
      <c r="AN22" s="139"/>
      <c r="AO22" s="139">
        <f>(AI17-AI18)*$E$36</f>
        <v>12047.058823529413</v>
      </c>
      <c r="AP22" s="140"/>
      <c r="AQ22" s="81" t="s">
        <v>177</v>
      </c>
    </row>
    <row r="23" spans="1:43" s="81" customFormat="1" x14ac:dyDescent="0.25">
      <c r="A23" s="59" t="s">
        <v>178</v>
      </c>
      <c r="B23" s="92"/>
      <c r="C23" s="93"/>
      <c r="D23" s="93"/>
      <c r="E23" s="93"/>
      <c r="F23" s="93"/>
      <c r="G23" s="94"/>
      <c r="H23" s="99"/>
      <c r="I23" s="99"/>
      <c r="J23" s="99"/>
      <c r="K23" s="99"/>
      <c r="L23" s="99"/>
      <c r="M23" s="99"/>
      <c r="N23" s="120"/>
      <c r="O23" s="120"/>
      <c r="P23" s="120"/>
      <c r="Q23" s="120"/>
      <c r="R23" s="120"/>
      <c r="S23" s="121"/>
      <c r="T23" s="52">
        <f>(N17-N18)*$E$37</f>
        <v>56.470588235294116</v>
      </c>
      <c r="U23" s="52"/>
      <c r="V23" s="52"/>
      <c r="W23" s="52">
        <f>(Q17-Q18)*$E$37</f>
        <v>112.94117647058823</v>
      </c>
      <c r="X23" s="52"/>
      <c r="Y23" s="52"/>
      <c r="Z23" s="52">
        <f>(T17-T18)*$E$37</f>
        <v>225.88235294117646</v>
      </c>
      <c r="AA23" s="52"/>
      <c r="AB23" s="52"/>
      <c r="AC23" s="52">
        <f>(W17-W18)*$E$37</f>
        <v>451.76470588235293</v>
      </c>
      <c r="AD23" s="52"/>
      <c r="AE23" s="52"/>
      <c r="AF23" s="52">
        <f>(Z17-Z18)*$E$37</f>
        <v>903.52941176470586</v>
      </c>
      <c r="AG23" s="52"/>
      <c r="AH23" s="52"/>
      <c r="AI23" s="52">
        <f>(AC17-AC18)*$E$37</f>
        <v>1807.0588235294117</v>
      </c>
      <c r="AJ23" s="52"/>
      <c r="AK23" s="52"/>
      <c r="AL23" s="52">
        <f>(AF17-AF18)*$E$37</f>
        <v>3614.1176470588234</v>
      </c>
      <c r="AM23" s="52"/>
      <c r="AN23" s="52"/>
      <c r="AO23" s="52">
        <f>(AI17-AI18)*$E$37</f>
        <v>7228.2352941176468</v>
      </c>
      <c r="AP23" s="141"/>
      <c r="AQ23" s="59" t="s">
        <v>178</v>
      </c>
    </row>
    <row r="24" spans="1:43" s="81" customFormat="1" x14ac:dyDescent="0.25">
      <c r="A24" s="59" t="s">
        <v>183</v>
      </c>
      <c r="B24" s="98"/>
      <c r="C24" s="99"/>
      <c r="D24" s="99"/>
      <c r="E24" s="99"/>
      <c r="F24" s="99"/>
      <c r="G24" s="46"/>
      <c r="H24" s="99"/>
      <c r="I24" s="99"/>
      <c r="J24" s="99"/>
      <c r="K24" s="99"/>
      <c r="L24" s="99"/>
      <c r="M24" s="99"/>
      <c r="N24" s="99"/>
      <c r="O24" s="99"/>
      <c r="P24" s="99"/>
      <c r="Q24" s="99"/>
      <c r="R24" s="99"/>
      <c r="S24" s="99"/>
      <c r="T24" s="120"/>
      <c r="U24" s="121"/>
      <c r="V24" s="122">
        <f>H21*$E$35</f>
        <v>108.23529411764706</v>
      </c>
      <c r="W24" s="122"/>
      <c r="X24" s="122"/>
      <c r="Y24" s="122">
        <f>K21*$E$35</f>
        <v>216.47058823529412</v>
      </c>
      <c r="Z24" s="122"/>
      <c r="AA24" s="122"/>
      <c r="AB24" s="122">
        <f>N21</f>
        <v>432.94117647058823</v>
      </c>
      <c r="AC24" s="122"/>
      <c r="AD24" s="122"/>
      <c r="AE24" s="122">
        <f>Q21</f>
        <v>865.88235294117646</v>
      </c>
      <c r="AF24" s="122"/>
      <c r="AG24" s="122"/>
      <c r="AH24" s="122">
        <f>T21</f>
        <v>1731.7647058823529</v>
      </c>
      <c r="AI24" s="122"/>
      <c r="AJ24" s="122"/>
      <c r="AK24" s="122">
        <f>W21</f>
        <v>3355.294117647059</v>
      </c>
      <c r="AL24" s="122"/>
      <c r="AM24" s="122"/>
      <c r="AN24" s="122">
        <f>Z21</f>
        <v>6710.588235294118</v>
      </c>
      <c r="AO24" s="122"/>
      <c r="AP24" s="123"/>
      <c r="AQ24" s="59" t="s">
        <v>183</v>
      </c>
    </row>
    <row r="25" spans="1:43" x14ac:dyDescent="0.25">
      <c r="A25" s="59" t="s">
        <v>172</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172</v>
      </c>
    </row>
    <row r="26" spans="1:43" x14ac:dyDescent="0.25">
      <c r="A26" s="147" t="s">
        <v>200</v>
      </c>
      <c r="B26" s="102">
        <f t="shared" ref="B26:G26" ca="1" si="0">C26-1</f>
        <v>43895.47386273148</v>
      </c>
      <c r="C26" s="103">
        <f t="shared" ca="1" si="0"/>
        <v>43896.47386273148</v>
      </c>
      <c r="D26" s="103">
        <f t="shared" ca="1" si="0"/>
        <v>43897.47386273148</v>
      </c>
      <c r="E26" s="103">
        <f t="shared" ca="1" si="0"/>
        <v>43898.47386273148</v>
      </c>
      <c r="F26" s="103">
        <f t="shared" ca="1" si="0"/>
        <v>43899.47386273148</v>
      </c>
      <c r="G26" s="104">
        <f t="shared" ca="1" si="0"/>
        <v>43900.47386273148</v>
      </c>
      <c r="H26" s="103">
        <f t="shared" ref="H26:U26" ca="1" si="1">I26-1</f>
        <v>43901.47386273148</v>
      </c>
      <c r="I26" s="103">
        <f t="shared" ca="1" si="1"/>
        <v>43902.47386273148</v>
      </c>
      <c r="J26" s="103">
        <f t="shared" ca="1" si="1"/>
        <v>43903.47386273148</v>
      </c>
      <c r="K26" s="103">
        <f t="shared" ca="1" si="1"/>
        <v>43904.47386273148</v>
      </c>
      <c r="L26" s="103">
        <f t="shared" ca="1" si="1"/>
        <v>43905.47386273148</v>
      </c>
      <c r="M26" s="103">
        <f t="shared" ca="1" si="1"/>
        <v>43906.47386273148</v>
      </c>
      <c r="N26" s="104">
        <f t="shared" ca="1" si="1"/>
        <v>43907.47386273148</v>
      </c>
      <c r="O26" s="102">
        <f t="shared" ca="1" si="1"/>
        <v>43908.47386273148</v>
      </c>
      <c r="P26" s="103">
        <f t="shared" ca="1" si="1"/>
        <v>43909.47386273148</v>
      </c>
      <c r="Q26" s="103">
        <f t="shared" ca="1" si="1"/>
        <v>43910.47386273148</v>
      </c>
      <c r="R26" s="103">
        <f t="shared" ca="1" si="1"/>
        <v>43911.47386273148</v>
      </c>
      <c r="S26" s="103">
        <f t="shared" ca="1" si="1"/>
        <v>43912.47386273148</v>
      </c>
      <c r="T26" s="103">
        <f t="shared" ca="1" si="1"/>
        <v>43913.47386273148</v>
      </c>
      <c r="U26" s="104">
        <f t="shared" ca="1" si="1"/>
        <v>43914.47386273148</v>
      </c>
      <c r="V26" s="102">
        <f t="shared" ref="V26:AN26" ca="1" si="2">W26-1</f>
        <v>43915.47386273148</v>
      </c>
      <c r="W26" s="103">
        <f t="shared" ca="1" si="2"/>
        <v>43916.47386273148</v>
      </c>
      <c r="X26" s="103">
        <f t="shared" ca="1" si="2"/>
        <v>43917.47386273148</v>
      </c>
      <c r="Y26" s="103">
        <f t="shared" ca="1" si="2"/>
        <v>43918.47386273148</v>
      </c>
      <c r="Z26" s="103">
        <f t="shared" ca="1" si="2"/>
        <v>43919.47386273148</v>
      </c>
      <c r="AA26" s="103">
        <f t="shared" ca="1" si="2"/>
        <v>43920.47386273148</v>
      </c>
      <c r="AB26" s="104">
        <f t="shared" ca="1" si="2"/>
        <v>43921.47386273148</v>
      </c>
      <c r="AC26" s="102">
        <f t="shared" ca="1" si="2"/>
        <v>43922.47386273148</v>
      </c>
      <c r="AD26" s="103">
        <f t="shared" ca="1" si="2"/>
        <v>43923.47386273148</v>
      </c>
      <c r="AE26" s="103">
        <f t="shared" ca="1" si="2"/>
        <v>43924.47386273148</v>
      </c>
      <c r="AF26" s="103">
        <f t="shared" ca="1" si="2"/>
        <v>43925.47386273148</v>
      </c>
      <c r="AG26" s="103">
        <f t="shared" ca="1" si="2"/>
        <v>43926.47386273148</v>
      </c>
      <c r="AH26" s="103">
        <f t="shared" ca="1" si="2"/>
        <v>43927.47386273148</v>
      </c>
      <c r="AI26" s="104">
        <f t="shared" ca="1" si="2"/>
        <v>43928.47386273148</v>
      </c>
      <c r="AJ26" s="102">
        <f t="shared" ca="1" si="2"/>
        <v>43929.47386273148</v>
      </c>
      <c r="AK26" s="103">
        <f t="shared" ca="1" si="2"/>
        <v>43930.47386273148</v>
      </c>
      <c r="AL26" s="103">
        <f t="shared" ca="1" si="2"/>
        <v>43931.47386273148</v>
      </c>
      <c r="AM26" s="103">
        <f t="shared" ca="1" si="2"/>
        <v>43932.47386273148</v>
      </c>
      <c r="AN26" s="103">
        <f t="shared" ca="1" si="2"/>
        <v>43933.47386273148</v>
      </c>
      <c r="AO26" s="103">
        <f ca="1">AP26-1</f>
        <v>43934.47386273148</v>
      </c>
      <c r="AP26" s="124">
        <f ca="1">NOW()</f>
        <v>43935.47386273148</v>
      </c>
    </row>
    <row r="27" spans="1:43" x14ac:dyDescent="0.25">
      <c r="A27" s="148" t="s">
        <v>201</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202</v>
      </c>
      <c r="B28" s="281" t="s">
        <v>170</v>
      </c>
      <c r="C28" s="282"/>
      <c r="D28" s="282"/>
      <c r="E28" s="282"/>
      <c r="F28" s="282"/>
      <c r="G28" s="283"/>
      <c r="H28" s="287" t="s">
        <v>157</v>
      </c>
      <c r="I28" s="287"/>
      <c r="J28" s="287"/>
      <c r="K28" s="287"/>
      <c r="L28" s="287"/>
      <c r="M28" s="287"/>
      <c r="N28" s="288"/>
      <c r="O28" s="286" t="s">
        <v>158</v>
      </c>
      <c r="P28" s="287"/>
      <c r="Q28" s="287"/>
      <c r="R28" s="287"/>
      <c r="S28" s="287"/>
      <c r="T28" s="287"/>
      <c r="U28" s="288"/>
      <c r="V28" s="286" t="s">
        <v>159</v>
      </c>
      <c r="W28" s="287"/>
      <c r="X28" s="287"/>
      <c r="Y28" s="287"/>
      <c r="Z28" s="287"/>
      <c r="AA28" s="287"/>
      <c r="AB28" s="288"/>
      <c r="AC28" s="286" t="s">
        <v>160</v>
      </c>
      <c r="AD28" s="287"/>
      <c r="AE28" s="287"/>
      <c r="AF28" s="287"/>
      <c r="AG28" s="287"/>
      <c r="AH28" s="287"/>
      <c r="AI28" s="288"/>
      <c r="AJ28" s="286" t="s">
        <v>161</v>
      </c>
      <c r="AK28" s="287"/>
      <c r="AL28" s="287"/>
      <c r="AM28" s="287"/>
      <c r="AN28" s="287"/>
      <c r="AO28" s="287"/>
      <c r="AP28" s="288"/>
    </row>
    <row r="29" spans="1:43" x14ac:dyDescent="0.25">
      <c r="B29" s="63" t="s">
        <v>182</v>
      </c>
      <c r="C29" s="109"/>
      <c r="D29" s="109"/>
      <c r="E29" s="109"/>
      <c r="F29" s="109"/>
      <c r="G29" s="110"/>
      <c r="H29" s="284" t="s">
        <v>169</v>
      </c>
      <c r="I29" s="284"/>
      <c r="J29" s="284"/>
      <c r="K29" s="284"/>
      <c r="L29" s="284"/>
      <c r="M29" s="284"/>
      <c r="N29" s="284"/>
      <c r="O29" s="284"/>
      <c r="P29" s="284"/>
      <c r="Q29" s="284"/>
      <c r="R29" s="284"/>
      <c r="S29" s="284"/>
      <c r="T29" s="284"/>
      <c r="U29" s="284"/>
      <c r="V29" s="284"/>
      <c r="W29" s="284"/>
      <c r="X29" s="284"/>
      <c r="Y29" s="284"/>
      <c r="Z29" s="284"/>
      <c r="AA29" s="284"/>
      <c r="AB29" s="284"/>
      <c r="AC29" s="284"/>
      <c r="AD29" s="284"/>
      <c r="AE29" s="284"/>
      <c r="AF29" s="284"/>
      <c r="AG29" s="284"/>
      <c r="AH29" s="284"/>
      <c r="AI29" s="284"/>
      <c r="AJ29" s="284"/>
      <c r="AK29" s="284"/>
      <c r="AL29" s="284"/>
      <c r="AM29" s="284"/>
      <c r="AN29" s="284"/>
      <c r="AO29" s="284"/>
      <c r="AP29" s="285"/>
    </row>
    <row r="31" spans="1:43" x14ac:dyDescent="0.25">
      <c r="B31" s="69" t="s">
        <v>171</v>
      </c>
      <c r="C31" s="152" t="s">
        <v>296</v>
      </c>
      <c r="D31" s="21"/>
      <c r="E31" s="97">
        <f>VLOOKUP(C31,B43:C54,2,FALSE)</f>
        <v>8.5000000000000006E-3</v>
      </c>
      <c r="F31" s="21"/>
      <c r="G31" s="21"/>
      <c r="H31" s="21"/>
      <c r="I31" s="17"/>
    </row>
    <row r="32" spans="1:43" x14ac:dyDescent="0.25">
      <c r="B32" s="53" t="s">
        <v>199</v>
      </c>
      <c r="C32" s="28"/>
      <c r="D32" s="28"/>
      <c r="E32" s="153">
        <v>1</v>
      </c>
      <c r="F32" s="28"/>
      <c r="G32" s="28"/>
      <c r="H32" s="28"/>
      <c r="I32" s="29"/>
    </row>
    <row r="33" spans="2:9" x14ac:dyDescent="0.25">
      <c r="B33" s="53" t="s">
        <v>173</v>
      </c>
      <c r="C33" s="28"/>
      <c r="D33" s="28"/>
      <c r="E33" s="28">
        <v>3</v>
      </c>
      <c r="F33" s="28" t="s">
        <v>174</v>
      </c>
      <c r="G33" s="28"/>
      <c r="H33" s="28"/>
      <c r="I33" s="29"/>
    </row>
    <row r="34" spans="2:9" x14ac:dyDescent="0.25">
      <c r="B34" s="53" t="s">
        <v>295</v>
      </c>
      <c r="C34" s="28"/>
      <c r="D34" s="28"/>
      <c r="E34" s="154">
        <f>1-Projections!B6</f>
        <v>0.18999999999999995</v>
      </c>
      <c r="F34" s="28" t="s">
        <v>197</v>
      </c>
      <c r="G34" s="28"/>
      <c r="H34" s="28"/>
      <c r="I34" s="29"/>
    </row>
    <row r="35" spans="2:9" x14ac:dyDescent="0.25">
      <c r="B35" s="53" t="s">
        <v>179</v>
      </c>
      <c r="C35" s="28"/>
      <c r="D35" s="28"/>
      <c r="E35" s="154">
        <v>0.92</v>
      </c>
      <c r="F35" s="28" t="s">
        <v>198</v>
      </c>
      <c r="G35" s="28"/>
      <c r="H35" s="28"/>
      <c r="I35" s="29"/>
    </row>
    <row r="36" spans="2:9" x14ac:dyDescent="0.25">
      <c r="B36" s="53" t="s">
        <v>180</v>
      </c>
      <c r="C36" s="28"/>
      <c r="D36" s="28"/>
      <c r="E36" s="154">
        <v>0.05</v>
      </c>
      <c r="F36" s="28" t="s">
        <v>198</v>
      </c>
      <c r="G36" s="28"/>
      <c r="H36" s="28"/>
      <c r="I36" s="29"/>
    </row>
    <row r="37" spans="2:9" x14ac:dyDescent="0.25">
      <c r="B37" s="53" t="s">
        <v>181</v>
      </c>
      <c r="C37" s="28"/>
      <c r="D37" s="28"/>
      <c r="E37" s="154">
        <v>0.03</v>
      </c>
      <c r="F37" s="28" t="s">
        <v>198</v>
      </c>
      <c r="G37" s="28"/>
      <c r="H37" s="28"/>
      <c r="I37" s="29"/>
    </row>
    <row r="38" spans="2:9" x14ac:dyDescent="0.25">
      <c r="B38" s="53" t="s">
        <v>184</v>
      </c>
      <c r="C38" s="28"/>
      <c r="D38" s="28"/>
      <c r="E38" s="150">
        <v>2</v>
      </c>
      <c r="F38" s="28" t="s">
        <v>185</v>
      </c>
      <c r="G38" s="28"/>
      <c r="H38" s="28"/>
      <c r="I38" s="29"/>
    </row>
    <row r="39" spans="2:9" x14ac:dyDescent="0.25">
      <c r="B39" s="49" t="s">
        <v>186</v>
      </c>
      <c r="C39" s="151"/>
      <c r="D39" s="51"/>
      <c r="E39" s="130">
        <v>4</v>
      </c>
      <c r="F39" s="51" t="s">
        <v>185</v>
      </c>
      <c r="G39" s="51" t="s">
        <v>187</v>
      </c>
      <c r="H39" s="51"/>
      <c r="I39" s="75"/>
    </row>
    <row r="42" spans="2:9" x14ac:dyDescent="0.25">
      <c r="B42" t="s">
        <v>193</v>
      </c>
    </row>
    <row r="43" spans="2:9" x14ac:dyDescent="0.25">
      <c r="B43" s="16" t="s">
        <v>192</v>
      </c>
      <c r="C43" s="129">
        <v>3.5000000000000003E-2</v>
      </c>
    </row>
    <row r="44" spans="2:9" x14ac:dyDescent="0.25">
      <c r="B44" s="53" t="s">
        <v>191</v>
      </c>
      <c r="C44" s="39">
        <v>2.3E-2</v>
      </c>
    </row>
    <row r="45" spans="2:9" x14ac:dyDescent="0.25">
      <c r="B45" s="53" t="s">
        <v>296</v>
      </c>
      <c r="C45" s="39">
        <f>Projections!B13</f>
        <v>8.5000000000000006E-3</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203</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H86"/>
  <sheetViews>
    <sheetView tabSelected="1" topLeftCell="B1" zoomScaleNormal="100" workbookViewId="0">
      <selection activeCell="X6" sqref="X6"/>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5" width="10.7109375" bestFit="1" customWidth="1"/>
    <col min="6" max="6" width="11.28515625" customWidth="1"/>
    <col min="7" max="7" width="10.7109375" customWidth="1"/>
    <col min="8" max="8" width="10.85546875" bestFit="1" customWidth="1"/>
    <col min="9" max="9" width="10.7109375" bestFit="1" customWidth="1"/>
    <col min="10" max="11" width="10.85546875" bestFit="1" customWidth="1"/>
    <col min="12" max="12" width="10.5703125" customWidth="1"/>
    <col min="13" max="13" width="11.28515625" bestFit="1" customWidth="1"/>
    <col min="14" max="17" width="11" customWidth="1"/>
    <col min="18" max="18" width="10.7109375" customWidth="1"/>
    <col min="19" max="20" width="10.85546875" bestFit="1" customWidth="1"/>
    <col min="21" max="21" width="10.85546875" customWidth="1"/>
    <col min="22" max="22" width="10.7109375" bestFit="1" customWidth="1"/>
    <col min="23" max="23" width="10.85546875" bestFit="1" customWidth="1"/>
    <col min="24" max="24" width="11.28515625" customWidth="1"/>
    <col min="25" max="26" width="10.7109375" bestFit="1" customWidth="1"/>
    <col min="27" max="27" width="10.7109375" customWidth="1"/>
    <col min="28" max="28" width="11.28515625" customWidth="1"/>
    <col min="29" max="29" width="10.85546875" bestFit="1" customWidth="1"/>
    <col min="30" max="30" width="11.28515625" bestFit="1" customWidth="1"/>
    <col min="31" max="31" width="10.5703125" style="81" bestFit="1" customWidth="1"/>
    <col min="32" max="32" width="11.140625" bestFit="1" customWidth="1"/>
    <col min="33" max="33" width="12.140625" bestFit="1" customWidth="1"/>
  </cols>
  <sheetData>
    <row r="1" spans="1:31" x14ac:dyDescent="0.25">
      <c r="D1" t="s">
        <v>224</v>
      </c>
    </row>
    <row r="2" spans="1:31" x14ac:dyDescent="0.25">
      <c r="D2" s="173">
        <v>43862</v>
      </c>
      <c r="E2" s="174" t="s">
        <v>271</v>
      </c>
      <c r="F2" s="173">
        <f>D2+14</f>
        <v>43876</v>
      </c>
    </row>
    <row r="3" spans="1:31" x14ac:dyDescent="0.25">
      <c r="F3" s="173">
        <v>43891</v>
      </c>
      <c r="G3" s="174" t="s">
        <v>272</v>
      </c>
      <c r="H3" s="174"/>
      <c r="I3" s="174"/>
      <c r="J3" s="173">
        <f>F3+14</f>
        <v>43905</v>
      </c>
    </row>
    <row r="4" spans="1:31" x14ac:dyDescent="0.25">
      <c r="G4" s="173">
        <v>43895</v>
      </c>
      <c r="H4" s="174" t="s">
        <v>273</v>
      </c>
      <c r="I4" s="174"/>
      <c r="J4" s="174"/>
      <c r="K4" s="173">
        <f>G4+14</f>
        <v>43909</v>
      </c>
    </row>
    <row r="5" spans="1:31" x14ac:dyDescent="0.25">
      <c r="A5" s="16" t="s">
        <v>0</v>
      </c>
      <c r="B5" s="169">
        <v>25634000</v>
      </c>
      <c r="C5" t="s">
        <v>151</v>
      </c>
      <c r="I5" s="173">
        <v>43901</v>
      </c>
      <c r="J5" s="174" t="s">
        <v>277</v>
      </c>
      <c r="K5" s="174"/>
      <c r="L5" s="174"/>
      <c r="M5" s="173">
        <f>I5+14</f>
        <v>43915</v>
      </c>
    </row>
    <row r="6" spans="1:31" x14ac:dyDescent="0.25">
      <c r="A6" s="16" t="s">
        <v>218</v>
      </c>
      <c r="B6" s="170">
        <v>0.81</v>
      </c>
      <c r="C6" t="s">
        <v>217</v>
      </c>
      <c r="J6" s="173">
        <v>43906</v>
      </c>
      <c r="K6" s="174" t="s">
        <v>274</v>
      </c>
      <c r="L6" s="174"/>
      <c r="M6" s="174"/>
      <c r="N6" s="173">
        <f>J6+14</f>
        <v>43920</v>
      </c>
      <c r="O6" s="181"/>
      <c r="P6" s="181"/>
      <c r="Q6" s="181"/>
    </row>
    <row r="7" spans="1:31" x14ac:dyDescent="0.25">
      <c r="A7" s="49" t="s">
        <v>220</v>
      </c>
      <c r="B7" s="128">
        <v>0.2</v>
      </c>
      <c r="K7" s="173">
        <v>43908</v>
      </c>
      <c r="L7" s="208" t="s">
        <v>275</v>
      </c>
      <c r="M7" s="208"/>
      <c r="N7" s="173">
        <f>K7+14</f>
        <v>43922</v>
      </c>
      <c r="O7" s="181"/>
      <c r="P7" s="181"/>
      <c r="Q7" s="181"/>
    </row>
    <row r="8" spans="1:31" x14ac:dyDescent="0.25">
      <c r="A8" s="53" t="s">
        <v>144</v>
      </c>
      <c r="B8" s="125">
        <v>2.6</v>
      </c>
      <c r="C8" s="76">
        <f>(B5/1000)*B8</f>
        <v>66648.400000000009</v>
      </c>
      <c r="L8" s="173">
        <v>43911</v>
      </c>
      <c r="M8" s="174" t="s">
        <v>276</v>
      </c>
      <c r="N8" s="173">
        <f>L8+14</f>
        <v>43925</v>
      </c>
      <c r="O8" s="181"/>
      <c r="P8" s="181"/>
      <c r="Q8" s="181"/>
    </row>
    <row r="9" spans="1:31" x14ac:dyDescent="0.25">
      <c r="A9" s="53" t="s">
        <v>145</v>
      </c>
      <c r="B9" s="125">
        <v>7.4</v>
      </c>
      <c r="C9" s="73">
        <f>(B5/100000)*B9</f>
        <v>1896.9159999999999</v>
      </c>
      <c r="L9" s="173">
        <v>43913</v>
      </c>
      <c r="M9" s="174" t="s">
        <v>221</v>
      </c>
      <c r="N9" s="173">
        <f>L9+14</f>
        <v>43927</v>
      </c>
      <c r="O9" s="181"/>
      <c r="P9" s="181"/>
      <c r="Q9" s="181"/>
      <c r="V9" s="176"/>
    </row>
    <row r="10" spans="1:31" x14ac:dyDescent="0.25">
      <c r="A10" s="16" t="s">
        <v>176</v>
      </c>
      <c r="B10" s="126">
        <v>0.92</v>
      </c>
      <c r="C10" s="2" t="s">
        <v>293</v>
      </c>
      <c r="M10" s="175">
        <v>43915</v>
      </c>
      <c r="N10" s="174" t="s">
        <v>222</v>
      </c>
      <c r="O10" s="173">
        <f>M10+14</f>
        <v>43929</v>
      </c>
      <c r="P10" s="81"/>
      <c r="Q10" s="81"/>
    </row>
    <row r="11" spans="1:31" x14ac:dyDescent="0.25">
      <c r="A11" s="53" t="s">
        <v>177</v>
      </c>
      <c r="B11" s="127">
        <v>0.05</v>
      </c>
      <c r="C11" s="2" t="s">
        <v>292</v>
      </c>
      <c r="L11" s="28"/>
      <c r="N11" s="173">
        <v>43920</v>
      </c>
      <c r="O11" s="174" t="s">
        <v>223</v>
      </c>
      <c r="P11" s="173">
        <f>N11+14</f>
        <v>43934</v>
      </c>
      <c r="Q11" s="181"/>
      <c r="V11" s="176"/>
    </row>
    <row r="12" spans="1:31" x14ac:dyDescent="0.25">
      <c r="A12" s="49" t="s">
        <v>213</v>
      </c>
      <c r="B12" s="128">
        <v>0.03</v>
      </c>
      <c r="C12" s="2" t="s">
        <v>291</v>
      </c>
      <c r="D12" s="240" t="s">
        <v>285</v>
      </c>
      <c r="K12" s="28"/>
      <c r="L12" s="251" t="s">
        <v>164</v>
      </c>
      <c r="M12" s="252"/>
      <c r="N12" s="253"/>
      <c r="O12" s="59"/>
      <c r="P12" s="59"/>
      <c r="Q12" s="59"/>
      <c r="R12" s="81"/>
      <c r="S12" s="81"/>
      <c r="AC12" s="191"/>
    </row>
    <row r="13" spans="1:31" x14ac:dyDescent="0.25">
      <c r="A13" s="49" t="s">
        <v>219</v>
      </c>
      <c r="B13" s="77">
        <v>8.5000000000000006E-3</v>
      </c>
      <c r="C13" s="2"/>
      <c r="D13" s="194" t="s">
        <v>270</v>
      </c>
      <c r="L13" s="254" t="s">
        <v>152</v>
      </c>
      <c r="M13" s="208"/>
      <c r="N13" s="255"/>
      <c r="O13" s="59"/>
      <c r="P13" s="59"/>
      <c r="Q13" s="59"/>
      <c r="R13" s="81"/>
      <c r="S13" s="81"/>
      <c r="AB13" s="192"/>
    </row>
    <row r="14" spans="1:31" x14ac:dyDescent="0.25">
      <c r="A14" s="167" t="s">
        <v>206</v>
      </c>
      <c r="B14" s="168">
        <v>43855</v>
      </c>
      <c r="C14" s="2"/>
      <c r="D14" s="267">
        <f>(AB17-G17)/(LOG(AB18/G18)/LOG(2))</f>
        <v>25.944444444444443</v>
      </c>
      <c r="E14" s="191"/>
      <c r="J14" s="28"/>
      <c r="K14" s="28"/>
      <c r="L14" s="53"/>
      <c r="M14" s="208" t="s">
        <v>153</v>
      </c>
      <c r="N14" s="255"/>
      <c r="O14" s="59"/>
      <c r="P14" s="59"/>
      <c r="Q14" s="59"/>
      <c r="R14" s="81"/>
      <c r="S14" s="81"/>
    </row>
    <row r="15" spans="1:31" x14ac:dyDescent="0.25">
      <c r="A15" s="28"/>
      <c r="B15" s="62" t="s">
        <v>150</v>
      </c>
      <c r="C15" s="22"/>
      <c r="D15" s="28"/>
      <c r="E15" s="28"/>
      <c r="F15" s="28"/>
      <c r="G15" s="28"/>
      <c r="H15" s="28"/>
      <c r="I15" s="28"/>
      <c r="J15" s="28"/>
      <c r="K15" s="28"/>
      <c r="L15" s="53"/>
      <c r="M15" s="28"/>
      <c r="N15" s="255" t="s">
        <v>154</v>
      </c>
      <c r="O15" s="59"/>
      <c r="P15" s="59"/>
      <c r="Q15" s="59"/>
      <c r="R15" s="59"/>
      <c r="S15" s="59"/>
      <c r="T15" s="28"/>
      <c r="U15" s="28"/>
      <c r="V15" s="28"/>
      <c r="W15" s="28"/>
      <c r="X15" s="28"/>
      <c r="Y15" s="28"/>
      <c r="Z15" s="28"/>
      <c r="AA15" s="28"/>
      <c r="AB15" s="240" t="s">
        <v>287</v>
      </c>
      <c r="AE15" s="166"/>
    </row>
    <row r="16" spans="1:31" x14ac:dyDescent="0.25">
      <c r="A16" s="65" t="s">
        <v>133</v>
      </c>
      <c r="B16" s="206">
        <v>43892</v>
      </c>
      <c r="C16" s="206">
        <v>43908</v>
      </c>
      <c r="D16" s="206">
        <v>43914</v>
      </c>
      <c r="E16" s="206">
        <v>43919</v>
      </c>
      <c r="F16" s="206"/>
      <c r="G16" s="207" t="s">
        <v>165</v>
      </c>
      <c r="H16" s="28"/>
      <c r="I16" s="28"/>
      <c r="J16" s="28"/>
      <c r="K16" s="28"/>
      <c r="L16" s="49"/>
      <c r="M16" s="51"/>
      <c r="N16" s="75"/>
      <c r="O16" s="194" t="s">
        <v>288</v>
      </c>
      <c r="P16" s="197" t="s">
        <v>286</v>
      </c>
      <c r="Q16" s="28"/>
      <c r="R16" s="28"/>
      <c r="S16" s="28"/>
      <c r="U16" s="28"/>
      <c r="Y16" s="28"/>
      <c r="Z16" s="28"/>
      <c r="AA16" s="28"/>
      <c r="AE16" s="263" t="s">
        <v>294</v>
      </c>
    </row>
    <row r="17" spans="1:34" x14ac:dyDescent="0.25">
      <c r="A17" s="16" t="s">
        <v>12</v>
      </c>
      <c r="B17" s="171">
        <v>4</v>
      </c>
      <c r="C17" s="172">
        <v>3</v>
      </c>
      <c r="D17" s="96">
        <v>5</v>
      </c>
      <c r="E17" s="21">
        <v>40</v>
      </c>
      <c r="F17" s="21"/>
      <c r="G17" s="237">
        <v>43892</v>
      </c>
      <c r="H17" s="238">
        <f>G17+HLOOKUP(G17+1, $B$16:$F$17,2,TRUE)</f>
        <v>43896</v>
      </c>
      <c r="I17" s="238">
        <f t="shared" ref="I17:AA17" si="0">H17+HLOOKUP(H17+1, $B$16:$F$17,2,TRUE)</f>
        <v>43900</v>
      </c>
      <c r="J17" s="238">
        <f t="shared" si="0"/>
        <v>43904</v>
      </c>
      <c r="K17" s="238">
        <f t="shared" si="0"/>
        <v>43908</v>
      </c>
      <c r="L17" s="242">
        <f t="shared" si="0"/>
        <v>43911</v>
      </c>
      <c r="M17" s="243">
        <f t="shared" si="0"/>
        <v>43914</v>
      </c>
      <c r="N17" s="289">
        <f t="shared" si="0"/>
        <v>43919</v>
      </c>
      <c r="O17" s="290">
        <f>$N$17+(($R$17-$N$17)*0.25)</f>
        <v>43929</v>
      </c>
      <c r="P17" s="292">
        <f>$N$17+(($R$17-$N$17)*0.5)</f>
        <v>43939</v>
      </c>
      <c r="Q17" s="292">
        <f>$N$17+(($R$17-$N$17)*0.75)</f>
        <v>43949</v>
      </c>
      <c r="R17" s="244">
        <f>N17+HLOOKUP(N17+1, $B$16:$F$17,2,TRUE)</f>
        <v>43959</v>
      </c>
      <c r="S17" s="291">
        <f t="shared" si="0"/>
        <v>43999</v>
      </c>
      <c r="T17" s="291">
        <f t="shared" si="0"/>
        <v>44039</v>
      </c>
      <c r="U17" s="291">
        <f t="shared" si="0"/>
        <v>44079</v>
      </c>
      <c r="V17" s="291">
        <f t="shared" si="0"/>
        <v>44119</v>
      </c>
      <c r="W17" s="291">
        <f t="shared" si="0"/>
        <v>44159</v>
      </c>
      <c r="X17" s="291">
        <f t="shared" si="0"/>
        <v>44199</v>
      </c>
      <c r="Y17" s="291">
        <f t="shared" si="0"/>
        <v>44239</v>
      </c>
      <c r="Z17" s="291">
        <f t="shared" si="0"/>
        <v>44279</v>
      </c>
      <c r="AA17" s="291">
        <f t="shared" si="0"/>
        <v>44319</v>
      </c>
      <c r="AB17" s="298">
        <f>AA17+HLOOKUP(AA17+1, $B$16:$F$17,2,TRUE)</f>
        <v>44359</v>
      </c>
      <c r="AC17" s="293">
        <f>AB17+HLOOKUP(AB17+1, $B$16:$F$17,2,TRUE)</f>
        <v>44399</v>
      </c>
      <c r="AD17" s="239">
        <f>AC17+HLOOKUP(AC17+1, $B$16:$F$17,2,TRUE)</f>
        <v>44439</v>
      </c>
      <c r="AE17" s="264">
        <f>AD17+(7*8)</f>
        <v>44495</v>
      </c>
      <c r="AF17" s="82"/>
      <c r="AG17" s="82"/>
      <c r="AH17" s="81"/>
    </row>
    <row r="18" spans="1:34" x14ac:dyDescent="0.25">
      <c r="A18" s="53" t="s">
        <v>211</v>
      </c>
      <c r="B18" s="28"/>
      <c r="C18" s="28"/>
      <c r="D18" s="28"/>
      <c r="E18" s="28"/>
      <c r="F18" s="28"/>
      <c r="G18" s="234">
        <v>31.25</v>
      </c>
      <c r="H18" s="235">
        <f>G18*2</f>
        <v>62.5</v>
      </c>
      <c r="I18" s="235">
        <f t="shared" ref="I18:Z18" si="1">H18*2</f>
        <v>125</v>
      </c>
      <c r="J18" s="235">
        <f t="shared" si="1"/>
        <v>250</v>
      </c>
      <c r="K18" s="241">
        <f t="shared" si="1"/>
        <v>500</v>
      </c>
      <c r="L18" s="236">
        <f t="shared" si="1"/>
        <v>1000</v>
      </c>
      <c r="M18" s="235">
        <f t="shared" si="1"/>
        <v>2000</v>
      </c>
      <c r="N18" s="235">
        <f t="shared" si="1"/>
        <v>4000</v>
      </c>
      <c r="O18" s="236">
        <f>$N$18+(($R$18-$N$18)*0.5)</f>
        <v>6000</v>
      </c>
      <c r="P18" s="235">
        <f>$N$18+(($R$18-$N$18)*0.75)</f>
        <v>7000</v>
      </c>
      <c r="Q18" s="235">
        <f>$N$18+(($R$18-$N$18)*0.88)</f>
        <v>7520</v>
      </c>
      <c r="R18" s="236">
        <f>N18*2</f>
        <v>8000</v>
      </c>
      <c r="S18" s="235">
        <f>R18*2</f>
        <v>16000</v>
      </c>
      <c r="T18" s="235">
        <f>S18*2</f>
        <v>32000</v>
      </c>
      <c r="U18" s="235">
        <f>T18*2</f>
        <v>64000</v>
      </c>
      <c r="V18" s="235">
        <f>U18*2</f>
        <v>128000</v>
      </c>
      <c r="W18" s="235">
        <f t="shared" si="1"/>
        <v>256000</v>
      </c>
      <c r="X18" s="235">
        <f t="shared" si="1"/>
        <v>512000</v>
      </c>
      <c r="Y18" s="235">
        <f t="shared" si="1"/>
        <v>1024000</v>
      </c>
      <c r="Z18" s="235">
        <f t="shared" si="1"/>
        <v>2048000</v>
      </c>
      <c r="AA18" s="235">
        <f>Z18*2</f>
        <v>4096000</v>
      </c>
      <c r="AB18" s="241">
        <f>AA18*2</f>
        <v>8192000</v>
      </c>
      <c r="AC18" s="294">
        <f>AB18*2</f>
        <v>16384000</v>
      </c>
      <c r="AD18" s="223">
        <f>B5</f>
        <v>25634000</v>
      </c>
      <c r="AE18" s="257">
        <f>B5*AE19</f>
        <v>5126800</v>
      </c>
      <c r="AF18" s="57"/>
      <c r="AG18" s="57"/>
      <c r="AH18" s="81"/>
    </row>
    <row r="19" spans="1:34" x14ac:dyDescent="0.25">
      <c r="A19" s="53" t="s">
        <v>212</v>
      </c>
      <c r="B19" s="28"/>
      <c r="C19" s="28"/>
      <c r="D19" s="28"/>
      <c r="E19" s="28"/>
      <c r="F19" s="28"/>
      <c r="G19" s="211">
        <f t="shared" ref="G19:Z19" si="2">G18/$B$5</f>
        <v>1.2190840290239525E-6</v>
      </c>
      <c r="H19" s="212">
        <f t="shared" si="2"/>
        <v>2.438168058047905E-6</v>
      </c>
      <c r="I19" s="78">
        <f t="shared" si="2"/>
        <v>4.87633611609581E-6</v>
      </c>
      <c r="J19" s="48">
        <f t="shared" si="2"/>
        <v>9.7526722321916199E-6</v>
      </c>
      <c r="K19" s="210">
        <f t="shared" si="2"/>
        <v>1.950534446438324E-5</v>
      </c>
      <c r="L19" s="101">
        <f t="shared" si="2"/>
        <v>3.901068892876648E-5</v>
      </c>
      <c r="M19" s="48">
        <f t="shared" si="2"/>
        <v>7.8021377857532959E-5</v>
      </c>
      <c r="N19" s="48">
        <f t="shared" si="2"/>
        <v>1.5604275571506592E-4</v>
      </c>
      <c r="O19" s="101">
        <f t="shared" ref="O19:Q19" si="3">O18/$B$5</f>
        <v>2.3406413357259889E-4</v>
      </c>
      <c r="P19" s="48">
        <f t="shared" si="3"/>
        <v>2.7307482250136535E-4</v>
      </c>
      <c r="Q19" s="48">
        <f t="shared" si="3"/>
        <v>2.9336038074432392E-4</v>
      </c>
      <c r="R19" s="18">
        <f t="shared" si="2"/>
        <v>3.1208551143013184E-4</v>
      </c>
      <c r="S19" s="26">
        <f>S18/$B$5</f>
        <v>6.2417102286026367E-4</v>
      </c>
      <c r="T19" s="26">
        <f>T18/$B$5</f>
        <v>1.2483420457205273E-3</v>
      </c>
      <c r="U19" s="26">
        <f>U18/$B$5</f>
        <v>2.4966840914410547E-3</v>
      </c>
      <c r="V19" s="27">
        <f>V18/$B$5</f>
        <v>4.9933681828821094E-3</v>
      </c>
      <c r="W19" s="87">
        <f t="shared" si="2"/>
        <v>9.9867363657642188E-3</v>
      </c>
      <c r="X19" s="87">
        <f t="shared" si="2"/>
        <v>1.9973472731528438E-2</v>
      </c>
      <c r="Y19" s="87">
        <f t="shared" si="2"/>
        <v>3.9946945463056875E-2</v>
      </c>
      <c r="Z19" s="87">
        <f t="shared" si="2"/>
        <v>7.989389092611375E-2</v>
      </c>
      <c r="AA19" s="87">
        <f>AA18/$B$5</f>
        <v>0.1597877818522275</v>
      </c>
      <c r="AB19" s="299">
        <f>AB18/$B$5</f>
        <v>0.319575563704455</v>
      </c>
      <c r="AC19" s="295">
        <f>AC18/$B$5</f>
        <v>0.63915112740891</v>
      </c>
      <c r="AD19" s="193">
        <f>AD18/$B$5</f>
        <v>1</v>
      </c>
      <c r="AE19" s="258">
        <f>B7</f>
        <v>0.2</v>
      </c>
      <c r="AF19" s="37"/>
      <c r="AG19" s="37"/>
      <c r="AH19" s="81"/>
    </row>
    <row r="20" spans="1:34" x14ac:dyDescent="0.25">
      <c r="A20" s="53" t="s">
        <v>266</v>
      </c>
      <c r="B20" s="28"/>
      <c r="C20" s="28"/>
      <c r="D20" s="28"/>
      <c r="E20" s="28"/>
      <c r="F20" s="28"/>
      <c r="G20" s="268">
        <f t="shared" ref="G20:S20" si="4">MAX(G18-(G26-G27)-(G28-G29)-(G30-G31),0)</f>
        <v>23.164089590657923</v>
      </c>
      <c r="H20" s="269">
        <f t="shared" si="4"/>
        <v>50.699712342982444</v>
      </c>
      <c r="I20" s="269">
        <f t="shared" si="4"/>
        <v>107.77908340074089</v>
      </c>
      <c r="J20" s="269">
        <f t="shared" si="4"/>
        <v>224.86841192873166</v>
      </c>
      <c r="K20" s="270">
        <f t="shared" si="4"/>
        <v>464.13626956465896</v>
      </c>
      <c r="L20" s="268">
        <f t="shared" si="4"/>
        <v>933.37965322963009</v>
      </c>
      <c r="M20" s="269">
        <f t="shared" si="4"/>
        <v>1895.6439393939395</v>
      </c>
      <c r="N20" s="269">
        <f t="shared" si="4"/>
        <v>3736.0594121267809</v>
      </c>
      <c r="O20" s="268">
        <f t="shared" ref="O20:Q20" si="5">MAX(O18-(O26-O27)-(O28-O29)-(O30-O31),0)</f>
        <v>3471.2054704929214</v>
      </c>
      <c r="P20" s="269">
        <f t="shared" si="5"/>
        <v>213.47965272603528</v>
      </c>
      <c r="Q20" s="269">
        <f t="shared" si="5"/>
        <v>201.29440707794765</v>
      </c>
      <c r="R20" s="268">
        <f>MAX(R18-(R26-R27)-(R28-R29)-(R30-R31),0)</f>
        <v>50.045090606407996</v>
      </c>
      <c r="S20" s="269">
        <f t="shared" si="4"/>
        <v>0</v>
      </c>
      <c r="T20" s="269">
        <f>MAX(T18-(T26-T27)-(T28-T29)-(T30-T31),0)</f>
        <v>0</v>
      </c>
      <c r="U20" s="269">
        <f t="shared" ref="U20:AD20" si="6">MAX(U18-(U26-U27)-(U28-U29)-(U30-U31),0)</f>
        <v>0</v>
      </c>
      <c r="V20" s="269">
        <f t="shared" si="6"/>
        <v>0</v>
      </c>
      <c r="W20" s="269">
        <f t="shared" si="6"/>
        <v>0</v>
      </c>
      <c r="X20" s="269">
        <f t="shared" si="6"/>
        <v>0</v>
      </c>
      <c r="Y20" s="269">
        <f t="shared" si="6"/>
        <v>5620.9133615605388</v>
      </c>
      <c r="Z20" s="269">
        <f t="shared" si="6"/>
        <v>20659.122036985864</v>
      </c>
      <c r="AA20" s="269">
        <f t="shared" si="6"/>
        <v>78392.290038083287</v>
      </c>
      <c r="AB20" s="270">
        <f t="shared" si="6"/>
        <v>379083.02406340197</v>
      </c>
      <c r="AC20" s="296">
        <f t="shared" si="6"/>
        <v>1116639.2797459597</v>
      </c>
      <c r="AD20" s="216">
        <f t="shared" si="6"/>
        <v>72952.291786333313</v>
      </c>
      <c r="AE20" s="259"/>
      <c r="AF20" s="57"/>
      <c r="AG20" s="57"/>
      <c r="AH20" s="81"/>
    </row>
    <row r="21" spans="1:34" x14ac:dyDescent="0.25">
      <c r="A21" s="53" t="s">
        <v>289</v>
      </c>
      <c r="B21" s="28"/>
      <c r="C21" s="28"/>
      <c r="D21" s="28"/>
      <c r="E21" s="28"/>
      <c r="F21" s="28"/>
      <c r="G21" s="98">
        <f>G18-G20</f>
        <v>8.0859104093420768</v>
      </c>
      <c r="H21" s="99">
        <f t="shared" ref="H21:AD21" si="7">H18-H20</f>
        <v>11.800287657017556</v>
      </c>
      <c r="I21" s="99">
        <f t="shared" si="7"/>
        <v>17.220916599259112</v>
      </c>
      <c r="J21" s="99">
        <f t="shared" si="7"/>
        <v>25.131588071268339</v>
      </c>
      <c r="K21" s="136">
        <f t="shared" si="7"/>
        <v>35.86373043534104</v>
      </c>
      <c r="L21" s="300">
        <f t="shared" si="7"/>
        <v>66.620346770369906</v>
      </c>
      <c r="M21" s="135">
        <f t="shared" si="7"/>
        <v>104.35606060606051</v>
      </c>
      <c r="N21" s="135">
        <f t="shared" si="7"/>
        <v>263.9405878732191</v>
      </c>
      <c r="O21" s="300">
        <f t="shared" ref="O21:Q21" si="8">O18-O20</f>
        <v>2528.7945295070786</v>
      </c>
      <c r="P21" s="135">
        <f t="shared" si="8"/>
        <v>6786.5203472739649</v>
      </c>
      <c r="Q21" s="135">
        <f t="shared" si="8"/>
        <v>7318.7055929220523</v>
      </c>
      <c r="R21" s="300">
        <f>R18-R20</f>
        <v>7949.9549093935921</v>
      </c>
      <c r="S21" s="135">
        <f t="shared" si="7"/>
        <v>16000</v>
      </c>
      <c r="T21" s="135">
        <f t="shared" si="7"/>
        <v>32000</v>
      </c>
      <c r="U21" s="135">
        <f t="shared" si="7"/>
        <v>64000</v>
      </c>
      <c r="V21" s="135">
        <f t="shared" si="7"/>
        <v>128000</v>
      </c>
      <c r="W21" s="135">
        <f t="shared" si="7"/>
        <v>256000</v>
      </c>
      <c r="X21" s="135">
        <f t="shared" si="7"/>
        <v>512000</v>
      </c>
      <c r="Y21" s="135">
        <f t="shared" si="7"/>
        <v>1018379.0866384394</v>
      </c>
      <c r="Z21" s="135">
        <f t="shared" si="7"/>
        <v>2027340.8779630142</v>
      </c>
      <c r="AA21" s="135">
        <f t="shared" si="7"/>
        <v>4017607.7099619168</v>
      </c>
      <c r="AB21" s="136">
        <f t="shared" si="7"/>
        <v>7812916.9759365981</v>
      </c>
      <c r="AC21" s="246">
        <f t="shared" si="7"/>
        <v>15267360.720254041</v>
      </c>
      <c r="AD21" s="245">
        <f t="shared" si="7"/>
        <v>25561047.708213668</v>
      </c>
      <c r="AE21" s="260"/>
      <c r="AF21" s="37"/>
      <c r="AG21" s="37"/>
      <c r="AH21" s="81"/>
    </row>
    <row r="22" spans="1:34" x14ac:dyDescent="0.25">
      <c r="A22" s="16" t="s">
        <v>280</v>
      </c>
      <c r="B22" s="21"/>
      <c r="C22" s="21"/>
      <c r="D22" s="21"/>
      <c r="E22" s="21"/>
      <c r="F22" s="21"/>
      <c r="G22" s="232">
        <f t="shared" ref="G22:AB22" si="9">G18/$B$6</f>
        <v>38.580246913580247</v>
      </c>
      <c r="H22" s="233">
        <f t="shared" si="9"/>
        <v>77.160493827160494</v>
      </c>
      <c r="I22" s="233">
        <f t="shared" si="9"/>
        <v>154.32098765432099</v>
      </c>
      <c r="J22" s="233">
        <f t="shared" si="9"/>
        <v>308.64197530864197</v>
      </c>
      <c r="K22" s="233">
        <f t="shared" si="9"/>
        <v>617.28395061728395</v>
      </c>
      <c r="L22" s="232">
        <f t="shared" si="9"/>
        <v>1234.5679012345679</v>
      </c>
      <c r="M22" s="233">
        <f t="shared" si="9"/>
        <v>2469.1358024691358</v>
      </c>
      <c r="N22" s="233">
        <f t="shared" si="9"/>
        <v>4938.2716049382716</v>
      </c>
      <c r="O22" s="232">
        <f t="shared" ref="O22:Q22" si="10">O18/$B$6</f>
        <v>7407.4074074074069</v>
      </c>
      <c r="P22" s="233">
        <f t="shared" si="10"/>
        <v>8641.9753086419751</v>
      </c>
      <c r="Q22" s="233">
        <f t="shared" si="10"/>
        <v>9283.9506172839501</v>
      </c>
      <c r="R22" s="232">
        <f t="shared" si="9"/>
        <v>9876.5432098765432</v>
      </c>
      <c r="S22" s="233">
        <f t="shared" si="9"/>
        <v>19753.086419753086</v>
      </c>
      <c r="T22" s="233">
        <f t="shared" si="9"/>
        <v>39506.172839506173</v>
      </c>
      <c r="U22" s="233">
        <f t="shared" si="9"/>
        <v>79012.345679012345</v>
      </c>
      <c r="V22" s="233">
        <f t="shared" si="9"/>
        <v>158024.69135802469</v>
      </c>
      <c r="W22" s="233">
        <f t="shared" si="9"/>
        <v>316049.38271604938</v>
      </c>
      <c r="X22" s="233">
        <f t="shared" si="9"/>
        <v>632098.76543209876</v>
      </c>
      <c r="Y22" s="233">
        <f t="shared" si="9"/>
        <v>1264197.5308641975</v>
      </c>
      <c r="Z22" s="233">
        <f t="shared" si="9"/>
        <v>2528395.0617283951</v>
      </c>
      <c r="AA22" s="233">
        <f t="shared" si="9"/>
        <v>5056790.1234567901</v>
      </c>
      <c r="AB22" s="256">
        <f t="shared" si="9"/>
        <v>10113580.24691358</v>
      </c>
      <c r="AC22" s="296">
        <f>AC18/$B$6</f>
        <v>20227160.49382716</v>
      </c>
      <c r="AD22" s="216">
        <f>AD18</f>
        <v>25634000</v>
      </c>
      <c r="AE22" s="259">
        <f>($B$5*$B$7)/$B$6</f>
        <v>6329382.7160493825</v>
      </c>
      <c r="AF22" s="37"/>
      <c r="AG22" s="37"/>
      <c r="AH22" s="81"/>
    </row>
    <row r="23" spans="1:34" x14ac:dyDescent="0.25">
      <c r="A23" s="53" t="s">
        <v>216</v>
      </c>
      <c r="B23" s="28"/>
      <c r="C23" s="28"/>
      <c r="D23" s="28"/>
      <c r="E23" s="28"/>
      <c r="F23" s="28"/>
      <c r="G23" s="211">
        <f>G22/$B$5</f>
        <v>1.5050420111406822E-6</v>
      </c>
      <c r="H23" s="78">
        <f t="shared" ref="H23:AB23" si="11">H22/$B$5</f>
        <v>3.0100840222813645E-6</v>
      </c>
      <c r="I23" s="78">
        <f t="shared" si="11"/>
        <v>6.020168044562729E-6</v>
      </c>
      <c r="J23" s="48">
        <f t="shared" si="11"/>
        <v>1.2040336089125458E-5</v>
      </c>
      <c r="K23" s="48">
        <f t="shared" si="11"/>
        <v>2.4080672178250916E-5</v>
      </c>
      <c r="L23" s="101">
        <f t="shared" si="11"/>
        <v>4.8161344356501832E-5</v>
      </c>
      <c r="M23" s="48">
        <f t="shared" si="11"/>
        <v>9.6322688713003664E-5</v>
      </c>
      <c r="N23" s="26">
        <f t="shared" si="11"/>
        <v>1.9264537742600733E-4</v>
      </c>
      <c r="O23" s="18">
        <f t="shared" ref="O23:Q23" si="12">O22/$B$5</f>
        <v>2.8896806613901095E-4</v>
      </c>
      <c r="P23" s="26">
        <f t="shared" si="12"/>
        <v>3.3712941049551278E-4</v>
      </c>
      <c r="Q23" s="26">
        <f t="shared" si="12"/>
        <v>3.6217330956089371E-4</v>
      </c>
      <c r="R23" s="20">
        <f t="shared" si="11"/>
        <v>3.8529075485201465E-4</v>
      </c>
      <c r="S23" s="27">
        <f t="shared" si="11"/>
        <v>7.7058150970402931E-4</v>
      </c>
      <c r="T23" s="27">
        <f t="shared" si="11"/>
        <v>1.5411630194080586E-3</v>
      </c>
      <c r="U23" s="27">
        <f t="shared" si="11"/>
        <v>3.0823260388161172E-3</v>
      </c>
      <c r="V23" s="27">
        <f t="shared" si="11"/>
        <v>6.1646520776322345E-3</v>
      </c>
      <c r="W23" s="87">
        <f t="shared" si="11"/>
        <v>1.2329304155264469E-2</v>
      </c>
      <c r="X23" s="87">
        <f t="shared" si="11"/>
        <v>2.4658608310528938E-2</v>
      </c>
      <c r="Y23" s="87">
        <f t="shared" si="11"/>
        <v>4.9317216621057876E-2</v>
      </c>
      <c r="Z23" s="87">
        <f t="shared" si="11"/>
        <v>9.8634433242115752E-2</v>
      </c>
      <c r="AA23" s="87">
        <f t="shared" si="11"/>
        <v>0.1972688664842315</v>
      </c>
      <c r="AB23" s="299">
        <f t="shared" si="11"/>
        <v>0.39453773296846301</v>
      </c>
      <c r="AC23" s="295">
        <f>AC22/$B$5</f>
        <v>0.78907546593692601</v>
      </c>
      <c r="AD23" s="193">
        <v>1</v>
      </c>
      <c r="AE23" s="258">
        <f>AE22/B5</f>
        <v>0.24691358024691357</v>
      </c>
      <c r="AF23" s="37"/>
      <c r="AG23" s="37"/>
      <c r="AH23" s="81"/>
    </row>
    <row r="24" spans="1:34" x14ac:dyDescent="0.25">
      <c r="A24" s="53" t="s">
        <v>278</v>
      </c>
      <c r="B24" s="28"/>
      <c r="C24" s="28"/>
      <c r="D24" s="28"/>
      <c r="E24" s="28"/>
      <c r="F24" s="28"/>
      <c r="G24" s="213">
        <f t="shared" ref="G24:AB24" si="13">G22-G18</f>
        <v>7.3302469135802468</v>
      </c>
      <c r="H24" s="214">
        <f t="shared" si="13"/>
        <v>14.660493827160494</v>
      </c>
      <c r="I24" s="214">
        <f t="shared" si="13"/>
        <v>29.320987654320987</v>
      </c>
      <c r="J24" s="214">
        <f t="shared" si="13"/>
        <v>58.641975308641975</v>
      </c>
      <c r="K24" s="214">
        <f t="shared" si="13"/>
        <v>117.28395061728395</v>
      </c>
      <c r="L24" s="213">
        <f t="shared" si="13"/>
        <v>234.5679012345679</v>
      </c>
      <c r="M24" s="214">
        <f t="shared" si="13"/>
        <v>469.1358024691358</v>
      </c>
      <c r="N24" s="214">
        <f t="shared" si="13"/>
        <v>938.27160493827159</v>
      </c>
      <c r="O24" s="213">
        <f t="shared" ref="O24:Q24" si="14">O22-O18</f>
        <v>1407.4074074074069</v>
      </c>
      <c r="P24" s="214">
        <f t="shared" si="14"/>
        <v>1641.9753086419751</v>
      </c>
      <c r="Q24" s="214">
        <f t="shared" si="14"/>
        <v>1763.9506172839501</v>
      </c>
      <c r="R24" s="213">
        <f t="shared" si="13"/>
        <v>1876.5432098765432</v>
      </c>
      <c r="S24" s="214">
        <f t="shared" si="13"/>
        <v>3753.0864197530864</v>
      </c>
      <c r="T24" s="214">
        <f t="shared" si="13"/>
        <v>7506.1728395061727</v>
      </c>
      <c r="U24" s="214">
        <f t="shared" si="13"/>
        <v>15012.345679012345</v>
      </c>
      <c r="V24" s="214">
        <f>V22-V18</f>
        <v>30024.691358024691</v>
      </c>
      <c r="W24" s="214">
        <f t="shared" si="13"/>
        <v>60049.382716049382</v>
      </c>
      <c r="X24" s="214">
        <f t="shared" si="13"/>
        <v>120098.76543209876</v>
      </c>
      <c r="Y24" s="214">
        <f t="shared" si="13"/>
        <v>240197.53086419753</v>
      </c>
      <c r="Z24" s="214">
        <f t="shared" si="13"/>
        <v>480395.06172839506</v>
      </c>
      <c r="AA24" s="214">
        <f t="shared" si="13"/>
        <v>960790.12345679011</v>
      </c>
      <c r="AB24" s="215">
        <f t="shared" si="13"/>
        <v>1921580.2469135802</v>
      </c>
      <c r="AC24" s="296">
        <f>AC22</f>
        <v>20227160.49382716</v>
      </c>
      <c r="AD24" s="216">
        <f>AD22</f>
        <v>25634000</v>
      </c>
      <c r="AE24" s="261">
        <f>AE22-AE18</f>
        <v>1202582.7160493825</v>
      </c>
      <c r="AF24" s="37"/>
      <c r="AG24" s="37"/>
      <c r="AH24" s="81"/>
    </row>
    <row r="25" spans="1:34" x14ac:dyDescent="0.25">
      <c r="A25" s="49" t="s">
        <v>279</v>
      </c>
      <c r="B25" s="51"/>
      <c r="C25" s="51"/>
      <c r="D25" s="51"/>
      <c r="E25" s="51"/>
      <c r="F25" s="51"/>
      <c r="G25" s="217">
        <f>MIN((1/$B$6)*(2^(((G17 - 14) - $B$14)/$G$43)),G24)</f>
        <v>7.3302469135802468</v>
      </c>
      <c r="H25" s="218">
        <f>MIN((1/$B$6)*(2^(((H17 - 14) - $B$14)/$G$43)),H24)</f>
        <v>14.660493827160494</v>
      </c>
      <c r="I25" s="218">
        <f t="shared" ref="I25:J25" si="15">MIN((1/$B$6)*(2^(((I17 - 14) - $B$14)/$G$43)),I24)</f>
        <v>23.10912050356831</v>
      </c>
      <c r="J25" s="218">
        <f t="shared" si="15"/>
        <v>33.72462167373638</v>
      </c>
      <c r="K25" s="220">
        <f>MIN(($G$18/$B$6)*(2^(((K17 - 14) - $G$17)/HLOOKUP((K17-14)-$B$14,$G$41:$AE$43,3,TRUE))),K24)</f>
        <v>46.606537277896066</v>
      </c>
      <c r="L25" s="221">
        <f>MIN(($G$18/$B$6)*(2^(((L17 - 14) - $G$17)/HLOOKUP((L17-14)-$B$14,$G$41:$AE$43,3,TRUE))),L24)</f>
        <v>86.576149149278706</v>
      </c>
      <c r="M25" s="220">
        <f>MIN(($G$18/$B$6)*(2^(((M17 - 14) - $G$17)/HLOOKUP((M17-14)-$B$14,$G$41:$AE$43,3,TRUE))),M24)</f>
        <v>135.61541339319115</v>
      </c>
      <c r="N25" s="220">
        <f>MIN(($G$18/$B$6)*(2^(((N17 - 14) - $G$17)/HLOOKUP((N17-14)-$B$14,$G$41:$AE$43,3,TRUE))),N24)</f>
        <v>343.00271328553481</v>
      </c>
      <c r="O25" s="221">
        <f t="shared" ref="O25:Q25" si="16">MIN(($G$18/$B$6)*(2^(((O17 - 14) - $G$17)/HLOOKUP((O17-14)-$B$14,$G$41:$AE$43,3,TRUE))),O24)</f>
        <v>1407.4074074074069</v>
      </c>
      <c r="P25" s="220">
        <f t="shared" si="16"/>
        <v>1641.9753086419751</v>
      </c>
      <c r="Q25" s="220">
        <f t="shared" si="16"/>
        <v>1763.9506172839501</v>
      </c>
      <c r="R25" s="221">
        <f>MIN(($G$18/$B$6)*(2^(((R17 - 14) - $G$17)/HLOOKUP((R17-14)-$B$14,$G$41:$AE$43,3,TRUE))),R24)</f>
        <v>1876.5432098765432</v>
      </c>
      <c r="S25" s="220">
        <f>MIN(($G$18/$B$6)*(2^(((S17 - 14) - $G$17)/HLOOKUP((S17-14)-$B$14,$G$41:$AE$43,3,TRUE))),S24)</f>
        <v>3753.0864197530864</v>
      </c>
      <c r="T25" s="220">
        <f>MIN(($G$18/$B$6)*(2^(((T17 - 14) - $G$17)/HLOOKUP((T17-14)-$B$14,$G$41:$AE$43,3,TRUE))),T24)</f>
        <v>7506.1728395061727</v>
      </c>
      <c r="U25" s="220">
        <f>MIN(($G$18/$B$6)*(2^(((U17 - 14) - $G$17)/HLOOKUP((U17-14)-$B$14,$G$41:$AE$43,3,TRUE))),U24)</f>
        <v>15012.345679012345</v>
      </c>
      <c r="V25" s="220">
        <f>MIN(($G$18/$B$6)*(2^(((V17 - 14) - $G$17)/HLOOKUP((V17-14)-$B$14,$G$41:$AE$43,3,TRUE))),V24)</f>
        <v>30024.691358024691</v>
      </c>
      <c r="W25" s="220">
        <f>MIN(($G$18/$B$6)*(2^(((W17 - 14) - $G$17)/HLOOKUP((W17-14)-$B$14,$G$41:$AE$43,3,TRUE))),W24)</f>
        <v>60049.382716049382</v>
      </c>
      <c r="X25" s="220">
        <f>MIN(($G$18/$B$6)*(2^(((X17 - 14) - $G$17)/HLOOKUP((X17-14)-$B$14,$G$41:$AE$43,3,TRUE))),X24)</f>
        <v>120098.76543209876</v>
      </c>
      <c r="Y25" s="220">
        <f>MIN(($G$18/$B$6)*(2^(((Y17 - 14) - $G$17)/HLOOKUP((Y17-14)-$B$14,$G$41:$AE$43,3,TRUE))),Y24)</f>
        <v>240197.53086419753</v>
      </c>
      <c r="Z25" s="220">
        <f>MIN(($G$18/$B$6)*(2^(((Z17 - 14) - $G$17)/HLOOKUP((Z17-14)-$B$14,$G$41:$AE$43,3,TRUE))),Z24)</f>
        <v>480395.06172839506</v>
      </c>
      <c r="AA25" s="220">
        <f>MIN(($G$18/$B$6)*(2^(((AA17 - 14) - $G$17)/HLOOKUP((AA17-14)-$B$14,$G$41:$AE$43,3,TRUE))),AA24)</f>
        <v>960790.12345679011</v>
      </c>
      <c r="AB25" s="219">
        <f>MIN(($G$18/$B$6)*(2^(((AB17 - 14) - $G$17)/HLOOKUP((AB17-14)-$B$14,$G$41:$AE$43,3,TRUE))),AB24)</f>
        <v>1921580.2469135802</v>
      </c>
      <c r="AC25" s="296">
        <f>MIN(($G$18/$B$6)*(2^(((AC17 - 14) - $G$17)/HLOOKUP((AC17-14)-$B$14,$G$41:$AE$43,3,TRUE))),AC24)</f>
        <v>19124854.01785152</v>
      </c>
      <c r="AD25" s="222">
        <f>MIN(($G$18/$B$6)*(2^(((AD17 - 14) - $G$17)/HLOOKUP((AD17-14)-$B$14,$G$41:$AE$43,3,TRUE))),AD24)</f>
        <v>25634000</v>
      </c>
      <c r="AE25" s="261"/>
      <c r="AF25" s="37"/>
      <c r="AG25" s="37"/>
      <c r="AH25" s="81"/>
    </row>
    <row r="26" spans="1:34" x14ac:dyDescent="0.25">
      <c r="A26" s="53" t="s">
        <v>269</v>
      </c>
      <c r="B26" s="28"/>
      <c r="C26" s="28"/>
      <c r="D26" s="28"/>
      <c r="E26" s="28"/>
      <c r="F26" s="28"/>
      <c r="G26" s="247">
        <f t="shared" ref="G26:AD26" si="17">G18*$B$10</f>
        <v>28.75</v>
      </c>
      <c r="H26" s="248">
        <f t="shared" si="17"/>
        <v>57.5</v>
      </c>
      <c r="I26" s="248">
        <f t="shared" si="17"/>
        <v>115</v>
      </c>
      <c r="J26" s="248">
        <f t="shared" si="17"/>
        <v>230</v>
      </c>
      <c r="K26" s="248">
        <f t="shared" si="17"/>
        <v>460</v>
      </c>
      <c r="L26" s="247">
        <f t="shared" si="17"/>
        <v>920</v>
      </c>
      <c r="M26" s="248">
        <f t="shared" si="17"/>
        <v>1840</v>
      </c>
      <c r="N26" s="248">
        <f t="shared" si="17"/>
        <v>3680</v>
      </c>
      <c r="O26" s="247">
        <f t="shared" ref="O26:Q26" si="18">O18*$B$10</f>
        <v>5520</v>
      </c>
      <c r="P26" s="248">
        <f t="shared" si="18"/>
        <v>6440</v>
      </c>
      <c r="Q26" s="248">
        <f t="shared" si="18"/>
        <v>6918.4000000000005</v>
      </c>
      <c r="R26" s="247">
        <f t="shared" si="17"/>
        <v>7360</v>
      </c>
      <c r="S26" s="248">
        <f t="shared" si="17"/>
        <v>14720</v>
      </c>
      <c r="T26" s="248">
        <f t="shared" si="17"/>
        <v>29440</v>
      </c>
      <c r="U26" s="248">
        <f t="shared" si="17"/>
        <v>58880</v>
      </c>
      <c r="V26" s="248">
        <f t="shared" si="17"/>
        <v>117760</v>
      </c>
      <c r="W26" s="248">
        <f t="shared" si="17"/>
        <v>235520</v>
      </c>
      <c r="X26" s="248">
        <f t="shared" si="17"/>
        <v>471040</v>
      </c>
      <c r="Y26" s="248">
        <f t="shared" si="17"/>
        <v>942080</v>
      </c>
      <c r="Z26" s="248">
        <f t="shared" si="17"/>
        <v>1884160</v>
      </c>
      <c r="AA26" s="248">
        <f t="shared" si="17"/>
        <v>3768320</v>
      </c>
      <c r="AB26" s="301">
        <f t="shared" si="17"/>
        <v>7536640</v>
      </c>
      <c r="AC26" s="294">
        <f t="shared" si="17"/>
        <v>15073280</v>
      </c>
      <c r="AD26" s="216">
        <f t="shared" si="17"/>
        <v>23583280</v>
      </c>
      <c r="AE26" s="261">
        <f>AE18*B10</f>
        <v>4716656</v>
      </c>
      <c r="AF26" s="37"/>
      <c r="AG26" s="37"/>
      <c r="AH26" s="81"/>
    </row>
    <row r="27" spans="1:34" x14ac:dyDescent="0.25">
      <c r="A27" s="53" t="s">
        <v>290</v>
      </c>
      <c r="B27" s="28"/>
      <c r="C27" s="28"/>
      <c r="D27" s="28"/>
      <c r="E27" s="28"/>
      <c r="F27" s="28"/>
      <c r="G27" s="217">
        <f>G26-(1*$B$10)*(2^(((G17 - 14) - $B$14)/$G$43))</f>
        <v>20.664089590657923</v>
      </c>
      <c r="H27" s="218">
        <f>H26-(1*$B$10)*(2^(((H17 - 14) - $B$14)/$G$43))</f>
        <v>45.699712342982444</v>
      </c>
      <c r="I27" s="218">
        <f>I26-(1*$B$10)*(2^(((I17 - 14) - $B$14)/$G$43))</f>
        <v>97.779083400740888</v>
      </c>
      <c r="J27" s="218">
        <f>J26-(1*$B$10)*(2^(((J17 - 14) - $B$14)/$G$43))</f>
        <v>204.86841192873166</v>
      </c>
      <c r="K27" s="224">
        <f>MAX(K26-(($G$18*$B$10)*(2^(((K17 -14) - $G$17)/HLOOKUP((K17-14)-$B$14,$G$41:$AE$43,3,TRUE)))),0)</f>
        <v>425.26880842051185</v>
      </c>
      <c r="L27" s="225">
        <f>MAX(L26-(($G$18*$B$10)*(2^(((L17 -14) - $G$17)/HLOOKUP((L17-14)-$B$14,$G$41:$AE$43,3,TRUE)))),0)</f>
        <v>855.48345365395755</v>
      </c>
      <c r="M27" s="224">
        <f>MAX(M26-(($G$18*$B$10)*(2^(((M17 -14) - $G$17)/HLOOKUP((M17-14)-$B$14,$G$41:$AE$43,3,TRUE)))),0)</f>
        <v>1738.939393939394</v>
      </c>
      <c r="N27" s="224">
        <f>MAX(N26-(($G$18*$B$10)*(2^(((N17 -14) - $G$17)/HLOOKUP((N17-14)-$B$14,$G$41:$AE$43,3,TRUE)))),0)</f>
        <v>3424.3943780596196</v>
      </c>
      <c r="O27" s="225">
        <f t="shared" ref="O27:Q27" si="19">MAX(O26-(($G$18*$B$10)*(2^(((O17 -14) - $G$17)/HLOOKUP((O17-14)-$B$14,$G$41:$AE$43,3,TRUE)))),0)</f>
        <v>3071.0621398457765</v>
      </c>
      <c r="P27" s="224">
        <f t="shared" si="19"/>
        <v>0</v>
      </c>
      <c r="Q27" s="224">
        <f t="shared" si="19"/>
        <v>0</v>
      </c>
      <c r="R27" s="225">
        <f>MAX(R26-(($G$18*$B$10)*(2^(((R17 -14) - $G$17)/HLOOKUP((R17-14)-$B$14,$G$41:$AE$43,3,TRUE)))),0)</f>
        <v>0</v>
      </c>
      <c r="S27" s="224">
        <f>MAX(S26-(($G$18*$B$10)*(2^(((S17 -14) - $G$17)/HLOOKUP((S17-14)-$B$14,$G$41:$AE$43,3,TRUE)))),0)</f>
        <v>0</v>
      </c>
      <c r="T27" s="224">
        <f>MAX(T26-(($G$18*$B$10)*(2^(((T17 -14) - $G$17)/HLOOKUP((T17-14)-$B$14,$G$41:$AE$43,3,TRUE)))),0)</f>
        <v>0</v>
      </c>
      <c r="U27" s="224">
        <f>MAX(U26-(($G$18*$B$10)*(2^(((U17 -14) - $G$17)/HLOOKUP((U17-14)-$B$14,$G$41:$AE$43,3,TRUE)))),0)</f>
        <v>0</v>
      </c>
      <c r="V27" s="224">
        <f>MAX(V26-(($G$18*$B$10)*(2^(((V17 -14) - $G$17)/HLOOKUP((V17-14)-$B$14,$G$41:$AE$43,3,TRUE)))),0)</f>
        <v>0</v>
      </c>
      <c r="W27" s="224">
        <f>MAX(W26-(($G$18*$B$10)*(2^(((W17 -14) - $G$17)/HLOOKUP((W17-14)-$B$14,$G$41:$AE$43,3,TRUE)))),0)</f>
        <v>0</v>
      </c>
      <c r="X27" s="224">
        <f>MAX(X26-(($G$18*$B$10)*(2^(((X17 -14) - $G$17)/HLOOKUP((X17-14)-$B$14,$G$41:$AE$43,3,TRUE)))),0)</f>
        <v>0</v>
      </c>
      <c r="Y27" s="224">
        <f>MAX(Y26-(($G$18*$B$10)*(2^(((Y17 -14) - $G$17)/HLOOKUP((Y17-14)-$B$14,$G$41:$AE$43,3,TRUE)))),0)</f>
        <v>0</v>
      </c>
      <c r="Z27" s="224">
        <f>MAX(Z26-(($G$18*$B$10)*(2^(((Z17 -14) - $G$17)/HLOOKUP((Z17-14)-$B$14,$G$41:$AE$43,3,TRUE)))),0)</f>
        <v>0</v>
      </c>
      <c r="AA27" s="224">
        <f>MAX(AA26-(($G$18*$B$10)*(2^(((AA17 -14) - $G$17)/HLOOKUP((AA17-14)-$B$14,$G$41:$AE$43,3,TRUE)))),0)</f>
        <v>23319.875730534084</v>
      </c>
      <c r="AB27" s="249">
        <f>MAX(AB26-(($G$18*$B$10)*(2^(((AB17 -14) - $G$17)/HLOOKUP((AB17-14)-$B$14,$G$41:$AE$43,3,TRUE)))),0)</f>
        <v>247978.475278317</v>
      </c>
      <c r="AC27" s="297">
        <f>MAX(AC26-(($G$18*$B$10)*(2^(((AC17 -14) - $G$17)/HLOOKUP((AC17-14)-$B$14,$G$41:$AE$43,3,TRUE)))),0)</f>
        <v>821438.78589704633</v>
      </c>
      <c r="AD27" s="222">
        <f>MAX(AD26-(($G$18*$B$10)*(2^(((AD17 -14) - $G$17)/HLOOKUP((AD17-14)-$B$14,$G$41:$AE$43,3,TRUE)))),0)</f>
        <v>0</v>
      </c>
      <c r="AE27" s="259"/>
      <c r="AF27" s="37"/>
      <c r="AG27" s="37"/>
      <c r="AH27" s="81"/>
    </row>
    <row r="28" spans="1:34" x14ac:dyDescent="0.25">
      <c r="A28" s="74" t="s">
        <v>214</v>
      </c>
      <c r="B28" s="21"/>
      <c r="C28" s="21"/>
      <c r="D28" s="21"/>
      <c r="E28" s="21"/>
      <c r="F28" s="21"/>
      <c r="G28" s="302">
        <f>(1*($B$11+$B$12))*(2^(((G17 - 7) - $B$14)/$G$43))</f>
        <v>1.3624403770173663</v>
      </c>
      <c r="H28" s="303">
        <f>(1*($B$11+$B$12))*(2^(((H17 - 7) - $B$14)/$G$43))</f>
        <v>1.9882966234408881</v>
      </c>
      <c r="I28" s="233">
        <f>($G$18*($B$11+$B$12))*(2^(((I17-7)-$G$17)/HLOOKUP((I17-7)-$B$14,$G$41:$AE$43,3,TRUE)))</f>
        <v>2.7477734693782825</v>
      </c>
      <c r="J28" s="233">
        <f>($G$18*($B$11+$B$12))*(2^(((J17-7)-$G$17)/HLOOKUP((J17-7)-$B$14,$G$41:$AE$43,3,TRUE)))</f>
        <v>5.6101344648732603</v>
      </c>
      <c r="K28" s="233">
        <f>($G$18*($B$11+$B$12))*(2^(((K17-7)-$G$17)/HLOOKUP((K17-7)-$B$14,$G$41:$AE$43,3,TRUE)))</f>
        <v>10.283171151388096</v>
      </c>
      <c r="L28" s="232">
        <f>($G$18*($B$11+$B$12))*(2^(((L17-7)-$G$17)/HLOOKUP((L17-7)-$B$14,$G$41:$AE$43,3,TRUE)))</f>
        <v>18.787878787878775</v>
      </c>
      <c r="M28" s="233">
        <f>($G$18*($B$11+$B$12))*(2^(((M17-7)-$G$17)/HLOOKUP((M17-7)-$B$14,$G$41:$AE$43,3,TRUE)))</f>
        <v>31.107290494170176</v>
      </c>
      <c r="N28" s="233">
        <f>($G$18*($B$11+$B$12))*(2^(((N17-7)-$G$17)/HLOOKUP((N17-7)-$B$14,$G$41:$AE$43,3,TRUE)))</f>
        <v>97.540056745390302</v>
      </c>
      <c r="O28" s="232">
        <f t="shared" ref="O28:Q28" si="20">($G$18*($B$11+$B$12))*(2^(((O17-7)-$G$17)/HLOOKUP((O17-7)-$B$14,$G$41:$AE$43,3,TRUE)))</f>
        <v>539.83989502715735</v>
      </c>
      <c r="P28" s="233">
        <f t="shared" si="20"/>
        <v>699.58854406192074</v>
      </c>
      <c r="Q28" s="233">
        <f t="shared" si="20"/>
        <v>746.49942390249566</v>
      </c>
      <c r="R28" s="232">
        <f>($G$18*($B$11+$B$12))*(2^(((R17-7)-$G$17)/HLOOKUP((R17-7)-$B$14,$G$41:$AE$43,3,TRUE)))</f>
        <v>758.1123793543411</v>
      </c>
      <c r="S28" s="233">
        <f>($G$18*($B$11+$B$12))*(2^(((S17-7)-$G$17)/HLOOKUP((S17-7)-$B$14,$G$41:$AE$43,3,TRUE)))</f>
        <v>9057.5081963083667</v>
      </c>
      <c r="T28" s="233">
        <f>($G$18*($B$11+$B$12))*(2^(((T17-7)-$G$17)/HLOOKUP((T17-7)-$B$14,$G$41:$AE$43,3,TRUE)))</f>
        <v>8162.3849707971704</v>
      </c>
      <c r="U28" s="233">
        <f>($G$18*($B$11+$B$12))*(2^(((U17-7)-$G$17)/HLOOKUP((U17-7)-$B$14,$G$41:$AE$43,3,TRUE)))</f>
        <v>11351.293732410088</v>
      </c>
      <c r="V28" s="233">
        <f>($G$18*($B$11+$B$12))*(2^(((V17-7)-$G$17)/HLOOKUP((V17-7)-$B$14,$G$41:$AE$43,3,TRUE)))</f>
        <v>18440.912269418528</v>
      </c>
      <c r="W28" s="233">
        <f>($G$18*($B$11+$B$12))*(2^(((W17-7)-$G$17)/HLOOKUP((W17-7)-$B$14,$G$41:$AE$43,3,TRUE)))</f>
        <v>32235.970347824928</v>
      </c>
      <c r="X28" s="233">
        <f>($G$18*($B$11+$B$12))*(2^(((X17-7)-$G$17)/HLOOKUP((X17-7)-$B$14,$G$41:$AE$43,3,TRUE)))</f>
        <v>58670.35133906277</v>
      </c>
      <c r="Y28" s="233">
        <f>($G$18*($B$11+$B$12))*(2^(((Y17-7)-$G$17)/HLOOKUP((Y17-7)-$B$14,$G$41:$AE$43,3,TRUE)))</f>
        <v>109438.00698642089</v>
      </c>
      <c r="Z28" s="233">
        <f>($G$18*($B$11+$B$12))*(2^(((Z17-7)-$G$17)/HLOOKUP((Z17-7)-$B$14,$G$41:$AE$43,3,TRUE)))</f>
        <v>207442.98783323367</v>
      </c>
      <c r="AA28" s="233">
        <f>($G$18*($B$11+$B$12))*(2^(((AA17-7)-$G$17)/HLOOKUP((AA17-7)-$B$14,$G$41:$AE$43,3,TRUE)))</f>
        <v>397599.43500971043</v>
      </c>
      <c r="AB28" s="256">
        <f>($G$18*($B$11+$B$12))*(2^(((AB17-7)-$G$17)/HLOOKUP((AB17-7)-$B$14,$G$41:$AE$43,3,TRUE)))</f>
        <v>768166.9440733128</v>
      </c>
      <c r="AC28" s="294">
        <f>($G$18*($B$11+$B$12))*(2^(((AC17-7)-$G$17)/HLOOKUP((AC17-7)-$B$14,$G$41:$AE$43,3,TRUE)))</f>
        <v>1492926.7982694027</v>
      </c>
      <c r="AD28" s="223">
        <f>($G$18*($B$11+$B$12))*(2^(((AD17 - 7) - $G$17)/AD43))</f>
        <v>1632539.9094647132</v>
      </c>
      <c r="AE28" s="259">
        <f>AE18*(B11+B12)</f>
        <v>410144</v>
      </c>
      <c r="AF28" s="57"/>
      <c r="AG28" s="57"/>
      <c r="AH28" s="81"/>
    </row>
    <row r="29" spans="1:34" x14ac:dyDescent="0.25">
      <c r="A29" s="49" t="s">
        <v>267</v>
      </c>
      <c r="B29" s="50"/>
      <c r="C29" s="51"/>
      <c r="D29" s="51"/>
      <c r="E29" s="51"/>
      <c r="F29" s="51"/>
      <c r="G29" s="217">
        <f t="shared" ref="G29:J29" si="21">G28</f>
        <v>1.3624403770173663</v>
      </c>
      <c r="H29" s="218">
        <f t="shared" si="21"/>
        <v>1.9882966234408881</v>
      </c>
      <c r="I29" s="220">
        <f t="shared" si="21"/>
        <v>2.7477734693782825</v>
      </c>
      <c r="J29" s="220">
        <f t="shared" si="21"/>
        <v>5.6101344648732603</v>
      </c>
      <c r="K29" s="220">
        <f>K28-K31</f>
        <v>9.1506322955352211</v>
      </c>
      <c r="L29" s="221">
        <f t="shared" ref="L29:M29" si="22">L28-L31</f>
        <v>16.684078363551301</v>
      </c>
      <c r="M29" s="220">
        <f t="shared" si="22"/>
        <v>27.811835948715633</v>
      </c>
      <c r="N29" s="220">
        <f>N28-N31</f>
        <v>89.205090812551802</v>
      </c>
      <c r="O29" s="221">
        <f t="shared" ref="O29:Q29" si="23">O28-O31</f>
        <v>459.98322567430228</v>
      </c>
      <c r="P29" s="220">
        <f t="shared" si="23"/>
        <v>353.06819678795603</v>
      </c>
      <c r="Q29" s="220">
        <f t="shared" si="23"/>
        <v>346.19383098044386</v>
      </c>
      <c r="R29" s="221">
        <f>MAX(R28-($G$18*$B$11)*(2^(((R17 - 42) - $G$17)/HLOOKUP((R17-42)-$B$14,$G$41:$AE$43,3,TRUE)))-R31,0)</f>
        <v>457.83706768400037</v>
      </c>
      <c r="S29" s="220">
        <f>MAX(S28-($G$18*$B$11)*(2^(((S17 - 42) - $G$17)/HLOOKUP((S17-42)-$B$14,$G$41:$AE$43,3,TRUE)))-S31,0)</f>
        <v>6723.2106330712859</v>
      </c>
      <c r="T29" s="220">
        <f>MAX(T28-($G$18*$B$11)*(2^(((T17 - 42) - $G$17)/HLOOKUP((T17-42)-$B$14,$G$41:$AE$43,3,TRUE)))-T31,0)</f>
        <v>0</v>
      </c>
      <c r="U29" s="220">
        <f>MAX(U28-($G$18*$B$11)*(2^(((U17 - 42) - $G$17)/HLOOKUP((U17-42)-$B$14,$G$41:$AE$43,3,TRUE)))-U31,0)</f>
        <v>2621.2407195397427</v>
      </c>
      <c r="V29" s="220">
        <f>MAX(V28-($G$18*$B$11)*(2^(((V17 - 42) - $G$17)/HLOOKUP((V17-42)-$B$14,$G$41:$AE$43,3,TRUE)))-V31,0)</f>
        <v>6493.9014459446153</v>
      </c>
      <c r="W29" s="220">
        <f>MAX(W28-($G$18*$B$11)*(2^(((W17 - 42) - $G$17)/HLOOKUP((W17-42)-$B$14,$G$41:$AE$43,3,TRUE)))-W31,0)</f>
        <v>13117.615291342416</v>
      </c>
      <c r="X29" s="220">
        <f>MAX(X28-($G$18*$B$11)*(2^(((X17 - 42) - $G$17)/HLOOKUP((X17-42)-$B$14,$G$41:$AE$43,3,TRUE)))-X31,0)</f>
        <v>25704.777309381287</v>
      </c>
      <c r="Y29" s="220">
        <f>MAX(Y28-($G$18*$B$11)*(2^(((Y17 - 42) - $G$17)/HLOOKUP((Y17-42)-$B$14,$G$41:$AE$43,3,TRUE)))-Y31,0)</f>
        <v>50159.747165007109</v>
      </c>
      <c r="Z29" s="220">
        <f>MAX(Z28-($G$18*$B$11)*(2^(((Z17 - 42) - $G$17)/HLOOKUP((Z17-42)-$B$14,$G$41:$AE$43,3,TRUE)))-Z31,0)</f>
        <v>98028.173506334526</v>
      </c>
      <c r="AA29" s="220">
        <f>MAX(AA28-($G$18*$B$11)*(2^(((AA17 - 42) - $G$17)/HLOOKUP((AA17-42)-$B$14,$G$41:$AE$43,3,TRUE)))-AA31,0)</f>
        <v>192089.91127790738</v>
      </c>
      <c r="AB29" s="219">
        <f>MAX(AB28-($G$18*$B$11)*(2^(((AB17 - 42) - $G$17)/HLOOKUP((AB17-42)-$B$14,$G$41:$AE$43,3,TRUE)))-AB31,0)</f>
        <v>377406.24497356027</v>
      </c>
      <c r="AC29" s="297">
        <f>MAX(AC28-($G$18*$B$11)*(2^(((AC17 - 42) - $G$17)/HLOOKUP((AC17-42)-$B$14,$G$41:$AE$43,3,TRUE)))-AC31,0)</f>
        <v>743239.90818622056</v>
      </c>
      <c r="AD29" s="222">
        <f>MAX(AD28-($G$18*$B$11)*(2^(((AD17 - 42) - $G$17)/HLOOKUP((AD17-42)-$B$14,$G$41:$AE$43,3,TRUE)))-AD31,0)</f>
        <v>184496.52938017296</v>
      </c>
      <c r="AE29" s="261"/>
      <c r="AF29" s="57"/>
      <c r="AG29" s="57"/>
      <c r="AH29" s="81"/>
    </row>
    <row r="30" spans="1:34" x14ac:dyDescent="0.25">
      <c r="A30" s="60" t="s">
        <v>215</v>
      </c>
      <c r="C30" s="21"/>
      <c r="D30" s="21"/>
      <c r="E30" s="21"/>
      <c r="F30" s="21"/>
      <c r="G30" s="302">
        <f>(1*$B$12)*(2^(((G17 - 14) -$B$14)/$G$43))</f>
        <v>0.26367099160898083</v>
      </c>
      <c r="H30" s="303">
        <f>(1*$B$12)*(2^(((H17 - 14) -$B$14)/$G$43))</f>
        <v>0.38479198881578991</v>
      </c>
      <c r="I30" s="303">
        <f>(1*$B$12)*(2^(((I17 - 14) -$B$14)/$G$43))</f>
        <v>0.5615516282367099</v>
      </c>
      <c r="J30" s="303">
        <f>(1*$B$12)*(2^(((J17 - 14) -$B$14)/$G$43))</f>
        <v>0.81950830667179397</v>
      </c>
      <c r="K30" s="256">
        <f>($G$18*$B$12)*(2^(((K17 - 14) - $G$17)/HLOOKUP((K17-14)-$B$14,$G$41:$AE$43,3,TRUE)))</f>
        <v>1.1325388558528744</v>
      </c>
      <c r="L30" s="233">
        <f>($G$18*$B$12)*(2^(((L17 - 14) - $G$17)/HLOOKUP((L17-14)-$B$14,$G$41:$AE$43,3,TRUE)))</f>
        <v>2.1038004243274724</v>
      </c>
      <c r="M30" s="233">
        <f>($G$18*$B$12)*(2^(((M17 - 14) - $G$17)/HLOOKUP((M17-14)-$B$14,$G$41:$AE$43,3,TRUE)))</f>
        <v>3.295454545454545</v>
      </c>
      <c r="N30" s="233">
        <f>($G$18*$B$12)*(2^(((N17 - 14) - $G$17)/HLOOKUP((N17-14)-$B$14,$G$41:$AE$43,3,TRUE)))</f>
        <v>8.3349659328384966</v>
      </c>
      <c r="O30" s="232">
        <f t="shared" ref="O30:Q30" si="24">($G$18*$B$12)*(2^(((O17 - 14) - $G$17)/HLOOKUP((O17-14)-$B$14,$G$41:$AE$43,3,TRUE)))</f>
        <v>79.856669352855107</v>
      </c>
      <c r="P30" s="233">
        <f t="shared" si="24"/>
        <v>346.52034727396472</v>
      </c>
      <c r="Q30" s="233">
        <f t="shared" si="24"/>
        <v>400.3055929220518</v>
      </c>
      <c r="R30" s="232">
        <f>($G$18*$B$12)*(2^(((R17 - 14) - $G$17)/HLOOKUP((R17-14)-$B$14,$G$41:$AE$43,3,TRUE)))</f>
        <v>394.06341141992112</v>
      </c>
      <c r="S30" s="233">
        <f>($G$18*$B$12)*(2^(((S17 - 14) - $G$17)/HLOOKUP((S17-14)-$B$14,$G$41:$AE$43,3,TRUE)))</f>
        <v>1913.8380842801873</v>
      </c>
      <c r="T30" s="233">
        <f>($G$18*$B$12)*(2^(((T17 - 14) - $G$17)/HLOOKUP((T17-14)-$B$14,$G$41:$AE$43,3,TRUE)))</f>
        <v>2042.4643666114639</v>
      </c>
      <c r="U30" s="233">
        <f>($G$18*$B$12)*(2^(((U17 - 14) - $G$17)/HLOOKUP((U17-14)-$B$14,$G$41:$AE$43,3,TRUE)))</f>
        <v>3068.0036069208973</v>
      </c>
      <c r="V30" s="233">
        <f>($G$18*$B$12)*(2^(((V17 - 14) - $G$17)/HLOOKUP((V17-14)-$B$14,$G$41:$AE$43,3,TRUE)))</f>
        <v>5208.8992443005154</v>
      </c>
      <c r="W30" s="233">
        <f>($G$18*$B$12)*(2^(((W17 - 14) - $G$17)/HLOOKUP((W17-14)-$B$14,$G$41:$AE$43,3,TRUE)))</f>
        <v>9369.3050700890672</v>
      </c>
      <c r="X30" s="233">
        <f>($G$18*$B$12)*(2^(((X17 - 14) - $G$17)/HLOOKUP((X17-14)-$B$14,$G$41:$AE$43,3,TRUE)))</f>
        <v>17396.910162871503</v>
      </c>
      <c r="Y30" s="233">
        <f>($G$18*$B$12)*(2^(((Y17 - 14) - $G$17)/HLOOKUP((Y17-14)-$B$14,$G$41:$AE$43,3,TRUE)))</f>
        <v>32934.020048316466</v>
      </c>
      <c r="Z30" s="233">
        <f>($G$18*$B$12)*(2^(((Z17 - 14) - $G$17)/HLOOKUP((Z17-14)-$B$14,$G$41:$AE$43,3,TRUE)))</f>
        <v>63141.897473641264</v>
      </c>
      <c r="AA30" s="233">
        <f>($G$18*$B$12)*(2^(((AA17 - 14) - $G$17)/HLOOKUP((AA17-14)-$B$14,$G$41:$AE$43,3,TRUE)))</f>
        <v>122119.56926965649</v>
      </c>
      <c r="AB30" s="256">
        <f>($G$18*$B$12)*(2^(((AB17 - 14) - $G$17)/HLOOKUP((AB17-14)-$B$14,$G$41:$AE$43,3,TRUE)))</f>
        <v>237673.74537135923</v>
      </c>
      <c r="AC30" s="294">
        <f>($G$18*$B$12)*(2^(((AC17 - 14) - $G$17)/HLOOKUP((AC17-14)-$B$14,$G$41:$AE$43,3,TRUE)))</f>
        <v>464733.95263379195</v>
      </c>
      <c r="AD30" s="223">
        <f>($G$18*$B$12)*(2^(((AD17 - 14) - $G$17)/HLOOKUP((AD17-14)-$B$14,$G$41:$AE$43,3,TRUE)))</f>
        <v>911958.38199291565</v>
      </c>
      <c r="AE30" s="259">
        <f>AE18*B12</f>
        <v>153804</v>
      </c>
      <c r="AF30" s="57"/>
      <c r="AG30" s="57"/>
      <c r="AH30" s="81"/>
    </row>
    <row r="31" spans="1:34" x14ac:dyDescent="0.25">
      <c r="A31" s="53" t="s">
        <v>268</v>
      </c>
      <c r="B31" s="27"/>
      <c r="C31" s="28"/>
      <c r="D31" s="28"/>
      <c r="E31" s="28"/>
      <c r="F31" s="28"/>
      <c r="G31" s="217">
        <f t="shared" ref="G31:J31" si="25">G30</f>
        <v>0.26367099160898083</v>
      </c>
      <c r="H31" s="218">
        <f t="shared" si="25"/>
        <v>0.38479198881578991</v>
      </c>
      <c r="I31" s="218">
        <f t="shared" si="25"/>
        <v>0.5615516282367099</v>
      </c>
      <c r="J31" s="218">
        <f t="shared" si="25"/>
        <v>0.81950830667179397</v>
      </c>
      <c r="K31" s="219">
        <f>K30</f>
        <v>1.1325388558528744</v>
      </c>
      <c r="L31" s="220">
        <f t="shared" ref="L31:N31" si="26">L30</f>
        <v>2.1038004243274724</v>
      </c>
      <c r="M31" s="220">
        <f t="shared" si="26"/>
        <v>3.295454545454545</v>
      </c>
      <c r="N31" s="220">
        <f t="shared" si="26"/>
        <v>8.3349659328384966</v>
      </c>
      <c r="O31" s="221">
        <f t="shared" ref="O31:Q31" si="27">O30</f>
        <v>79.856669352855107</v>
      </c>
      <c r="P31" s="220">
        <f t="shared" si="27"/>
        <v>346.52034727396472</v>
      </c>
      <c r="Q31" s="220">
        <f t="shared" si="27"/>
        <v>400.3055929220518</v>
      </c>
      <c r="R31" s="225">
        <f>MAX(R30-($G$18*$B$12)*(2^(((R17 - 35) - $G$17)/HLOOKUP((R17-35)-$B$14,$G$41:$AE$43,3,TRUE))),0)</f>
        <v>104.38381369666985</v>
      </c>
      <c r="S31" s="224">
        <f>MAX(S30-($G$18*$B$12)*(2^(((S17 - 35) - $G$17)/HLOOKUP((S17-35)-$B$14,$G$41:$AE$43,3,TRUE))),0)</f>
        <v>1571.4640976178259</v>
      </c>
      <c r="T31" s="224">
        <f>MAX(T30-($G$18*$B$12)*(2^(((T17 - 35) - $G$17)/HLOOKUP((T17-35)-$B$14,$G$41:$AE$43,3,TRUE))),0)</f>
        <v>1435.6261426155031</v>
      </c>
      <c r="U31" s="224">
        <f>MAX(U30-($G$18*$B$12)*(2^(((U17 - 35) - $G$17)/HLOOKUP((U17-35)-$B$14,$G$41:$AE$43,3,TRUE))),0)</f>
        <v>1919.3381139017681</v>
      </c>
      <c r="V31" s="224">
        <f>MAX(V30-($G$18*$B$12)*(2^(((V17 - 35) - $G$17)/HLOOKUP((V17-35)-$B$14,$G$41:$AE$43,3,TRUE))),0)</f>
        <v>2982.8087280375726</v>
      </c>
      <c r="W31" s="224">
        <f>MAX(W30-($G$18*$B$12)*(2^(((W17 - 35) - $G$17)/HLOOKUP((W17-35)-$B$14,$G$41:$AE$43,3,TRUE))),0)</f>
        <v>5007.0257109798486</v>
      </c>
      <c r="X31" s="224">
        <f>MAX(X30-($G$18*$B$12)*(2^(((X17 - 35) - $G$17)/HLOOKUP((X17-35)-$B$14,$G$41:$AE$43,3,TRUE))),0)</f>
        <v>8796.1148302922647</v>
      </c>
      <c r="Y31" s="224">
        <f>MAX(Y30-($G$18*$B$12)*(2^(((Y17 - 35) - $G$17)/HLOOKUP((Y17-35)-$B$14,$G$41:$AE$43,3,TRUE))),0)</f>
        <v>15913.193231290788</v>
      </c>
      <c r="Z31" s="224">
        <f>MAX(Z30-($G$18*$B$12)*(2^(((Z17 - 35) - $G$17)/HLOOKUP((Z17-35)-$B$14,$G$41:$AE$43,3,TRUE))),0)</f>
        <v>29375.833837526268</v>
      </c>
      <c r="AA31" s="224">
        <f>MAX(AA30-($G$18*$B$12)*(2^(((AA17 - 35) - $G$17)/HLOOKUP((AA17-35)-$B$14,$G$41:$AE$43,3,TRUE))),0)</f>
        <v>55021.507309008754</v>
      </c>
      <c r="AB31" s="249">
        <f>MAX(AB30-($G$18*$B$12)*(2^(((AB17 - 35) - $G$17)/HLOOKUP((AB17-35)-$B$14,$G$41:$AE$43,3,TRUE))),0)</f>
        <v>104178.99325619673</v>
      </c>
      <c r="AC31" s="297">
        <f>MAX(AC30-($G$18*$B$12)*(2^(((AC17 - 35) - $G$17)/HLOOKUP((AC17-35)-$B$14,$G$41:$AE$43,3,TRUE))),0)</f>
        <v>198901.33656588756</v>
      </c>
      <c r="AD31" s="222">
        <f>MAX(AD30-($G$18*$B$12)*(2^(((AD17 - 35) - $G$17)/HLOOKUP((AD17-35)-$B$14,$G$41:$AE$43,3,TRUE))),0)</f>
        <v>382234.05386378919</v>
      </c>
      <c r="AE31" s="259"/>
      <c r="AF31" s="57"/>
      <c r="AG31" s="57"/>
      <c r="AH31" s="81"/>
    </row>
    <row r="32" spans="1:34" x14ac:dyDescent="0.25">
      <c r="A32" s="16" t="s">
        <v>156</v>
      </c>
      <c r="B32" s="97"/>
      <c r="C32" s="21"/>
      <c r="D32" s="21"/>
      <c r="E32" s="21"/>
      <c r="F32" s="21"/>
      <c r="G32" s="226">
        <f t="shared" ref="G32:AD32" si="28">G18*$B$13</f>
        <v>0.265625</v>
      </c>
      <c r="H32" s="227">
        <f t="shared" si="28"/>
        <v>0.53125</v>
      </c>
      <c r="I32" s="227">
        <f t="shared" si="28"/>
        <v>1.0625</v>
      </c>
      <c r="J32" s="227">
        <f t="shared" si="28"/>
        <v>2.125</v>
      </c>
      <c r="K32" s="227">
        <f t="shared" si="28"/>
        <v>4.25</v>
      </c>
      <c r="L32" s="226">
        <f t="shared" si="28"/>
        <v>8.5</v>
      </c>
      <c r="M32" s="227">
        <f t="shared" si="28"/>
        <v>17</v>
      </c>
      <c r="N32" s="227">
        <f t="shared" si="28"/>
        <v>34</v>
      </c>
      <c r="O32" s="226">
        <f t="shared" ref="O32:Q32" si="29">O18*$B$13</f>
        <v>51.000000000000007</v>
      </c>
      <c r="P32" s="227">
        <f t="shared" si="29"/>
        <v>59.500000000000007</v>
      </c>
      <c r="Q32" s="227">
        <f t="shared" si="29"/>
        <v>63.92</v>
      </c>
      <c r="R32" s="226">
        <f t="shared" si="28"/>
        <v>68</v>
      </c>
      <c r="S32" s="227">
        <f t="shared" si="28"/>
        <v>136</v>
      </c>
      <c r="T32" s="227">
        <f t="shared" si="28"/>
        <v>272</v>
      </c>
      <c r="U32" s="227">
        <f t="shared" si="28"/>
        <v>544</v>
      </c>
      <c r="V32" s="227">
        <f t="shared" si="28"/>
        <v>1088</v>
      </c>
      <c r="W32" s="227">
        <f t="shared" si="28"/>
        <v>2176</v>
      </c>
      <c r="X32" s="227">
        <f t="shared" si="28"/>
        <v>4352</v>
      </c>
      <c r="Y32" s="227">
        <f t="shared" si="28"/>
        <v>8704</v>
      </c>
      <c r="Z32" s="227">
        <f t="shared" si="28"/>
        <v>17408</v>
      </c>
      <c r="AA32" s="227">
        <f t="shared" si="28"/>
        <v>34816</v>
      </c>
      <c r="AB32" s="228">
        <f t="shared" si="28"/>
        <v>69632</v>
      </c>
      <c r="AC32" s="296">
        <f t="shared" si="28"/>
        <v>139264</v>
      </c>
      <c r="AD32" s="223">
        <f t="shared" si="28"/>
        <v>217889.00000000003</v>
      </c>
      <c r="AE32" s="259">
        <f>AE18*B13</f>
        <v>43577.8</v>
      </c>
      <c r="AF32" s="57"/>
      <c r="AG32" s="57"/>
      <c r="AH32" s="81"/>
    </row>
    <row r="33" spans="1:34" x14ac:dyDescent="0.25">
      <c r="A33" s="49" t="s">
        <v>155</v>
      </c>
      <c r="B33" s="50"/>
      <c r="C33" s="51"/>
      <c r="D33" s="51"/>
      <c r="E33" s="51"/>
      <c r="F33" s="51"/>
      <c r="G33" s="217"/>
      <c r="H33" s="218"/>
      <c r="I33" s="218"/>
      <c r="J33" s="218"/>
      <c r="K33" s="218"/>
      <c r="L33" s="217"/>
      <c r="M33" s="218"/>
      <c r="N33" s="230">
        <f>($G$18*$B$13)*(2^(((N17-35)-$G$17)/$G$43))</f>
        <v>0.12472158146180765</v>
      </c>
      <c r="O33" s="231">
        <f t="shared" ref="O33:Q33" si="30">($G$18*$B$13)*(2^(((O17-35)-$G$17)/$G$43))</f>
        <v>0.32088600915831439</v>
      </c>
      <c r="P33" s="230">
        <f t="shared" si="30"/>
        <v>0.82558150455365031</v>
      </c>
      <c r="Q33" s="230">
        <f t="shared" si="30"/>
        <v>2.1240714808628431</v>
      </c>
      <c r="R33" s="231">
        <f>($G$18*$B$13)*(2^(((R17-35)-$G$17)/HLOOKUP((R17-35)-$B$14,$G$41:$AE$43,3,TRUE)))</f>
        <v>82.075886021587849</v>
      </c>
      <c r="S33" s="230">
        <f>($G$18*$B$13)*(2^(((S17-35)-$G$17)/HLOOKUP((S17-35)-$B$14,$G$41:$AE$43,3,TRUE)))</f>
        <v>97.005962887669043</v>
      </c>
      <c r="T33" s="230">
        <f>($G$18*$B$13)*(2^(((T17-35)-$G$17)/HLOOKUP((T17-35)-$B$14,$G$41:$AE$43,3,TRUE)))</f>
        <v>171.93749679885553</v>
      </c>
      <c r="U33" s="230">
        <f>($G$18*$B$13)*(2^(((U17-35)-$G$17)/HLOOKUP((U17-35)-$B$14,$G$41:$AE$43,3,TRUE)))</f>
        <v>325.45522302208661</v>
      </c>
      <c r="V33" s="230">
        <f>($G$18*$B$13)*(2^(((V17-35)-$G$17)/HLOOKUP((V17-35)-$B$14,$G$41:$AE$43,3,TRUE)))</f>
        <v>630.72564627450049</v>
      </c>
      <c r="W33" s="230">
        <f>($G$18*$B$13)*(2^(((W17-35)-$G$17)/HLOOKUP((W17-35)-$B$14,$G$41:$AE$43,3,TRUE)))</f>
        <v>1235.9791517476121</v>
      </c>
      <c r="X33" s="230">
        <f>($G$18*$B$13)*(2^(((X17-35)-$G$17)/HLOOKUP((X17-35)-$B$14,$G$41:$AE$43,3,TRUE)))</f>
        <v>2436.8920108974512</v>
      </c>
      <c r="Y33" s="230">
        <f>($G$18*$B$13)*(2^(((Y17-35)-$G$17)/HLOOKUP((Y17-35)-$B$14,$G$41:$AE$43,3,TRUE)))</f>
        <v>4822.5675981572749</v>
      </c>
      <c r="Z33" s="230">
        <f>($G$18*$B$13)*(2^(((Z17-35)-$G$17)/HLOOKUP((Z17-35)-$B$14,$G$41:$AE$43,3,TRUE)))</f>
        <v>9567.0513635659154</v>
      </c>
      <c r="AA33" s="230">
        <f>($G$18*$B$13)*(2^(((AA17-35)-$G$17)/HLOOKUP((AA17-35)-$B$14,$G$41:$AE$43,3,TRUE)))</f>
        <v>19011.117555516863</v>
      </c>
      <c r="AB33" s="229">
        <f>($G$18*$B$13)*(2^(((AB17-35)-$G$17)/HLOOKUP((AB17-35)-$B$14,$G$41:$AE$43,3,TRUE)))</f>
        <v>37823.513099296048</v>
      </c>
      <c r="AC33" s="297">
        <f>($G$18*$B$13)*(2^(((AC17-35)-$G$17)/HLOOKUP((AC17-35)-$B$14,$G$41:$AE$43,3,TRUE)))</f>
        <v>75319.241219239571</v>
      </c>
      <c r="AD33" s="222">
        <f>($G$18*$B$13)*(2^(((AD17-35)-$G$17)/HLOOKUP((AD17-35)-$B$14,$G$41:$AE$43,3,TRUE)))</f>
        <v>150088.55963658582</v>
      </c>
      <c r="AE33" s="262">
        <f>($G$18*$B$13)*(2^(((AE17 - 35) - $G$17)/AE43))</f>
        <v>93903.086952056998</v>
      </c>
      <c r="AF33" s="57"/>
      <c r="AG33" s="57"/>
      <c r="AH33" s="81"/>
    </row>
    <row r="34" spans="1:34" s="81" customFormat="1" hidden="1" x14ac:dyDescent="0.25">
      <c r="A34" s="60" t="s">
        <v>209</v>
      </c>
      <c r="B34" s="37"/>
      <c r="C34" s="59"/>
      <c r="D34" s="59"/>
      <c r="E34" s="59"/>
      <c r="F34" s="59"/>
      <c r="G34" s="164">
        <f t="shared" ref="G34:AD34" si="31">G17-7</f>
        <v>43885</v>
      </c>
      <c r="H34" s="164">
        <f t="shared" si="31"/>
        <v>43889</v>
      </c>
      <c r="I34" s="164">
        <f t="shared" si="31"/>
        <v>43893</v>
      </c>
      <c r="J34" s="164">
        <f t="shared" si="31"/>
        <v>43897</v>
      </c>
      <c r="K34" s="164">
        <f t="shared" si="31"/>
        <v>43901</v>
      </c>
      <c r="L34" s="164">
        <f t="shared" si="31"/>
        <v>43904</v>
      </c>
      <c r="M34" s="164">
        <f t="shared" si="31"/>
        <v>43907</v>
      </c>
      <c r="N34" s="164">
        <f t="shared" si="31"/>
        <v>43912</v>
      </c>
      <c r="O34" s="164"/>
      <c r="P34" s="164"/>
      <c r="Q34" s="164"/>
      <c r="R34" s="164">
        <f t="shared" si="31"/>
        <v>43952</v>
      </c>
      <c r="S34" s="164">
        <f t="shared" si="31"/>
        <v>43992</v>
      </c>
      <c r="T34" s="164">
        <f t="shared" si="31"/>
        <v>44032</v>
      </c>
      <c r="U34" s="164">
        <f t="shared" si="31"/>
        <v>44072</v>
      </c>
      <c r="V34" s="164">
        <f t="shared" si="31"/>
        <v>44112</v>
      </c>
      <c r="W34" s="164">
        <f t="shared" si="31"/>
        <v>44152</v>
      </c>
      <c r="X34" s="164">
        <f t="shared" si="31"/>
        <v>44192</v>
      </c>
      <c r="Y34" s="164">
        <f t="shared" si="31"/>
        <v>44232</v>
      </c>
      <c r="Z34" s="164">
        <f t="shared" si="31"/>
        <v>44272</v>
      </c>
      <c r="AA34" s="164">
        <f t="shared" si="31"/>
        <v>44312</v>
      </c>
      <c r="AB34" s="164">
        <f t="shared" si="31"/>
        <v>44352</v>
      </c>
      <c r="AC34" s="164">
        <f t="shared" si="31"/>
        <v>44392</v>
      </c>
      <c r="AD34" s="164">
        <f t="shared" si="31"/>
        <v>44432</v>
      </c>
      <c r="AE34" s="164"/>
      <c r="AF34" s="57"/>
      <c r="AG34" s="57"/>
    </row>
    <row r="35" spans="1:34" s="81" customFormat="1" hidden="1" x14ac:dyDescent="0.25">
      <c r="A35" s="60" t="s">
        <v>207</v>
      </c>
      <c r="B35" s="37"/>
      <c r="C35" s="59"/>
      <c r="D35" s="59"/>
      <c r="E35" s="59"/>
      <c r="F35" s="59"/>
      <c r="G35" s="164">
        <f t="shared" ref="G35:AD35" si="32">G17-14</f>
        <v>43878</v>
      </c>
      <c r="H35" s="164">
        <f t="shared" si="32"/>
        <v>43882</v>
      </c>
      <c r="I35" s="164">
        <f t="shared" si="32"/>
        <v>43886</v>
      </c>
      <c r="J35" s="164">
        <f t="shared" si="32"/>
        <v>43890</v>
      </c>
      <c r="K35" s="164">
        <f t="shared" si="32"/>
        <v>43894</v>
      </c>
      <c r="L35" s="164">
        <f t="shared" si="32"/>
        <v>43897</v>
      </c>
      <c r="M35" s="164">
        <f t="shared" si="32"/>
        <v>43900</v>
      </c>
      <c r="N35" s="164">
        <f t="shared" si="32"/>
        <v>43905</v>
      </c>
      <c r="O35" s="164"/>
      <c r="P35" s="164"/>
      <c r="Q35" s="164"/>
      <c r="R35" s="164">
        <f t="shared" si="32"/>
        <v>43945</v>
      </c>
      <c r="S35" s="164">
        <f t="shared" si="32"/>
        <v>43985</v>
      </c>
      <c r="T35" s="164">
        <f t="shared" si="32"/>
        <v>44025</v>
      </c>
      <c r="U35" s="164">
        <f t="shared" si="32"/>
        <v>44065</v>
      </c>
      <c r="V35" s="164">
        <f t="shared" si="32"/>
        <v>44105</v>
      </c>
      <c r="W35" s="164">
        <f t="shared" si="32"/>
        <v>44145</v>
      </c>
      <c r="X35" s="164">
        <f t="shared" si="32"/>
        <v>44185</v>
      </c>
      <c r="Y35" s="164">
        <f t="shared" si="32"/>
        <v>44225</v>
      </c>
      <c r="Z35" s="164">
        <f t="shared" si="32"/>
        <v>44265</v>
      </c>
      <c r="AA35" s="164">
        <f t="shared" si="32"/>
        <v>44305</v>
      </c>
      <c r="AB35" s="164">
        <f t="shared" si="32"/>
        <v>44345</v>
      </c>
      <c r="AC35" s="164">
        <f t="shared" si="32"/>
        <v>44385</v>
      </c>
      <c r="AD35" s="164">
        <f t="shared" si="32"/>
        <v>44425</v>
      </c>
      <c r="AE35" s="164"/>
      <c r="AF35" s="57"/>
      <c r="AG35" s="57"/>
    </row>
    <row r="36" spans="1:34" s="81" customFormat="1" hidden="1" x14ac:dyDescent="0.25">
      <c r="A36" s="60" t="s">
        <v>210</v>
      </c>
      <c r="B36" s="37"/>
      <c r="C36" s="59"/>
      <c r="D36" s="59"/>
      <c r="E36" s="59"/>
      <c r="F36" s="59"/>
      <c r="G36" s="164">
        <f t="shared" ref="G36:AD36" si="33">G17-(7*5)</f>
        <v>43857</v>
      </c>
      <c r="H36" s="164">
        <f t="shared" si="33"/>
        <v>43861</v>
      </c>
      <c r="I36" s="164">
        <f t="shared" si="33"/>
        <v>43865</v>
      </c>
      <c r="J36" s="164">
        <f t="shared" si="33"/>
        <v>43869</v>
      </c>
      <c r="K36" s="164">
        <f t="shared" si="33"/>
        <v>43873</v>
      </c>
      <c r="L36" s="164">
        <f t="shared" si="33"/>
        <v>43876</v>
      </c>
      <c r="M36" s="164">
        <f t="shared" si="33"/>
        <v>43879</v>
      </c>
      <c r="N36" s="164">
        <f t="shared" si="33"/>
        <v>43884</v>
      </c>
      <c r="O36" s="164"/>
      <c r="P36" s="164"/>
      <c r="Q36" s="164"/>
      <c r="R36" s="164">
        <f t="shared" si="33"/>
        <v>43924</v>
      </c>
      <c r="S36" s="164">
        <f t="shared" si="33"/>
        <v>43964</v>
      </c>
      <c r="T36" s="164">
        <f t="shared" si="33"/>
        <v>44004</v>
      </c>
      <c r="U36" s="164">
        <f t="shared" si="33"/>
        <v>44044</v>
      </c>
      <c r="V36" s="164">
        <f t="shared" si="33"/>
        <v>44084</v>
      </c>
      <c r="W36" s="164">
        <f t="shared" si="33"/>
        <v>44124</v>
      </c>
      <c r="X36" s="164">
        <f t="shared" si="33"/>
        <v>44164</v>
      </c>
      <c r="Y36" s="164">
        <f t="shared" si="33"/>
        <v>44204</v>
      </c>
      <c r="Z36" s="164">
        <f t="shared" si="33"/>
        <v>44244</v>
      </c>
      <c r="AA36" s="164">
        <f t="shared" si="33"/>
        <v>44284</v>
      </c>
      <c r="AB36" s="164">
        <f t="shared" si="33"/>
        <v>44324</v>
      </c>
      <c r="AC36" s="164">
        <f t="shared" si="33"/>
        <v>44364</v>
      </c>
      <c r="AD36" s="164">
        <f t="shared" si="33"/>
        <v>44404</v>
      </c>
      <c r="AE36" s="164"/>
      <c r="AF36" s="57"/>
      <c r="AG36" s="57"/>
    </row>
    <row r="37" spans="1:34" s="81" customFormat="1" hidden="1" x14ac:dyDescent="0.25">
      <c r="A37" s="60" t="s">
        <v>208</v>
      </c>
      <c r="B37" s="37"/>
      <c r="C37" s="59"/>
      <c r="D37" s="59"/>
      <c r="E37" s="59"/>
      <c r="F37" s="59"/>
      <c r="G37" s="164">
        <f t="shared" ref="G37:AD37" si="34">G17-(6*7)</f>
        <v>43850</v>
      </c>
      <c r="H37" s="164">
        <f t="shared" si="34"/>
        <v>43854</v>
      </c>
      <c r="I37" s="164">
        <f t="shared" si="34"/>
        <v>43858</v>
      </c>
      <c r="J37" s="164">
        <f t="shared" si="34"/>
        <v>43862</v>
      </c>
      <c r="K37" s="164">
        <f t="shared" si="34"/>
        <v>43866</v>
      </c>
      <c r="L37" s="164">
        <f t="shared" si="34"/>
        <v>43869</v>
      </c>
      <c r="M37" s="164">
        <f t="shared" si="34"/>
        <v>43872</v>
      </c>
      <c r="N37" s="164">
        <f t="shared" si="34"/>
        <v>43877</v>
      </c>
      <c r="O37" s="164"/>
      <c r="P37" s="164"/>
      <c r="Q37" s="164"/>
      <c r="R37" s="164">
        <f t="shared" si="34"/>
        <v>43917</v>
      </c>
      <c r="S37" s="164">
        <f t="shared" si="34"/>
        <v>43957</v>
      </c>
      <c r="T37" s="164">
        <f t="shared" si="34"/>
        <v>43997</v>
      </c>
      <c r="U37" s="164">
        <f t="shared" si="34"/>
        <v>44037</v>
      </c>
      <c r="V37" s="164">
        <f t="shared" si="34"/>
        <v>44077</v>
      </c>
      <c r="W37" s="164">
        <f t="shared" si="34"/>
        <v>44117</v>
      </c>
      <c r="X37" s="164">
        <f t="shared" si="34"/>
        <v>44157</v>
      </c>
      <c r="Y37" s="164">
        <f t="shared" si="34"/>
        <v>44197</v>
      </c>
      <c r="Z37" s="164">
        <f t="shared" si="34"/>
        <v>44237</v>
      </c>
      <c r="AA37" s="164">
        <f t="shared" si="34"/>
        <v>44277</v>
      </c>
      <c r="AB37" s="164">
        <f t="shared" si="34"/>
        <v>44317</v>
      </c>
      <c r="AC37" s="164">
        <f t="shared" si="34"/>
        <v>44357</v>
      </c>
      <c r="AD37" s="164">
        <f t="shared" si="34"/>
        <v>44397</v>
      </c>
      <c r="AE37" s="164"/>
      <c r="AF37" s="57"/>
      <c r="AG37" s="57"/>
    </row>
    <row r="39" spans="1:34" x14ac:dyDescent="0.25">
      <c r="A39" s="65" t="s">
        <v>140</v>
      </c>
      <c r="B39" s="27"/>
      <c r="C39" s="28"/>
      <c r="D39" s="28"/>
      <c r="E39" s="28"/>
      <c r="F39" s="28"/>
    </row>
    <row r="40" spans="1:34" s="81" customFormat="1" x14ac:dyDescent="0.25">
      <c r="A40" s="157" t="s">
        <v>205</v>
      </c>
      <c r="B40" s="37"/>
      <c r="C40" s="59"/>
      <c r="D40" s="59"/>
      <c r="E40" s="59"/>
      <c r="F40" s="59"/>
      <c r="G40" s="158">
        <f t="shared" ref="G40:AE40" si="35">(G17-$B$14)/7</f>
        <v>5.2857142857142856</v>
      </c>
      <c r="H40" s="155">
        <f t="shared" si="35"/>
        <v>5.8571428571428568</v>
      </c>
      <c r="I40" s="156">
        <f t="shared" si="35"/>
        <v>6.4285714285714288</v>
      </c>
      <c r="J40" s="158">
        <f t="shared" si="35"/>
        <v>7</v>
      </c>
      <c r="K40" s="155">
        <f t="shared" si="35"/>
        <v>7.5714285714285712</v>
      </c>
      <c r="L40" s="159">
        <f t="shared" si="35"/>
        <v>8</v>
      </c>
      <c r="M40" s="156">
        <f t="shared" si="35"/>
        <v>8.4285714285714288</v>
      </c>
      <c r="N40" s="158">
        <f t="shared" si="35"/>
        <v>9.1428571428571423</v>
      </c>
      <c r="O40" s="158">
        <f t="shared" ref="O40:Q40" si="36">(O17-$B$14)/7</f>
        <v>10.571428571428571</v>
      </c>
      <c r="P40" s="155">
        <f t="shared" si="36"/>
        <v>12</v>
      </c>
      <c r="Q40" s="155">
        <f t="shared" si="36"/>
        <v>13.428571428571429</v>
      </c>
      <c r="R40" s="155">
        <f t="shared" si="35"/>
        <v>14.857142857142858</v>
      </c>
      <c r="S40" s="158">
        <f t="shared" si="35"/>
        <v>20.571428571428573</v>
      </c>
      <c r="T40" s="156">
        <f t="shared" si="35"/>
        <v>26.285714285714285</v>
      </c>
      <c r="U40" s="158">
        <f t="shared" si="35"/>
        <v>32</v>
      </c>
      <c r="V40" s="158">
        <f t="shared" si="35"/>
        <v>37.714285714285715</v>
      </c>
      <c r="W40" s="156">
        <f t="shared" si="35"/>
        <v>43.428571428571431</v>
      </c>
      <c r="X40" s="158">
        <f t="shared" si="35"/>
        <v>49.142857142857146</v>
      </c>
      <c r="Y40" s="158">
        <f t="shared" si="35"/>
        <v>54.857142857142854</v>
      </c>
      <c r="Z40" s="158">
        <f t="shared" si="35"/>
        <v>60.571428571428569</v>
      </c>
      <c r="AA40" s="156">
        <f t="shared" si="35"/>
        <v>66.285714285714292</v>
      </c>
      <c r="AB40" s="155">
        <f t="shared" si="35"/>
        <v>72</v>
      </c>
      <c r="AC40" s="158">
        <f t="shared" si="35"/>
        <v>77.714285714285708</v>
      </c>
      <c r="AD40" s="158">
        <f t="shared" si="35"/>
        <v>83.428571428571431</v>
      </c>
      <c r="AE40" s="158">
        <f t="shared" si="35"/>
        <v>91.428571428571431</v>
      </c>
    </row>
    <row r="41" spans="1:34" s="81" customFormat="1" x14ac:dyDescent="0.25">
      <c r="A41" s="157" t="s">
        <v>204</v>
      </c>
      <c r="B41" s="37"/>
      <c r="C41" s="59"/>
      <c r="D41" s="59"/>
      <c r="E41" s="59"/>
      <c r="F41" s="59"/>
      <c r="G41" s="274">
        <f>G17-B14</f>
        <v>37</v>
      </c>
      <c r="H41" s="275">
        <f t="shared" ref="H41:AE41" si="37">H17-$B$14</f>
        <v>41</v>
      </c>
      <c r="I41" s="275">
        <f t="shared" si="37"/>
        <v>45</v>
      </c>
      <c r="J41" s="275">
        <f t="shared" si="37"/>
        <v>49</v>
      </c>
      <c r="K41" s="275">
        <f t="shared" si="37"/>
        <v>53</v>
      </c>
      <c r="L41" s="275">
        <f t="shared" si="37"/>
        <v>56</v>
      </c>
      <c r="M41" s="275">
        <f t="shared" si="37"/>
        <v>59</v>
      </c>
      <c r="N41" s="275">
        <f t="shared" si="37"/>
        <v>64</v>
      </c>
      <c r="O41" s="275">
        <f t="shared" ref="O41:Q41" si="38">O17-$B$14</f>
        <v>74</v>
      </c>
      <c r="P41" s="275">
        <f t="shared" si="38"/>
        <v>84</v>
      </c>
      <c r="Q41" s="275">
        <f t="shared" si="38"/>
        <v>94</v>
      </c>
      <c r="R41" s="275">
        <f t="shared" si="37"/>
        <v>104</v>
      </c>
      <c r="S41" s="275">
        <f t="shared" si="37"/>
        <v>144</v>
      </c>
      <c r="T41" s="275">
        <f t="shared" si="37"/>
        <v>184</v>
      </c>
      <c r="U41" s="275">
        <f t="shared" si="37"/>
        <v>224</v>
      </c>
      <c r="V41" s="275">
        <f t="shared" si="37"/>
        <v>264</v>
      </c>
      <c r="W41" s="275">
        <f t="shared" si="37"/>
        <v>304</v>
      </c>
      <c r="X41" s="275">
        <f t="shared" si="37"/>
        <v>344</v>
      </c>
      <c r="Y41" s="275">
        <f t="shared" si="37"/>
        <v>384</v>
      </c>
      <c r="Z41" s="275">
        <f t="shared" si="37"/>
        <v>424</v>
      </c>
      <c r="AA41" s="276">
        <f t="shared" si="37"/>
        <v>464</v>
      </c>
      <c r="AB41" s="275">
        <f t="shared" si="37"/>
        <v>504</v>
      </c>
      <c r="AC41" s="280">
        <f t="shared" si="37"/>
        <v>544</v>
      </c>
      <c r="AD41" s="273">
        <f t="shared" si="37"/>
        <v>584</v>
      </c>
      <c r="AE41" s="273">
        <f t="shared" si="37"/>
        <v>640</v>
      </c>
    </row>
    <row r="42" spans="1:34" x14ac:dyDescent="0.25">
      <c r="A42" s="53" t="s">
        <v>134</v>
      </c>
      <c r="B42" s="28"/>
      <c r="C42" s="28"/>
      <c r="D42" s="28"/>
      <c r="E42" s="28"/>
      <c r="F42" s="28"/>
      <c r="G42" s="160">
        <v>33</v>
      </c>
      <c r="H42" s="161">
        <v>63</v>
      </c>
      <c r="I42" s="162">
        <v>116</v>
      </c>
      <c r="J42" s="162">
        <v>248</v>
      </c>
      <c r="K42" s="162">
        <v>596</v>
      </c>
      <c r="L42" s="162">
        <v>1072</v>
      </c>
      <c r="M42" s="162">
        <v>2317</v>
      </c>
      <c r="N42" s="162">
        <v>4163</v>
      </c>
      <c r="O42" s="162">
        <v>6052</v>
      </c>
      <c r="P42" s="198">
        <v>7000</v>
      </c>
      <c r="Q42" s="198">
        <v>7520</v>
      </c>
      <c r="R42" s="198">
        <v>8000</v>
      </c>
      <c r="S42" s="198">
        <f>R42*2</f>
        <v>16000</v>
      </c>
      <c r="T42" s="198">
        <f t="shared" ref="T42:AC42" si="39">S42*2</f>
        <v>32000</v>
      </c>
      <c r="U42" s="198">
        <f t="shared" si="39"/>
        <v>64000</v>
      </c>
      <c r="V42" s="198">
        <f t="shared" si="39"/>
        <v>128000</v>
      </c>
      <c r="W42" s="198">
        <f t="shared" si="39"/>
        <v>256000</v>
      </c>
      <c r="X42" s="198">
        <f t="shared" si="39"/>
        <v>512000</v>
      </c>
      <c r="Y42" s="198">
        <f t="shared" si="39"/>
        <v>1024000</v>
      </c>
      <c r="Z42" s="198">
        <f t="shared" si="39"/>
        <v>2048000</v>
      </c>
      <c r="AA42" s="198">
        <f t="shared" si="39"/>
        <v>4096000</v>
      </c>
      <c r="AB42" s="198">
        <f t="shared" si="39"/>
        <v>8192000</v>
      </c>
      <c r="AC42" s="271">
        <f t="shared" si="39"/>
        <v>16384000</v>
      </c>
      <c r="AD42" s="202">
        <f>AD18</f>
        <v>25634000</v>
      </c>
      <c r="AE42" s="203">
        <f>AD42</f>
        <v>25634000</v>
      </c>
    </row>
    <row r="43" spans="1:34" x14ac:dyDescent="0.25">
      <c r="A43" s="53" t="s">
        <v>265</v>
      </c>
      <c r="B43" s="28"/>
      <c r="C43" s="28"/>
      <c r="D43" s="28"/>
      <c r="E43" s="28"/>
      <c r="F43" s="28"/>
      <c r="G43" s="209">
        <f>(G17-B14)/(LOG(G42/1)/LOG(2))</f>
        <v>7.3348749373107394</v>
      </c>
      <c r="H43" s="190">
        <f t="shared" ref="H43:AE43" si="40">(H17-$G$17)/(LOG(H42/$G$42)/LOG(2))</f>
        <v>4.287770252524326</v>
      </c>
      <c r="I43" s="190">
        <f t="shared" si="40"/>
        <v>4.4111479339015975</v>
      </c>
      <c r="J43" s="190">
        <f t="shared" si="40"/>
        <v>4.1239916709798061</v>
      </c>
      <c r="K43" s="190">
        <f t="shared" si="40"/>
        <v>3.8325424233151351</v>
      </c>
      <c r="L43" s="190">
        <f t="shared" si="40"/>
        <v>3.7835829796492675</v>
      </c>
      <c r="M43" s="190">
        <f t="shared" si="40"/>
        <v>3.5867723822019695</v>
      </c>
      <c r="N43" s="190">
        <f t="shared" si="40"/>
        <v>3.8687414968098568</v>
      </c>
      <c r="O43" s="190">
        <f t="shared" ref="O43:Q43" si="41">(O17-$G$17)/(LOG(O42/$G$42)/LOG(2))</f>
        <v>4.9209966225716419</v>
      </c>
      <c r="P43" s="199">
        <f t="shared" si="41"/>
        <v>6.0811942260663718</v>
      </c>
      <c r="Q43" s="199">
        <f t="shared" si="41"/>
        <v>7.2777203904410648</v>
      </c>
      <c r="R43" s="199">
        <f t="shared" si="40"/>
        <v>8.4581113418028231</v>
      </c>
      <c r="S43" s="199">
        <f t="shared" si="40"/>
        <v>11.993646507708624</v>
      </c>
      <c r="T43" s="199">
        <f t="shared" si="40"/>
        <v>14.816472041798916</v>
      </c>
      <c r="U43" s="199">
        <f t="shared" si="40"/>
        <v>17.122362370505154</v>
      </c>
      <c r="V43" s="199">
        <f t="shared" si="40"/>
        <v>19.041403464896863</v>
      </c>
      <c r="W43" s="199">
        <f t="shared" si="40"/>
        <v>20.663411334559441</v>
      </c>
      <c r="X43" s="199">
        <f t="shared" si="40"/>
        <v>22.052395368182264</v>
      </c>
      <c r="Y43" s="199">
        <f t="shared" si="40"/>
        <v>23.255205859228258</v>
      </c>
      <c r="Z43" s="199">
        <f t="shared" si="40"/>
        <v>24.306922698456436</v>
      </c>
      <c r="AA43" s="199">
        <f t="shared" si="40"/>
        <v>25.234333339558571</v>
      </c>
      <c r="AB43" s="199">
        <f t="shared" si="40"/>
        <v>26.058246357703123</v>
      </c>
      <c r="AC43" s="272">
        <f t="shared" si="40"/>
        <v>26.795071375341735</v>
      </c>
      <c r="AD43" s="204">
        <f t="shared" si="40"/>
        <v>27.955000494905821</v>
      </c>
      <c r="AE43" s="205">
        <f t="shared" si="40"/>
        <v>30.816938388351392</v>
      </c>
    </row>
    <row r="44" spans="1:34" x14ac:dyDescent="0.25">
      <c r="A44" s="53" t="s">
        <v>297</v>
      </c>
      <c r="B44" s="28"/>
      <c r="C44" s="28"/>
      <c r="D44" s="28"/>
      <c r="E44" s="28"/>
      <c r="F44" s="28"/>
      <c r="G44" s="277">
        <v>17</v>
      </c>
      <c r="H44" s="278">
        <v>39</v>
      </c>
      <c r="I44" s="278">
        <v>91</v>
      </c>
      <c r="J44" s="278">
        <v>218</v>
      </c>
      <c r="K44" s="278">
        <v>547</v>
      </c>
      <c r="L44" s="278">
        <v>1019</v>
      </c>
      <c r="M44" s="278">
        <v>2191</v>
      </c>
      <c r="N44" s="278">
        <v>3902</v>
      </c>
      <c r="O44" s="278">
        <v>3189</v>
      </c>
      <c r="P44" s="279"/>
      <c r="Q44" s="279"/>
      <c r="R44" s="279"/>
      <c r="S44" s="279"/>
      <c r="T44" s="279"/>
      <c r="U44" s="279"/>
      <c r="V44" s="279"/>
      <c r="W44" s="279"/>
      <c r="X44" s="279"/>
      <c r="Y44" s="279"/>
      <c r="Z44" s="279"/>
      <c r="AA44" s="279"/>
      <c r="AB44" s="279"/>
      <c r="AC44" s="271"/>
      <c r="AD44" s="202"/>
      <c r="AE44" s="203"/>
    </row>
    <row r="45" spans="1:34" x14ac:dyDescent="0.25">
      <c r="A45" s="53" t="s">
        <v>163</v>
      </c>
      <c r="B45" s="28"/>
      <c r="C45" s="28"/>
      <c r="D45" s="28"/>
      <c r="E45" s="28"/>
      <c r="F45" s="28"/>
      <c r="G45" s="119">
        <f>G42-G44-G46</f>
        <v>15</v>
      </c>
      <c r="H45" s="120">
        <f>H42-H44-H46</f>
        <v>22</v>
      </c>
      <c r="I45" s="120">
        <f t="shared" ref="I45:J45" si="42">I42-I44-I46</f>
        <v>22</v>
      </c>
      <c r="J45" s="120">
        <f t="shared" si="42"/>
        <v>25</v>
      </c>
      <c r="K45" s="163">
        <f>K42-K44-K46</f>
        <v>43</v>
      </c>
      <c r="L45" s="163">
        <f t="shared" ref="L45:N45" si="43">L42-L44-L46</f>
        <v>46</v>
      </c>
      <c r="M45" s="163">
        <f t="shared" si="43"/>
        <v>118</v>
      </c>
      <c r="N45" s="163">
        <f t="shared" si="43"/>
        <v>245</v>
      </c>
      <c r="O45" s="163">
        <f t="shared" ref="O45" si="44">O42-O44-O46</f>
        <v>2813</v>
      </c>
      <c r="P45" s="265">
        <v>3494</v>
      </c>
      <c r="Q45" s="265"/>
      <c r="R45" s="265"/>
      <c r="S45" s="200"/>
      <c r="T45" s="200"/>
      <c r="U45" s="200"/>
      <c r="V45" s="200"/>
      <c r="W45" s="200"/>
      <c r="X45" s="200"/>
      <c r="Y45" s="200"/>
      <c r="Z45" s="200"/>
      <c r="AA45" s="200"/>
      <c r="AB45" s="200"/>
      <c r="AC45" s="271"/>
      <c r="AD45" s="202"/>
      <c r="AE45" s="203"/>
    </row>
    <row r="46" spans="1:34" x14ac:dyDescent="0.25">
      <c r="A46" s="61" t="s">
        <v>135</v>
      </c>
      <c r="B46" s="50"/>
      <c r="C46" s="51"/>
      <c r="D46" s="51"/>
      <c r="E46" s="51"/>
      <c r="F46" s="51"/>
      <c r="G46" s="79">
        <v>1</v>
      </c>
      <c r="H46" s="80">
        <v>2</v>
      </c>
      <c r="I46" s="64">
        <v>3</v>
      </c>
      <c r="J46" s="64">
        <v>5</v>
      </c>
      <c r="K46" s="64">
        <v>6</v>
      </c>
      <c r="L46" s="64">
        <v>7</v>
      </c>
      <c r="M46" s="64">
        <v>8</v>
      </c>
      <c r="N46" s="64">
        <v>16</v>
      </c>
      <c r="O46" s="64">
        <v>50</v>
      </c>
      <c r="P46" s="266">
        <v>61</v>
      </c>
      <c r="Q46" s="266"/>
      <c r="R46" s="266"/>
      <c r="S46" s="201"/>
      <c r="T46" s="201"/>
      <c r="U46" s="201"/>
      <c r="V46" s="201"/>
      <c r="W46" s="201"/>
      <c r="X46" s="201"/>
      <c r="Y46" s="201"/>
      <c r="Z46" s="201"/>
      <c r="AA46" s="201"/>
      <c r="AB46" s="201"/>
      <c r="AC46" s="250"/>
      <c r="AD46" s="245"/>
      <c r="AE46" s="246"/>
    </row>
    <row r="47" spans="1:34" x14ac:dyDescent="0.25">
      <c r="B47" s="3"/>
      <c r="G47" s="47"/>
      <c r="H47" s="47"/>
      <c r="I47" s="47"/>
      <c r="J47" s="47"/>
      <c r="K47" s="47"/>
      <c r="L47" s="47"/>
      <c r="M47" s="47"/>
      <c r="N47" s="47"/>
      <c r="O47" s="47"/>
      <c r="P47" s="47"/>
      <c r="Q47" s="47"/>
      <c r="R47" s="47"/>
      <c r="S47" s="47"/>
      <c r="T47" s="47"/>
      <c r="U47" s="47"/>
      <c r="V47" s="47"/>
      <c r="W47" s="47"/>
      <c r="X47" s="47"/>
      <c r="Y47" s="47"/>
      <c r="Z47" s="47"/>
      <c r="AA47" s="47"/>
    </row>
    <row r="48" spans="1:34" x14ac:dyDescent="0.25">
      <c r="A48" s="86" t="s">
        <v>141</v>
      </c>
      <c r="AA48" s="28"/>
    </row>
    <row r="49" spans="1:31" x14ac:dyDescent="0.25">
      <c r="A49" s="16" t="s">
        <v>1</v>
      </c>
      <c r="B49" s="69" t="s">
        <v>147</v>
      </c>
      <c r="C49" s="17" t="s">
        <v>4</v>
      </c>
      <c r="D49" s="69" t="s">
        <v>143</v>
      </c>
      <c r="E49" s="70" t="s">
        <v>3</v>
      </c>
      <c r="F49" s="21" t="s">
        <v>4</v>
      </c>
      <c r="G49" s="21"/>
      <c r="H49" s="21"/>
      <c r="I49" s="21"/>
      <c r="J49" s="21"/>
      <c r="K49" s="21"/>
      <c r="L49" s="21"/>
      <c r="M49" s="21"/>
      <c r="N49" s="21"/>
      <c r="O49" s="21"/>
      <c r="P49" s="21"/>
      <c r="Q49" s="21"/>
      <c r="R49" s="21"/>
      <c r="S49" s="21"/>
      <c r="T49" s="21"/>
      <c r="U49" s="21"/>
      <c r="V49" s="21"/>
      <c r="W49" s="21"/>
      <c r="X49" s="21"/>
      <c r="Y49" s="21"/>
      <c r="Z49" s="21"/>
      <c r="AA49" s="21"/>
      <c r="AB49" s="21"/>
      <c r="AC49" s="21"/>
      <c r="AD49" s="17"/>
      <c r="AE49" s="59"/>
    </row>
    <row r="50" spans="1:31" x14ac:dyDescent="0.25">
      <c r="A50" s="53" t="s">
        <v>13</v>
      </c>
      <c r="B50" s="25">
        <f>'ABS Population by Age Range'!D107</f>
        <v>4.0260989985204748E-2</v>
      </c>
      <c r="C50" s="24">
        <f>$B$5*B50</f>
        <v>1032050.2172807385</v>
      </c>
      <c r="D50" s="34">
        <f>'AU Infection Rate by Age'!C4</f>
        <v>2.8890015205271159E-2</v>
      </c>
      <c r="E50" s="17"/>
      <c r="F50" s="28"/>
      <c r="G50" s="30">
        <f t="shared" ref="G50:AD50" si="45">G$18*$D$50</f>
        <v>0.9028129751647237</v>
      </c>
      <c r="H50" s="31">
        <f t="shared" si="45"/>
        <v>1.8056259503294474</v>
      </c>
      <c r="I50" s="31">
        <f t="shared" si="45"/>
        <v>3.6112519006588948</v>
      </c>
      <c r="J50" s="31">
        <f t="shared" si="45"/>
        <v>7.2225038013177896</v>
      </c>
      <c r="K50" s="31">
        <f t="shared" si="45"/>
        <v>14.445007602635579</v>
      </c>
      <c r="L50" s="31">
        <f t="shared" si="45"/>
        <v>28.890015205271158</v>
      </c>
      <c r="M50" s="31">
        <f t="shared" si="45"/>
        <v>57.780030410542317</v>
      </c>
      <c r="N50" s="31">
        <f t="shared" si="45"/>
        <v>115.56006082108463</v>
      </c>
      <c r="O50" s="31">
        <f t="shared" si="45"/>
        <v>173.34009123162696</v>
      </c>
      <c r="P50" s="31">
        <f t="shared" si="45"/>
        <v>202.23010643689813</v>
      </c>
      <c r="Q50" s="31">
        <f t="shared" si="45"/>
        <v>217.25291434363911</v>
      </c>
      <c r="R50" s="31">
        <f t="shared" si="45"/>
        <v>231.12012164216927</v>
      </c>
      <c r="S50" s="31">
        <f t="shared" si="45"/>
        <v>462.24024328433853</v>
      </c>
      <c r="T50" s="31">
        <f t="shared" si="45"/>
        <v>924.48048656867707</v>
      </c>
      <c r="U50" s="31">
        <f t="shared" si="45"/>
        <v>1848.9609731373541</v>
      </c>
      <c r="V50" s="31">
        <f t="shared" si="45"/>
        <v>3697.9219462747083</v>
      </c>
      <c r="W50" s="31">
        <f t="shared" si="45"/>
        <v>7395.8438925494165</v>
      </c>
      <c r="X50" s="31">
        <f t="shared" si="45"/>
        <v>14791.687785098833</v>
      </c>
      <c r="Y50" s="31">
        <f t="shared" si="45"/>
        <v>29583.375570197666</v>
      </c>
      <c r="Z50" s="31">
        <f t="shared" si="45"/>
        <v>59166.751140395332</v>
      </c>
      <c r="AA50" s="31">
        <f t="shared" si="45"/>
        <v>118333.50228079066</v>
      </c>
      <c r="AB50" s="72">
        <f t="shared" si="45"/>
        <v>236667.00456158133</v>
      </c>
      <c r="AC50" s="31">
        <f t="shared" si="45"/>
        <v>473334.00912316266</v>
      </c>
      <c r="AD50" s="72">
        <f t="shared" si="45"/>
        <v>740566.64977192087</v>
      </c>
      <c r="AE50" s="57"/>
    </row>
    <row r="51" spans="1:31" x14ac:dyDescent="0.25">
      <c r="A51" s="53"/>
      <c r="B51" s="18"/>
      <c r="C51" s="22"/>
      <c r="D51" s="20"/>
      <c r="E51" s="39">
        <v>0.14799999999999999</v>
      </c>
      <c r="F51" s="22"/>
      <c r="G51" s="41">
        <f t="shared" ref="G51:AD51" si="46">G$18*$D$50*$E$51</f>
        <v>0.13361632032437909</v>
      </c>
      <c r="H51" s="42">
        <f t="shared" si="46"/>
        <v>0.26723264064875818</v>
      </c>
      <c r="I51" s="42">
        <f t="shared" si="46"/>
        <v>0.53446528129751636</v>
      </c>
      <c r="J51" s="42">
        <f t="shared" si="46"/>
        <v>1.0689305625950327</v>
      </c>
      <c r="K51" s="42">
        <f t="shared" si="46"/>
        <v>2.1378611251900654</v>
      </c>
      <c r="L51" s="42">
        <f t="shared" si="46"/>
        <v>4.2757222503801309</v>
      </c>
      <c r="M51" s="42">
        <f t="shared" si="46"/>
        <v>8.5514445007602617</v>
      </c>
      <c r="N51" s="42">
        <f t="shared" si="46"/>
        <v>17.102889001520523</v>
      </c>
      <c r="O51" s="42">
        <f t="shared" si="46"/>
        <v>25.654333502280789</v>
      </c>
      <c r="P51" s="42">
        <f t="shared" si="46"/>
        <v>29.93005575266092</v>
      </c>
      <c r="Q51" s="42">
        <f t="shared" si="46"/>
        <v>32.153431322858587</v>
      </c>
      <c r="R51" s="42">
        <f t="shared" si="46"/>
        <v>34.205778003041047</v>
      </c>
      <c r="S51" s="42">
        <f t="shared" si="46"/>
        <v>68.411556006082094</v>
      </c>
      <c r="T51" s="42">
        <f t="shared" si="46"/>
        <v>136.82311201216419</v>
      </c>
      <c r="U51" s="42">
        <f t="shared" si="46"/>
        <v>273.64622402432838</v>
      </c>
      <c r="V51" s="42">
        <f t="shared" si="46"/>
        <v>547.29244804865675</v>
      </c>
      <c r="W51" s="42">
        <f t="shared" si="46"/>
        <v>1094.5848960973135</v>
      </c>
      <c r="X51" s="42">
        <f t="shared" si="46"/>
        <v>2189.169792194627</v>
      </c>
      <c r="Y51" s="42">
        <f t="shared" si="46"/>
        <v>4378.339584389254</v>
      </c>
      <c r="Z51" s="42">
        <f t="shared" si="46"/>
        <v>8756.679168778508</v>
      </c>
      <c r="AA51" s="42">
        <f t="shared" si="46"/>
        <v>17513.358337557016</v>
      </c>
      <c r="AB51" s="83">
        <f t="shared" si="46"/>
        <v>35026.716675114032</v>
      </c>
      <c r="AC51" s="42">
        <f t="shared" si="46"/>
        <v>70053.433350228064</v>
      </c>
      <c r="AD51" s="83">
        <f t="shared" si="46"/>
        <v>109603.86416624428</v>
      </c>
      <c r="AE51" s="57"/>
    </row>
    <row r="52" spans="1:31" x14ac:dyDescent="0.25">
      <c r="A52" s="53" t="s">
        <v>14</v>
      </c>
      <c r="B52" s="18">
        <f>'ABS Population by Age Range'!D97</f>
        <v>7.065336711718416E-2</v>
      </c>
      <c r="C52" s="22">
        <f t="shared" ref="C52:C66" si="47">$B$5*B52</f>
        <v>1811128.4126818988</v>
      </c>
      <c r="D52" s="35">
        <f>'AU Infection Rate by Age'!C5</f>
        <v>0.10609900321000169</v>
      </c>
      <c r="E52" s="29"/>
      <c r="F52" s="28"/>
      <c r="G52" s="32">
        <f t="shared" ref="G52:AD52" si="48">G$18*$D$52</f>
        <v>3.315593850312553</v>
      </c>
      <c r="H52" s="33">
        <f t="shared" si="48"/>
        <v>6.6311877006251061</v>
      </c>
      <c r="I52" s="33">
        <f t="shared" si="48"/>
        <v>13.262375401250212</v>
      </c>
      <c r="J52" s="33">
        <f t="shared" si="48"/>
        <v>26.524750802500424</v>
      </c>
      <c r="K52" s="33">
        <f t="shared" si="48"/>
        <v>53.049501605000849</v>
      </c>
      <c r="L52" s="33">
        <f t="shared" si="48"/>
        <v>106.0990032100017</v>
      </c>
      <c r="M52" s="33">
        <f t="shared" si="48"/>
        <v>212.1980064200034</v>
      </c>
      <c r="N52" s="33">
        <f t="shared" si="48"/>
        <v>424.39601284000679</v>
      </c>
      <c r="O52" s="33">
        <f t="shared" si="48"/>
        <v>636.59401926001021</v>
      </c>
      <c r="P52" s="33">
        <f t="shared" si="48"/>
        <v>742.6930224700119</v>
      </c>
      <c r="Q52" s="33">
        <f t="shared" si="48"/>
        <v>797.86450413921273</v>
      </c>
      <c r="R52" s="33">
        <f t="shared" si="48"/>
        <v>848.79202568001358</v>
      </c>
      <c r="S52" s="33">
        <f t="shared" si="48"/>
        <v>1697.5840513600272</v>
      </c>
      <c r="T52" s="33">
        <f t="shared" si="48"/>
        <v>3395.1681027200543</v>
      </c>
      <c r="U52" s="33">
        <f t="shared" si="48"/>
        <v>6790.3362054401086</v>
      </c>
      <c r="V52" s="33">
        <f t="shared" si="48"/>
        <v>13580.672410880217</v>
      </c>
      <c r="W52" s="33">
        <f t="shared" si="48"/>
        <v>27161.344821760435</v>
      </c>
      <c r="X52" s="33">
        <f t="shared" si="48"/>
        <v>54322.689643520869</v>
      </c>
      <c r="Y52" s="33">
        <f t="shared" si="48"/>
        <v>108645.37928704174</v>
      </c>
      <c r="Z52" s="33">
        <f t="shared" si="48"/>
        <v>217290.75857408348</v>
      </c>
      <c r="AA52" s="33">
        <f t="shared" si="48"/>
        <v>434581.51714816695</v>
      </c>
      <c r="AB52" s="84">
        <f t="shared" si="48"/>
        <v>869163.03429633391</v>
      </c>
      <c r="AC52" s="33">
        <f t="shared" si="48"/>
        <v>1738326.0685926678</v>
      </c>
      <c r="AD52" s="84">
        <f t="shared" si="48"/>
        <v>2719741.8482851833</v>
      </c>
      <c r="AE52" s="57"/>
    </row>
    <row r="53" spans="1:31" x14ac:dyDescent="0.25">
      <c r="A53" s="53"/>
      <c r="B53" s="18"/>
      <c r="C53" s="22"/>
      <c r="D53" s="20"/>
      <c r="E53" s="39">
        <v>0.08</v>
      </c>
      <c r="F53" s="22"/>
      <c r="G53" s="41">
        <f t="shared" ref="G53:AD53" si="49">G$18*$D$52*$E$53</f>
        <v>0.26524750802500424</v>
      </c>
      <c r="H53" s="42">
        <f t="shared" si="49"/>
        <v>0.53049501605000848</v>
      </c>
      <c r="I53" s="42">
        <f t="shared" si="49"/>
        <v>1.060990032100017</v>
      </c>
      <c r="J53" s="42">
        <f t="shared" si="49"/>
        <v>2.1219800642000339</v>
      </c>
      <c r="K53" s="42">
        <f t="shared" si="49"/>
        <v>4.2439601284000679</v>
      </c>
      <c r="L53" s="42">
        <f t="shared" si="49"/>
        <v>8.4879202568001357</v>
      </c>
      <c r="M53" s="42">
        <f t="shared" si="49"/>
        <v>16.975840513600271</v>
      </c>
      <c r="N53" s="42">
        <f t="shared" si="49"/>
        <v>33.951681027200543</v>
      </c>
      <c r="O53" s="42">
        <f t="shared" si="49"/>
        <v>50.927521540800818</v>
      </c>
      <c r="P53" s="42">
        <f t="shared" si="49"/>
        <v>59.415441797600955</v>
      </c>
      <c r="Q53" s="42">
        <f t="shared" si="49"/>
        <v>63.829160331137018</v>
      </c>
      <c r="R53" s="42">
        <f t="shared" si="49"/>
        <v>67.903362054401086</v>
      </c>
      <c r="S53" s="42">
        <f t="shared" si="49"/>
        <v>135.80672410880217</v>
      </c>
      <c r="T53" s="42">
        <f t="shared" si="49"/>
        <v>271.61344821760434</v>
      </c>
      <c r="U53" s="42">
        <f t="shared" si="49"/>
        <v>543.22689643520869</v>
      </c>
      <c r="V53" s="42">
        <f t="shared" si="49"/>
        <v>1086.4537928704174</v>
      </c>
      <c r="W53" s="42">
        <f t="shared" si="49"/>
        <v>2172.9075857408347</v>
      </c>
      <c r="X53" s="42">
        <f t="shared" si="49"/>
        <v>4345.8151714816695</v>
      </c>
      <c r="Y53" s="42">
        <f t="shared" si="49"/>
        <v>8691.630342963339</v>
      </c>
      <c r="Z53" s="42">
        <f t="shared" si="49"/>
        <v>17383.260685926678</v>
      </c>
      <c r="AA53" s="42">
        <f t="shared" si="49"/>
        <v>34766.521371853356</v>
      </c>
      <c r="AB53" s="83">
        <f t="shared" si="49"/>
        <v>69533.042743706712</v>
      </c>
      <c r="AC53" s="42">
        <f t="shared" si="49"/>
        <v>139066.08548741342</v>
      </c>
      <c r="AD53" s="83">
        <f t="shared" si="49"/>
        <v>217579.34786281467</v>
      </c>
      <c r="AE53" s="57"/>
    </row>
    <row r="54" spans="1:31" x14ac:dyDescent="0.25">
      <c r="A54" s="53" t="s">
        <v>15</v>
      </c>
      <c r="B54" s="18">
        <f>'ABS Population by Age Range'!D85</f>
        <v>0.10301766910746854</v>
      </c>
      <c r="C54" s="22">
        <f t="shared" si="47"/>
        <v>2640754.9299008488</v>
      </c>
      <c r="D54" s="35">
        <f>'AU Infection Rate by Age'!C6</f>
        <v>0.16827166751140396</v>
      </c>
      <c r="E54" s="29"/>
      <c r="F54" s="22"/>
      <c r="G54" s="32">
        <f t="shared" ref="G54:AD54" si="50">G$18*$D$54</f>
        <v>5.2584896097313738</v>
      </c>
      <c r="H54" s="33">
        <f t="shared" si="50"/>
        <v>10.516979219462748</v>
      </c>
      <c r="I54" s="33">
        <f t="shared" si="50"/>
        <v>21.033958438925495</v>
      </c>
      <c r="J54" s="33">
        <f t="shared" si="50"/>
        <v>42.06791687785099</v>
      </c>
      <c r="K54" s="33">
        <f t="shared" si="50"/>
        <v>84.135833755701981</v>
      </c>
      <c r="L54" s="33">
        <f t="shared" si="50"/>
        <v>168.27166751140396</v>
      </c>
      <c r="M54" s="33">
        <f t="shared" si="50"/>
        <v>336.54333502280792</v>
      </c>
      <c r="N54" s="33">
        <f t="shared" si="50"/>
        <v>673.08667004561585</v>
      </c>
      <c r="O54" s="33">
        <f t="shared" si="50"/>
        <v>1009.6300050684238</v>
      </c>
      <c r="P54" s="33">
        <f t="shared" si="50"/>
        <v>1177.9016725798276</v>
      </c>
      <c r="Q54" s="33">
        <f t="shared" si="50"/>
        <v>1265.4029396857577</v>
      </c>
      <c r="R54" s="33">
        <f t="shared" si="50"/>
        <v>1346.1733400912317</v>
      </c>
      <c r="S54" s="33">
        <f t="shared" si="50"/>
        <v>2692.3466801824634</v>
      </c>
      <c r="T54" s="33">
        <f t="shared" si="50"/>
        <v>5384.6933603649268</v>
      </c>
      <c r="U54" s="33">
        <f t="shared" si="50"/>
        <v>10769.386720729854</v>
      </c>
      <c r="V54" s="33">
        <f t="shared" si="50"/>
        <v>21538.773441459707</v>
      </c>
      <c r="W54" s="33">
        <f t="shared" si="50"/>
        <v>43077.546882919414</v>
      </c>
      <c r="X54" s="33">
        <f t="shared" si="50"/>
        <v>86155.093765838828</v>
      </c>
      <c r="Y54" s="33">
        <f t="shared" si="50"/>
        <v>172310.18753167766</v>
      </c>
      <c r="Z54" s="33">
        <f t="shared" si="50"/>
        <v>344620.37506335531</v>
      </c>
      <c r="AA54" s="33">
        <f t="shared" si="50"/>
        <v>689240.75012671063</v>
      </c>
      <c r="AB54" s="84">
        <f t="shared" si="50"/>
        <v>1378481.5002534213</v>
      </c>
      <c r="AC54" s="33">
        <f t="shared" si="50"/>
        <v>2756963.0005068425</v>
      </c>
      <c r="AD54" s="84">
        <f t="shared" si="50"/>
        <v>4313475.9249873292</v>
      </c>
      <c r="AE54" s="57"/>
    </row>
    <row r="55" spans="1:31" x14ac:dyDescent="0.25">
      <c r="A55" s="53"/>
      <c r="B55" s="18"/>
      <c r="C55" s="22"/>
      <c r="D55" s="20"/>
      <c r="E55" s="39">
        <v>3.5999999999999997E-2</v>
      </c>
      <c r="F55" s="22"/>
      <c r="G55" s="41">
        <f t="shared" ref="G55:AD55" si="51">G$18*$D$54*$E$55</f>
        <v>0.18930562595032943</v>
      </c>
      <c r="H55" s="42">
        <f t="shared" si="51"/>
        <v>0.37861125190065886</v>
      </c>
      <c r="I55" s="42">
        <f t="shared" si="51"/>
        <v>0.75722250380131773</v>
      </c>
      <c r="J55" s="42">
        <f t="shared" si="51"/>
        <v>1.5144450076026355</v>
      </c>
      <c r="K55" s="42">
        <f t="shared" si="51"/>
        <v>3.0288900152052709</v>
      </c>
      <c r="L55" s="42">
        <f t="shared" si="51"/>
        <v>6.0577800304105418</v>
      </c>
      <c r="M55" s="42">
        <f t="shared" si="51"/>
        <v>12.115560060821084</v>
      </c>
      <c r="N55" s="42">
        <f t="shared" si="51"/>
        <v>24.231120121642167</v>
      </c>
      <c r="O55" s="42">
        <f t="shared" si="51"/>
        <v>36.346680182463253</v>
      </c>
      <c r="P55" s="42">
        <f t="shared" si="51"/>
        <v>42.404460212873794</v>
      </c>
      <c r="Q55" s="42">
        <f t="shared" si="51"/>
        <v>45.554505828687276</v>
      </c>
      <c r="R55" s="42">
        <f t="shared" si="51"/>
        <v>48.462240243284334</v>
      </c>
      <c r="S55" s="42">
        <f t="shared" si="51"/>
        <v>96.924480486568669</v>
      </c>
      <c r="T55" s="42">
        <f t="shared" si="51"/>
        <v>193.84896097313734</v>
      </c>
      <c r="U55" s="42">
        <f t="shared" si="51"/>
        <v>387.69792194627468</v>
      </c>
      <c r="V55" s="42">
        <f t="shared" si="51"/>
        <v>775.39584389254935</v>
      </c>
      <c r="W55" s="42">
        <f t="shared" si="51"/>
        <v>1550.7916877850987</v>
      </c>
      <c r="X55" s="42">
        <f t="shared" si="51"/>
        <v>3101.5833755701974</v>
      </c>
      <c r="Y55" s="42">
        <f t="shared" si="51"/>
        <v>6203.1667511403948</v>
      </c>
      <c r="Z55" s="42">
        <f t="shared" si="51"/>
        <v>12406.33350228079</v>
      </c>
      <c r="AA55" s="42">
        <f t="shared" si="51"/>
        <v>24812.667004561579</v>
      </c>
      <c r="AB55" s="83">
        <f t="shared" si="51"/>
        <v>49625.334009123158</v>
      </c>
      <c r="AC55" s="42">
        <f t="shared" si="51"/>
        <v>99250.668018246317</v>
      </c>
      <c r="AD55" s="83">
        <f t="shared" si="51"/>
        <v>155285.13329954384</v>
      </c>
      <c r="AE55" s="57"/>
    </row>
    <row r="56" spans="1:31" x14ac:dyDescent="0.25">
      <c r="A56" s="53" t="s">
        <v>16</v>
      </c>
      <c r="B56" s="18">
        <f>'ABS Population by Age Range'!D73</f>
        <v>0.12142789925761971</v>
      </c>
      <c r="C56" s="22">
        <f t="shared" si="47"/>
        <v>3112682.7695698235</v>
      </c>
      <c r="D56" s="35">
        <f>'AU Infection Rate by Age'!C7</f>
        <v>0.15475587092414259</v>
      </c>
      <c r="E56" s="29"/>
      <c r="F56" s="22"/>
      <c r="G56" s="32">
        <f t="shared" ref="G56:AD56" si="52">G$18*$D$56</f>
        <v>4.8361209663794558</v>
      </c>
      <c r="H56" s="33">
        <f t="shared" si="52"/>
        <v>9.6722419327589115</v>
      </c>
      <c r="I56" s="33">
        <f t="shared" si="52"/>
        <v>19.344483865517823</v>
      </c>
      <c r="J56" s="33">
        <f t="shared" si="52"/>
        <v>38.688967731035646</v>
      </c>
      <c r="K56" s="33">
        <f t="shared" si="52"/>
        <v>77.377935462071292</v>
      </c>
      <c r="L56" s="33">
        <f t="shared" si="52"/>
        <v>154.75587092414258</v>
      </c>
      <c r="M56" s="33">
        <f t="shared" si="52"/>
        <v>309.51174184828517</v>
      </c>
      <c r="N56" s="33">
        <f t="shared" si="52"/>
        <v>619.02348369657034</v>
      </c>
      <c r="O56" s="33">
        <f t="shared" si="52"/>
        <v>928.53522554485551</v>
      </c>
      <c r="P56" s="33">
        <f t="shared" si="52"/>
        <v>1083.2910964689981</v>
      </c>
      <c r="Q56" s="33">
        <f t="shared" si="52"/>
        <v>1163.7641493495523</v>
      </c>
      <c r="R56" s="33">
        <f t="shared" si="52"/>
        <v>1238.0469673931407</v>
      </c>
      <c r="S56" s="33">
        <f t="shared" si="52"/>
        <v>2476.0939347862814</v>
      </c>
      <c r="T56" s="33">
        <f t="shared" si="52"/>
        <v>4952.1878695725627</v>
      </c>
      <c r="U56" s="33">
        <f t="shared" si="52"/>
        <v>9904.3757391451254</v>
      </c>
      <c r="V56" s="33">
        <f t="shared" si="52"/>
        <v>19808.751478290251</v>
      </c>
      <c r="W56" s="33">
        <f t="shared" si="52"/>
        <v>39617.502956580502</v>
      </c>
      <c r="X56" s="33">
        <f t="shared" si="52"/>
        <v>79235.005913161003</v>
      </c>
      <c r="Y56" s="33">
        <f t="shared" si="52"/>
        <v>158470.01182632201</v>
      </c>
      <c r="Z56" s="33">
        <f t="shared" si="52"/>
        <v>316940.02365264401</v>
      </c>
      <c r="AA56" s="33">
        <f t="shared" si="52"/>
        <v>633880.04730528803</v>
      </c>
      <c r="AB56" s="84">
        <f t="shared" si="52"/>
        <v>1267760.0946105761</v>
      </c>
      <c r="AC56" s="33">
        <f t="shared" si="52"/>
        <v>2535520.1892211521</v>
      </c>
      <c r="AD56" s="84">
        <f t="shared" si="52"/>
        <v>3967011.9952694708</v>
      </c>
      <c r="AE56" s="57"/>
    </row>
    <row r="57" spans="1:31" x14ac:dyDescent="0.25">
      <c r="A57" s="53"/>
      <c r="B57" s="18"/>
      <c r="C57" s="22"/>
      <c r="D57" s="20"/>
      <c r="E57" s="39">
        <v>1.2999999999999999E-2</v>
      </c>
      <c r="F57" s="22"/>
      <c r="G57" s="41">
        <f t="shared" ref="G57:AD57" si="53">G$18*$D$56*$E$57</f>
        <v>6.2869572562932921E-2</v>
      </c>
      <c r="H57" s="42">
        <f t="shared" si="53"/>
        <v>0.12573914512586584</v>
      </c>
      <c r="I57" s="42">
        <f t="shared" si="53"/>
        <v>0.25147829025173168</v>
      </c>
      <c r="J57" s="42">
        <f t="shared" si="53"/>
        <v>0.50295658050346337</v>
      </c>
      <c r="K57" s="42">
        <f t="shared" si="53"/>
        <v>1.0059131610069267</v>
      </c>
      <c r="L57" s="42">
        <f t="shared" si="53"/>
        <v>2.0118263220138535</v>
      </c>
      <c r="M57" s="42">
        <f t="shared" si="53"/>
        <v>4.0236526440277069</v>
      </c>
      <c r="N57" s="42">
        <f t="shared" si="53"/>
        <v>8.0473052880554139</v>
      </c>
      <c r="O57" s="42">
        <f t="shared" si="53"/>
        <v>12.070957932083122</v>
      </c>
      <c r="P57" s="42">
        <f t="shared" si="53"/>
        <v>14.082784254096975</v>
      </c>
      <c r="Q57" s="42">
        <f t="shared" si="53"/>
        <v>15.128933941544179</v>
      </c>
      <c r="R57" s="42">
        <f t="shared" si="53"/>
        <v>16.094610576110828</v>
      </c>
      <c r="S57" s="42">
        <f t="shared" si="53"/>
        <v>32.189221152221656</v>
      </c>
      <c r="T57" s="42">
        <f t="shared" si="53"/>
        <v>64.378442304443311</v>
      </c>
      <c r="U57" s="42">
        <f t="shared" si="53"/>
        <v>128.75688460888662</v>
      </c>
      <c r="V57" s="42">
        <f t="shared" si="53"/>
        <v>257.51376921777324</v>
      </c>
      <c r="W57" s="42">
        <f t="shared" si="53"/>
        <v>515.02753843554649</v>
      </c>
      <c r="X57" s="42">
        <f t="shared" si="53"/>
        <v>1030.055076871093</v>
      </c>
      <c r="Y57" s="42">
        <f t="shared" si="53"/>
        <v>2060.110153742186</v>
      </c>
      <c r="Z57" s="42">
        <f t="shared" si="53"/>
        <v>4120.2203074843719</v>
      </c>
      <c r="AA57" s="42">
        <f t="shared" si="53"/>
        <v>8240.4406149687438</v>
      </c>
      <c r="AB57" s="83">
        <f t="shared" si="53"/>
        <v>16480.881229937488</v>
      </c>
      <c r="AC57" s="42">
        <f t="shared" si="53"/>
        <v>32961.762459874975</v>
      </c>
      <c r="AD57" s="83">
        <f t="shared" si="53"/>
        <v>51571.155938503121</v>
      </c>
      <c r="AE57" s="57"/>
    </row>
    <row r="58" spans="1:31" x14ac:dyDescent="0.25">
      <c r="A58" s="53" t="s">
        <v>17</v>
      </c>
      <c r="B58" s="18">
        <f>'ABS Population by Age Range'!D61</f>
        <v>0.12908272398046944</v>
      </c>
      <c r="C58" s="22">
        <f t="shared" si="47"/>
        <v>3308906.5465153535</v>
      </c>
      <c r="D58" s="35">
        <f>'AU Infection Rate by Age'!C8</f>
        <v>0.12890690995100523</v>
      </c>
      <c r="E58" s="29"/>
      <c r="F58" s="22"/>
      <c r="G58" s="32">
        <f t="shared" ref="G58:AD58" si="54">G$18*$D$58</f>
        <v>4.028340935968914</v>
      </c>
      <c r="H58" s="33">
        <f t="shared" si="54"/>
        <v>8.0566818719378279</v>
      </c>
      <c r="I58" s="33">
        <f t="shared" si="54"/>
        <v>16.113363743875656</v>
      </c>
      <c r="J58" s="33">
        <f t="shared" si="54"/>
        <v>32.226727487751312</v>
      </c>
      <c r="K58" s="33">
        <f t="shared" si="54"/>
        <v>64.453454975502623</v>
      </c>
      <c r="L58" s="33">
        <f t="shared" si="54"/>
        <v>128.90690995100525</v>
      </c>
      <c r="M58" s="33">
        <f t="shared" si="54"/>
        <v>257.81381990201049</v>
      </c>
      <c r="N58" s="33">
        <f t="shared" si="54"/>
        <v>515.62763980402099</v>
      </c>
      <c r="O58" s="33">
        <f t="shared" si="54"/>
        <v>773.44145970603142</v>
      </c>
      <c r="P58" s="33">
        <f t="shared" si="54"/>
        <v>902.34836965703664</v>
      </c>
      <c r="Q58" s="33">
        <f t="shared" si="54"/>
        <v>969.3799628315594</v>
      </c>
      <c r="R58" s="33">
        <f t="shared" si="54"/>
        <v>1031.255279608042</v>
      </c>
      <c r="S58" s="33">
        <f t="shared" si="54"/>
        <v>2062.5105592160839</v>
      </c>
      <c r="T58" s="33">
        <f t="shared" si="54"/>
        <v>4125.0211184321679</v>
      </c>
      <c r="U58" s="33">
        <f t="shared" si="54"/>
        <v>8250.0422368643358</v>
      </c>
      <c r="V58" s="33">
        <f t="shared" si="54"/>
        <v>16500.084473728672</v>
      </c>
      <c r="W58" s="33">
        <f t="shared" si="54"/>
        <v>33000.168947457343</v>
      </c>
      <c r="X58" s="33">
        <f t="shared" si="54"/>
        <v>66000.337894914686</v>
      </c>
      <c r="Y58" s="33">
        <f t="shared" si="54"/>
        <v>132000.67578982937</v>
      </c>
      <c r="Z58" s="33">
        <f t="shared" si="54"/>
        <v>264001.35157965875</v>
      </c>
      <c r="AA58" s="33">
        <f t="shared" si="54"/>
        <v>528002.70315931749</v>
      </c>
      <c r="AB58" s="84">
        <f t="shared" si="54"/>
        <v>1056005.406318635</v>
      </c>
      <c r="AC58" s="33">
        <f t="shared" si="54"/>
        <v>2112010.81263727</v>
      </c>
      <c r="AD58" s="84">
        <f t="shared" si="54"/>
        <v>3304399.7296840684</v>
      </c>
      <c r="AE58" s="57"/>
    </row>
    <row r="59" spans="1:31" x14ac:dyDescent="0.25">
      <c r="A59" s="53"/>
      <c r="B59" s="18"/>
      <c r="C59" s="22"/>
      <c r="D59" s="20"/>
      <c r="E59" s="39">
        <v>4.0000000000000001E-3</v>
      </c>
      <c r="F59" s="22"/>
      <c r="G59" s="41">
        <f t="shared" ref="G59:AD59" si="55">G$18*$D$58*$E$59</f>
        <v>1.6113363743875658E-2</v>
      </c>
      <c r="H59" s="42">
        <f t="shared" si="55"/>
        <v>3.2226727487751315E-2</v>
      </c>
      <c r="I59" s="42">
        <f t="shared" si="55"/>
        <v>6.445345497550263E-2</v>
      </c>
      <c r="J59" s="42">
        <f t="shared" si="55"/>
        <v>0.12890690995100526</v>
      </c>
      <c r="K59" s="42">
        <f t="shared" si="55"/>
        <v>0.25781381990201052</v>
      </c>
      <c r="L59" s="42">
        <f t="shared" si="55"/>
        <v>0.51562763980402104</v>
      </c>
      <c r="M59" s="42">
        <f t="shared" si="55"/>
        <v>1.0312552796080421</v>
      </c>
      <c r="N59" s="42">
        <f t="shared" si="55"/>
        <v>2.0625105592160842</v>
      </c>
      <c r="O59" s="42">
        <f t="shared" si="55"/>
        <v>3.0937658388241256</v>
      </c>
      <c r="P59" s="42">
        <f t="shared" si="55"/>
        <v>3.6093934786281467</v>
      </c>
      <c r="Q59" s="42">
        <f t="shared" si="55"/>
        <v>3.8775198513262379</v>
      </c>
      <c r="R59" s="42">
        <f t="shared" si="55"/>
        <v>4.1250211184321683</v>
      </c>
      <c r="S59" s="42">
        <f t="shared" si="55"/>
        <v>8.2500422368643367</v>
      </c>
      <c r="T59" s="42">
        <f t="shared" si="55"/>
        <v>16.500084473728673</v>
      </c>
      <c r="U59" s="42">
        <f t="shared" si="55"/>
        <v>33.000168947457347</v>
      </c>
      <c r="V59" s="42">
        <f t="shared" si="55"/>
        <v>66.000337894914693</v>
      </c>
      <c r="W59" s="42">
        <f t="shared" si="55"/>
        <v>132.00067578982939</v>
      </c>
      <c r="X59" s="42">
        <f t="shared" si="55"/>
        <v>264.00135157965877</v>
      </c>
      <c r="Y59" s="42">
        <f t="shared" si="55"/>
        <v>528.00270315931755</v>
      </c>
      <c r="Z59" s="42">
        <f t="shared" si="55"/>
        <v>1056.0054063186351</v>
      </c>
      <c r="AA59" s="42">
        <f t="shared" si="55"/>
        <v>2112.0108126372702</v>
      </c>
      <c r="AB59" s="83">
        <f t="shared" si="55"/>
        <v>4224.0216252745404</v>
      </c>
      <c r="AC59" s="42">
        <f t="shared" si="55"/>
        <v>8448.0432505490808</v>
      </c>
      <c r="AD59" s="83">
        <f t="shared" si="55"/>
        <v>13217.598918736274</v>
      </c>
      <c r="AE59" s="57"/>
    </row>
    <row r="60" spans="1:31" x14ac:dyDescent="0.25">
      <c r="A60" s="53" t="s">
        <v>18</v>
      </c>
      <c r="B60" s="18">
        <f>'ABS Population by Age Range'!D49</f>
        <v>0.14481341657950456</v>
      </c>
      <c r="C60" s="22">
        <f t="shared" si="47"/>
        <v>3712147.1205990198</v>
      </c>
      <c r="D60" s="35">
        <f>'AU Infection Rate by Age'!C9</f>
        <v>0.15813482007095794</v>
      </c>
      <c r="E60" s="29"/>
      <c r="F60" s="22"/>
      <c r="G60" s="32">
        <f t="shared" ref="G60:AD60" si="56">G$18*$D$60</f>
        <v>4.9417131272174357</v>
      </c>
      <c r="H60" s="33">
        <f t="shared" si="56"/>
        <v>9.8834262544348714</v>
      </c>
      <c r="I60" s="33">
        <f t="shared" si="56"/>
        <v>19.766852508869743</v>
      </c>
      <c r="J60" s="33">
        <f t="shared" si="56"/>
        <v>39.533705017739486</v>
      </c>
      <c r="K60" s="33">
        <f t="shared" si="56"/>
        <v>79.067410035478972</v>
      </c>
      <c r="L60" s="33">
        <f t="shared" si="56"/>
        <v>158.13482007095794</v>
      </c>
      <c r="M60" s="33">
        <f t="shared" si="56"/>
        <v>316.26964014191589</v>
      </c>
      <c r="N60" s="33">
        <f t="shared" si="56"/>
        <v>632.53928028383177</v>
      </c>
      <c r="O60" s="33">
        <f t="shared" si="56"/>
        <v>948.80892042574771</v>
      </c>
      <c r="P60" s="33">
        <f t="shared" si="56"/>
        <v>1106.9437404967057</v>
      </c>
      <c r="Q60" s="33">
        <f t="shared" si="56"/>
        <v>1189.1738469336037</v>
      </c>
      <c r="R60" s="33">
        <f t="shared" si="56"/>
        <v>1265.0785605676635</v>
      </c>
      <c r="S60" s="33">
        <f t="shared" si="56"/>
        <v>2530.1571211353271</v>
      </c>
      <c r="T60" s="33">
        <f t="shared" si="56"/>
        <v>5060.3142422706542</v>
      </c>
      <c r="U60" s="33">
        <f t="shared" si="56"/>
        <v>10120.628484541308</v>
      </c>
      <c r="V60" s="33">
        <f t="shared" si="56"/>
        <v>20241.256969082617</v>
      </c>
      <c r="W60" s="33">
        <f t="shared" si="56"/>
        <v>40482.513938165233</v>
      </c>
      <c r="X60" s="33">
        <f t="shared" si="56"/>
        <v>80965.027876330467</v>
      </c>
      <c r="Y60" s="33">
        <f t="shared" si="56"/>
        <v>161930.05575266093</v>
      </c>
      <c r="Z60" s="33">
        <f t="shared" si="56"/>
        <v>323860.11150532187</v>
      </c>
      <c r="AA60" s="33">
        <f t="shared" si="56"/>
        <v>647720.22301064373</v>
      </c>
      <c r="AB60" s="84">
        <f t="shared" si="56"/>
        <v>1295440.4460212875</v>
      </c>
      <c r="AC60" s="33">
        <f t="shared" si="56"/>
        <v>2590880.8920425749</v>
      </c>
      <c r="AD60" s="84">
        <f t="shared" si="56"/>
        <v>4053627.9776989361</v>
      </c>
      <c r="AE60" s="57"/>
    </row>
    <row r="61" spans="1:31" x14ac:dyDescent="0.25">
      <c r="A61" s="53"/>
      <c r="B61" s="18"/>
      <c r="C61" s="22"/>
      <c r="D61" s="20"/>
      <c r="E61" s="39">
        <v>2E-3</v>
      </c>
      <c r="F61" s="22"/>
      <c r="G61" s="41">
        <f t="shared" ref="G61:AD61" si="57">G$18*$D$60*$E$61</f>
        <v>9.8834262544348715E-3</v>
      </c>
      <c r="H61" s="42">
        <f t="shared" si="57"/>
        <v>1.9766852508869743E-2</v>
      </c>
      <c r="I61" s="42">
        <f t="shared" si="57"/>
        <v>3.9533705017739486E-2</v>
      </c>
      <c r="J61" s="42">
        <f t="shared" si="57"/>
        <v>7.9067410035478972E-2</v>
      </c>
      <c r="K61" s="42">
        <f t="shared" si="57"/>
        <v>0.15813482007095794</v>
      </c>
      <c r="L61" s="42">
        <f t="shared" si="57"/>
        <v>0.31626964014191589</v>
      </c>
      <c r="M61" s="42">
        <f t="shared" si="57"/>
        <v>0.63253928028383177</v>
      </c>
      <c r="N61" s="42">
        <f t="shared" si="57"/>
        <v>1.2650785605676635</v>
      </c>
      <c r="O61" s="42">
        <f t="shared" si="57"/>
        <v>1.8976178408514954</v>
      </c>
      <c r="P61" s="42">
        <f t="shared" si="57"/>
        <v>2.2138874809934115</v>
      </c>
      <c r="Q61" s="42">
        <f t="shared" si="57"/>
        <v>2.3783476938672075</v>
      </c>
      <c r="R61" s="42">
        <f t="shared" si="57"/>
        <v>2.5301571211353271</v>
      </c>
      <c r="S61" s="42">
        <f t="shared" si="57"/>
        <v>5.0603142422706542</v>
      </c>
      <c r="T61" s="42">
        <f t="shared" si="57"/>
        <v>10.120628484541308</v>
      </c>
      <c r="U61" s="42">
        <f t="shared" si="57"/>
        <v>20.241256969082617</v>
      </c>
      <c r="V61" s="42">
        <f t="shared" si="57"/>
        <v>40.482513938165233</v>
      </c>
      <c r="W61" s="42">
        <f t="shared" si="57"/>
        <v>80.965027876330467</v>
      </c>
      <c r="X61" s="42">
        <f t="shared" si="57"/>
        <v>161.93005575266093</v>
      </c>
      <c r="Y61" s="42">
        <f t="shared" si="57"/>
        <v>323.86011150532187</v>
      </c>
      <c r="Z61" s="42">
        <f t="shared" si="57"/>
        <v>647.72022301064374</v>
      </c>
      <c r="AA61" s="42">
        <f t="shared" si="57"/>
        <v>1295.4404460212875</v>
      </c>
      <c r="AB61" s="83">
        <f t="shared" si="57"/>
        <v>2590.8808920425749</v>
      </c>
      <c r="AC61" s="42">
        <f t="shared" si="57"/>
        <v>5181.7617840851499</v>
      </c>
      <c r="AD61" s="83">
        <f t="shared" si="57"/>
        <v>8107.2559553978726</v>
      </c>
      <c r="AE61" s="57"/>
    </row>
    <row r="62" spans="1:31" x14ac:dyDescent="0.25">
      <c r="A62" s="53" t="s">
        <v>19</v>
      </c>
      <c r="B62" s="18">
        <f>'ABS Population by Age Range'!D37</f>
        <v>0.14458334093878666</v>
      </c>
      <c r="C62" s="22">
        <f t="shared" si="47"/>
        <v>3706249.3616248574</v>
      </c>
      <c r="D62" s="35">
        <f>'AU Infection Rate by Age'!C10</f>
        <v>0.21608379793884103</v>
      </c>
      <c r="E62" s="29"/>
      <c r="F62" s="22"/>
      <c r="G62" s="32">
        <f t="shared" ref="G62:AD62" si="58">G$18*$D$62</f>
        <v>6.7526186855887822</v>
      </c>
      <c r="H62" s="33">
        <f t="shared" si="58"/>
        <v>13.505237371177564</v>
      </c>
      <c r="I62" s="33">
        <f t="shared" si="58"/>
        <v>27.010474742355129</v>
      </c>
      <c r="J62" s="33">
        <f t="shared" si="58"/>
        <v>54.020949484710258</v>
      </c>
      <c r="K62" s="33">
        <f t="shared" si="58"/>
        <v>108.04189896942052</v>
      </c>
      <c r="L62" s="33">
        <f t="shared" si="58"/>
        <v>216.08379793884103</v>
      </c>
      <c r="M62" s="33">
        <f t="shared" si="58"/>
        <v>432.16759587768206</v>
      </c>
      <c r="N62" s="33">
        <f t="shared" si="58"/>
        <v>864.33519175536412</v>
      </c>
      <c r="O62" s="33">
        <f t="shared" si="58"/>
        <v>1296.5027876330462</v>
      </c>
      <c r="P62" s="33">
        <f t="shared" si="58"/>
        <v>1512.5865855718871</v>
      </c>
      <c r="Q62" s="33">
        <f t="shared" si="58"/>
        <v>1624.9501605000846</v>
      </c>
      <c r="R62" s="33">
        <f t="shared" si="58"/>
        <v>1728.6703835107282</v>
      </c>
      <c r="S62" s="33">
        <f t="shared" si="58"/>
        <v>3457.3407670214565</v>
      </c>
      <c r="T62" s="33">
        <f t="shared" si="58"/>
        <v>6914.681534042913</v>
      </c>
      <c r="U62" s="33">
        <f t="shared" si="58"/>
        <v>13829.363068085826</v>
      </c>
      <c r="V62" s="33">
        <f t="shared" si="58"/>
        <v>27658.726136171652</v>
      </c>
      <c r="W62" s="33">
        <f t="shared" si="58"/>
        <v>55317.452272343304</v>
      </c>
      <c r="X62" s="33">
        <f t="shared" si="58"/>
        <v>110634.90454468661</v>
      </c>
      <c r="Y62" s="33">
        <f t="shared" si="58"/>
        <v>221269.80908937322</v>
      </c>
      <c r="Z62" s="33">
        <f t="shared" si="58"/>
        <v>442539.61817874643</v>
      </c>
      <c r="AA62" s="33">
        <f t="shared" si="58"/>
        <v>885079.23635749286</v>
      </c>
      <c r="AB62" s="84">
        <f t="shared" si="58"/>
        <v>1770158.4727149857</v>
      </c>
      <c r="AC62" s="33">
        <f t="shared" si="58"/>
        <v>3540316.9454299714</v>
      </c>
      <c r="AD62" s="84">
        <f t="shared" si="58"/>
        <v>5539092.0763642509</v>
      </c>
      <c r="AE62" s="57"/>
    </row>
    <row r="63" spans="1:31" x14ac:dyDescent="0.25">
      <c r="A63" s="53"/>
      <c r="B63" s="18"/>
      <c r="C63" s="22"/>
      <c r="D63" s="20"/>
      <c r="E63" s="39">
        <v>2E-3</v>
      </c>
      <c r="F63" s="22"/>
      <c r="G63" s="41">
        <f t="shared" ref="G63:AD63" si="59">G$18*$D$62*$E$63</f>
        <v>1.3505237371177564E-2</v>
      </c>
      <c r="H63" s="42">
        <f t="shared" si="59"/>
        <v>2.7010474742355128E-2</v>
      </c>
      <c r="I63" s="42">
        <f t="shared" si="59"/>
        <v>5.4020949484710257E-2</v>
      </c>
      <c r="J63" s="42">
        <f t="shared" si="59"/>
        <v>0.10804189896942051</v>
      </c>
      <c r="K63" s="42">
        <f t="shared" si="59"/>
        <v>0.21608379793884103</v>
      </c>
      <c r="L63" s="42">
        <f t="shared" si="59"/>
        <v>0.43216759587768205</v>
      </c>
      <c r="M63" s="42">
        <f t="shared" si="59"/>
        <v>0.86433519175536411</v>
      </c>
      <c r="N63" s="42">
        <f t="shared" si="59"/>
        <v>1.7286703835107282</v>
      </c>
      <c r="O63" s="42">
        <f t="shared" si="59"/>
        <v>2.5930055752660923</v>
      </c>
      <c r="P63" s="42">
        <f t="shared" si="59"/>
        <v>3.0251731711437744</v>
      </c>
      <c r="Q63" s="42">
        <f t="shared" si="59"/>
        <v>3.2499003210001693</v>
      </c>
      <c r="R63" s="42">
        <f t="shared" si="59"/>
        <v>3.4573407670214564</v>
      </c>
      <c r="S63" s="42">
        <f t="shared" si="59"/>
        <v>6.9146815340429129</v>
      </c>
      <c r="T63" s="42">
        <f t="shared" si="59"/>
        <v>13.829363068085826</v>
      </c>
      <c r="U63" s="42">
        <f t="shared" si="59"/>
        <v>27.658726136171651</v>
      </c>
      <c r="V63" s="42">
        <f t="shared" si="59"/>
        <v>55.317452272343303</v>
      </c>
      <c r="W63" s="42">
        <f t="shared" si="59"/>
        <v>110.63490454468661</v>
      </c>
      <c r="X63" s="42">
        <f t="shared" si="59"/>
        <v>221.26980908937321</v>
      </c>
      <c r="Y63" s="42">
        <f t="shared" si="59"/>
        <v>442.53961817874642</v>
      </c>
      <c r="Z63" s="42">
        <f t="shared" si="59"/>
        <v>885.07923635749285</v>
      </c>
      <c r="AA63" s="42">
        <f t="shared" si="59"/>
        <v>1770.1584727149857</v>
      </c>
      <c r="AB63" s="83">
        <f t="shared" si="59"/>
        <v>3540.3169454299714</v>
      </c>
      <c r="AC63" s="42">
        <f t="shared" si="59"/>
        <v>7080.6338908599428</v>
      </c>
      <c r="AD63" s="83">
        <f t="shared" si="59"/>
        <v>11078.184152728501</v>
      </c>
      <c r="AE63" s="57"/>
    </row>
    <row r="64" spans="1:31" x14ac:dyDescent="0.25">
      <c r="A64" s="54" t="s">
        <v>20</v>
      </c>
      <c r="B64" s="18">
        <f>'ABS Population by Age Range'!D25</f>
        <v>0.12056476079328157</v>
      </c>
      <c r="C64" s="22">
        <f t="shared" si="47"/>
        <v>3090557.0781749799</v>
      </c>
      <c r="D64" s="35">
        <f>'AU Infection Rate by Age'!C11</f>
        <v>2.8890015205271159E-2</v>
      </c>
      <c r="E64" s="29"/>
      <c r="F64" s="22"/>
      <c r="G64" s="32">
        <f t="shared" ref="G64:AD64" si="60">G$18*$D$64</f>
        <v>0.9028129751647237</v>
      </c>
      <c r="H64" s="33">
        <f t="shared" si="60"/>
        <v>1.8056259503294474</v>
      </c>
      <c r="I64" s="33">
        <f t="shared" si="60"/>
        <v>3.6112519006588948</v>
      </c>
      <c r="J64" s="33">
        <f t="shared" si="60"/>
        <v>7.2225038013177896</v>
      </c>
      <c r="K64" s="33">
        <f t="shared" si="60"/>
        <v>14.445007602635579</v>
      </c>
      <c r="L64" s="33">
        <f t="shared" si="60"/>
        <v>28.890015205271158</v>
      </c>
      <c r="M64" s="33">
        <f t="shared" si="60"/>
        <v>57.780030410542317</v>
      </c>
      <c r="N64" s="33">
        <f t="shared" si="60"/>
        <v>115.56006082108463</v>
      </c>
      <c r="O64" s="33">
        <f t="shared" si="60"/>
        <v>173.34009123162696</v>
      </c>
      <c r="P64" s="33">
        <f t="shared" si="60"/>
        <v>202.23010643689813</v>
      </c>
      <c r="Q64" s="33">
        <f t="shared" si="60"/>
        <v>217.25291434363911</v>
      </c>
      <c r="R64" s="33">
        <f t="shared" si="60"/>
        <v>231.12012164216927</v>
      </c>
      <c r="S64" s="33">
        <f t="shared" si="60"/>
        <v>462.24024328433853</v>
      </c>
      <c r="T64" s="33">
        <f t="shared" si="60"/>
        <v>924.48048656867707</v>
      </c>
      <c r="U64" s="33">
        <f t="shared" si="60"/>
        <v>1848.9609731373541</v>
      </c>
      <c r="V64" s="33">
        <f t="shared" si="60"/>
        <v>3697.9219462747083</v>
      </c>
      <c r="W64" s="33">
        <f t="shared" si="60"/>
        <v>7395.8438925494165</v>
      </c>
      <c r="X64" s="33">
        <f t="shared" si="60"/>
        <v>14791.687785098833</v>
      </c>
      <c r="Y64" s="33">
        <f t="shared" si="60"/>
        <v>29583.375570197666</v>
      </c>
      <c r="Z64" s="33">
        <f t="shared" si="60"/>
        <v>59166.751140395332</v>
      </c>
      <c r="AA64" s="33">
        <f t="shared" si="60"/>
        <v>118333.50228079066</v>
      </c>
      <c r="AB64" s="84">
        <f t="shared" si="60"/>
        <v>236667.00456158133</v>
      </c>
      <c r="AC64" s="33">
        <f t="shared" si="60"/>
        <v>473334.00912316266</v>
      </c>
      <c r="AD64" s="84">
        <f t="shared" si="60"/>
        <v>740566.64977192087</v>
      </c>
      <c r="AE64" s="57"/>
    </row>
    <row r="65" spans="1:31" x14ac:dyDescent="0.25">
      <c r="A65" s="54"/>
      <c r="B65" s="18"/>
      <c r="C65" s="22"/>
      <c r="D65" s="20"/>
      <c r="E65" s="39">
        <v>2E-3</v>
      </c>
      <c r="F65" s="22"/>
      <c r="G65" s="41">
        <f t="shared" ref="G65:AD65" si="61">G$18*$D$64*$E$65</f>
        <v>1.8056259503294475E-3</v>
      </c>
      <c r="H65" s="42">
        <f t="shared" si="61"/>
        <v>3.6112519006588949E-3</v>
      </c>
      <c r="I65" s="42">
        <f t="shared" si="61"/>
        <v>7.2225038013177898E-3</v>
      </c>
      <c r="J65" s="42">
        <f t="shared" si="61"/>
        <v>1.444500760263558E-2</v>
      </c>
      <c r="K65" s="42">
        <f t="shared" si="61"/>
        <v>2.8890015205271159E-2</v>
      </c>
      <c r="L65" s="42">
        <f t="shared" si="61"/>
        <v>5.7780030410542318E-2</v>
      </c>
      <c r="M65" s="42">
        <f t="shared" si="61"/>
        <v>0.11556006082108464</v>
      </c>
      <c r="N65" s="42">
        <f t="shared" si="61"/>
        <v>0.23112012164216927</v>
      </c>
      <c r="O65" s="42">
        <f t="shared" si="61"/>
        <v>0.34668018246325394</v>
      </c>
      <c r="P65" s="42">
        <f t="shared" si="61"/>
        <v>0.40446021287379624</v>
      </c>
      <c r="Q65" s="42">
        <f t="shared" si="61"/>
        <v>0.43450582868727822</v>
      </c>
      <c r="R65" s="42">
        <f t="shared" si="61"/>
        <v>0.46224024328433855</v>
      </c>
      <c r="S65" s="42">
        <f t="shared" si="61"/>
        <v>0.9244804865686771</v>
      </c>
      <c r="T65" s="42">
        <f t="shared" si="61"/>
        <v>1.8489609731373542</v>
      </c>
      <c r="U65" s="42">
        <f t="shared" si="61"/>
        <v>3.6979219462747084</v>
      </c>
      <c r="V65" s="42">
        <f t="shared" si="61"/>
        <v>7.3958438925494168</v>
      </c>
      <c r="W65" s="42">
        <f t="shared" si="61"/>
        <v>14.791687785098834</v>
      </c>
      <c r="X65" s="42">
        <f t="shared" si="61"/>
        <v>29.583375570197667</v>
      </c>
      <c r="Y65" s="42">
        <f t="shared" si="61"/>
        <v>59.166751140395334</v>
      </c>
      <c r="Z65" s="42">
        <f t="shared" si="61"/>
        <v>118.33350228079067</v>
      </c>
      <c r="AA65" s="42">
        <f t="shared" si="61"/>
        <v>236.66700456158134</v>
      </c>
      <c r="AB65" s="83">
        <f t="shared" si="61"/>
        <v>473.33400912316267</v>
      </c>
      <c r="AC65" s="42">
        <f t="shared" si="61"/>
        <v>946.66801824632535</v>
      </c>
      <c r="AD65" s="83">
        <f t="shared" si="61"/>
        <v>1481.1332995438418</v>
      </c>
      <c r="AE65" s="57"/>
    </row>
    <row r="66" spans="1:31" x14ac:dyDescent="0.25">
      <c r="A66" s="54" t="s">
        <v>21</v>
      </c>
      <c r="B66" s="18">
        <f>'ABS Population by Age Range'!D13</f>
        <v>0.1255958322404806</v>
      </c>
      <c r="C66" s="22">
        <f t="shared" si="47"/>
        <v>3219523.5636524796</v>
      </c>
      <c r="D66" s="35">
        <f>'AU Infection Rate by Age'!C12</f>
        <v>9.967899983105254E-3</v>
      </c>
      <c r="E66" s="29"/>
      <c r="F66" s="22"/>
      <c r="G66" s="32">
        <f t="shared" ref="G66:AD66" si="62">G$18*$D$66</f>
        <v>0.31149687447203916</v>
      </c>
      <c r="H66" s="33">
        <f t="shared" si="62"/>
        <v>0.62299374894407833</v>
      </c>
      <c r="I66" s="33">
        <f t="shared" si="62"/>
        <v>1.2459874978881567</v>
      </c>
      <c r="J66" s="33">
        <f t="shared" si="62"/>
        <v>2.4919749957763133</v>
      </c>
      <c r="K66" s="33">
        <f t="shared" si="62"/>
        <v>4.9839499915526266</v>
      </c>
      <c r="L66" s="33">
        <f t="shared" si="62"/>
        <v>9.9678999831052533</v>
      </c>
      <c r="M66" s="33">
        <f t="shared" si="62"/>
        <v>19.935799966210507</v>
      </c>
      <c r="N66" s="33">
        <f t="shared" si="62"/>
        <v>39.871599932421013</v>
      </c>
      <c r="O66" s="33">
        <f t="shared" si="62"/>
        <v>59.807399898631523</v>
      </c>
      <c r="P66" s="33">
        <f t="shared" si="62"/>
        <v>69.775299881736771</v>
      </c>
      <c r="Q66" s="33">
        <f t="shared" si="62"/>
        <v>74.958607872951504</v>
      </c>
      <c r="R66" s="33">
        <f t="shared" si="62"/>
        <v>79.743199864842026</v>
      </c>
      <c r="S66" s="33">
        <f t="shared" si="62"/>
        <v>159.48639972968405</v>
      </c>
      <c r="T66" s="33">
        <f t="shared" si="62"/>
        <v>318.9727994593681</v>
      </c>
      <c r="U66" s="33">
        <f t="shared" si="62"/>
        <v>637.94559891873621</v>
      </c>
      <c r="V66" s="33">
        <f t="shared" si="62"/>
        <v>1275.8911978374724</v>
      </c>
      <c r="W66" s="33">
        <f t="shared" si="62"/>
        <v>2551.7823956749448</v>
      </c>
      <c r="X66" s="33">
        <f t="shared" si="62"/>
        <v>5103.5647913498897</v>
      </c>
      <c r="Y66" s="33">
        <f t="shared" si="62"/>
        <v>10207.129582699779</v>
      </c>
      <c r="Z66" s="33">
        <f t="shared" si="62"/>
        <v>20414.259165399559</v>
      </c>
      <c r="AA66" s="33">
        <f t="shared" si="62"/>
        <v>40828.518330799117</v>
      </c>
      <c r="AB66" s="84">
        <f t="shared" si="62"/>
        <v>81657.036661598235</v>
      </c>
      <c r="AC66" s="33">
        <f t="shared" si="62"/>
        <v>163314.07332319647</v>
      </c>
      <c r="AD66" s="84">
        <f t="shared" si="62"/>
        <v>255517.14816692009</v>
      </c>
      <c r="AE66" s="57"/>
    </row>
    <row r="67" spans="1:31" x14ac:dyDescent="0.25">
      <c r="A67" s="54"/>
      <c r="B67" s="19"/>
      <c r="C67" s="23"/>
      <c r="D67" s="38"/>
      <c r="E67" s="40">
        <v>0</v>
      </c>
      <c r="F67" s="22"/>
      <c r="G67" s="41">
        <f t="shared" ref="G67:AD67" si="63">G$18*$D$66*$E$67</f>
        <v>0</v>
      </c>
      <c r="H67" s="42">
        <f t="shared" si="63"/>
        <v>0</v>
      </c>
      <c r="I67" s="42">
        <f t="shared" si="63"/>
        <v>0</v>
      </c>
      <c r="J67" s="42">
        <f t="shared" si="63"/>
        <v>0</v>
      </c>
      <c r="K67" s="42">
        <f t="shared" si="63"/>
        <v>0</v>
      </c>
      <c r="L67" s="42">
        <f t="shared" si="63"/>
        <v>0</v>
      </c>
      <c r="M67" s="42">
        <f t="shared" si="63"/>
        <v>0</v>
      </c>
      <c r="N67" s="42">
        <f t="shared" si="63"/>
        <v>0</v>
      </c>
      <c r="O67" s="42">
        <f t="shared" si="63"/>
        <v>0</v>
      </c>
      <c r="P67" s="42">
        <f t="shared" si="63"/>
        <v>0</v>
      </c>
      <c r="Q67" s="42">
        <f t="shared" si="63"/>
        <v>0</v>
      </c>
      <c r="R67" s="42">
        <f t="shared" si="63"/>
        <v>0</v>
      </c>
      <c r="S67" s="42">
        <f t="shared" si="63"/>
        <v>0</v>
      </c>
      <c r="T67" s="42">
        <f t="shared" si="63"/>
        <v>0</v>
      </c>
      <c r="U67" s="42">
        <f t="shared" si="63"/>
        <v>0</v>
      </c>
      <c r="V67" s="42">
        <f t="shared" si="63"/>
        <v>0</v>
      </c>
      <c r="W67" s="42">
        <f t="shared" si="63"/>
        <v>0</v>
      </c>
      <c r="X67" s="42">
        <f t="shared" si="63"/>
        <v>0</v>
      </c>
      <c r="Y67" s="42">
        <f t="shared" si="63"/>
        <v>0</v>
      </c>
      <c r="Z67" s="42">
        <f t="shared" si="63"/>
        <v>0</v>
      </c>
      <c r="AA67" s="42">
        <f t="shared" si="63"/>
        <v>0</v>
      </c>
      <c r="AB67" s="83">
        <f t="shared" si="63"/>
        <v>0</v>
      </c>
      <c r="AC67" s="44">
        <f t="shared" si="63"/>
        <v>0</v>
      </c>
      <c r="AD67" s="85">
        <f t="shared" si="63"/>
        <v>0</v>
      </c>
      <c r="AE67" s="57"/>
    </row>
    <row r="68" spans="1:31" x14ac:dyDescent="0.25">
      <c r="A68" s="53" t="s">
        <v>131</v>
      </c>
      <c r="B68" s="26"/>
      <c r="C68" s="22"/>
      <c r="D68" s="22"/>
      <c r="E68" s="27"/>
      <c r="F68" s="22"/>
      <c r="G68" s="30">
        <f t="shared" ref="G68:Z68" si="64">SUM(G50,G52,G54,G56,G58,G60,G62,G64,G66)</f>
        <v>31.250000000000004</v>
      </c>
      <c r="H68" s="31">
        <f t="shared" si="64"/>
        <v>62.500000000000007</v>
      </c>
      <c r="I68" s="31">
        <f t="shared" si="64"/>
        <v>125.00000000000001</v>
      </c>
      <c r="J68" s="31">
        <f t="shared" si="64"/>
        <v>250.00000000000003</v>
      </c>
      <c r="K68" s="31">
        <f t="shared" si="64"/>
        <v>500.00000000000006</v>
      </c>
      <c r="L68" s="31">
        <f>SUM(L50,L52,L54,L56,L58,L60,L62,L64,L66)</f>
        <v>1000.0000000000001</v>
      </c>
      <c r="M68" s="31">
        <f t="shared" si="64"/>
        <v>2000.0000000000002</v>
      </c>
      <c r="N68" s="31">
        <f t="shared" si="64"/>
        <v>4000.0000000000005</v>
      </c>
      <c r="O68" s="31">
        <f t="shared" ref="O68:Q68" si="65">SUM(O50,O52,O54,O56,O58,O60,O62,O64,O66)</f>
        <v>6000.0000000000009</v>
      </c>
      <c r="P68" s="31">
        <f t="shared" si="65"/>
        <v>7000.0000000000009</v>
      </c>
      <c r="Q68" s="31">
        <f t="shared" si="65"/>
        <v>7520.0000000000009</v>
      </c>
      <c r="R68" s="31">
        <f t="shared" si="64"/>
        <v>8000.0000000000009</v>
      </c>
      <c r="S68" s="31">
        <f t="shared" si="64"/>
        <v>16000.000000000002</v>
      </c>
      <c r="T68" s="31">
        <f t="shared" si="64"/>
        <v>32000.000000000004</v>
      </c>
      <c r="U68" s="31">
        <f t="shared" si="64"/>
        <v>64000.000000000007</v>
      </c>
      <c r="V68" s="31">
        <f t="shared" si="64"/>
        <v>128000.00000000001</v>
      </c>
      <c r="W68" s="31">
        <f t="shared" si="64"/>
        <v>256000.00000000003</v>
      </c>
      <c r="X68" s="31">
        <f t="shared" si="64"/>
        <v>512000.00000000006</v>
      </c>
      <c r="Y68" s="31">
        <f t="shared" si="64"/>
        <v>1024000.0000000001</v>
      </c>
      <c r="Z68" s="31">
        <f t="shared" si="64"/>
        <v>2048000.0000000002</v>
      </c>
      <c r="AA68" s="31">
        <f t="shared" ref="AA68:AD69" si="66">SUM(AA50,AA52,AA54,AA56,AA58,AA60,AA62,AA64,AA66)</f>
        <v>4096000.0000000005</v>
      </c>
      <c r="AB68" s="72">
        <f t="shared" si="66"/>
        <v>8192000.0000000009</v>
      </c>
      <c r="AC68" s="31">
        <f t="shared" si="66"/>
        <v>16384000.000000002</v>
      </c>
      <c r="AD68" s="72">
        <f t="shared" si="66"/>
        <v>25634000.000000004</v>
      </c>
      <c r="AE68" s="57"/>
    </row>
    <row r="69" spans="1:31" x14ac:dyDescent="0.25">
      <c r="A69" s="55" t="s">
        <v>130</v>
      </c>
      <c r="B69" s="56"/>
      <c r="C69" s="23"/>
      <c r="D69" s="23"/>
      <c r="E69" s="50"/>
      <c r="F69" s="23"/>
      <c r="G69" s="43">
        <f>SUM(G51,G53,G55,G57,G59,G61,G63,G65,G67)</f>
        <v>0.69234668018246315</v>
      </c>
      <c r="H69" s="44">
        <f>SUM(H51,H53,H55,H57,H59,H61,H63,H65,H67)</f>
        <v>1.3846933603649263</v>
      </c>
      <c r="I69" s="44">
        <f t="shared" ref="I69:Z69" si="67">SUM(I51,I53,I55,I57,I59,I61,I63,I65,I67)</f>
        <v>2.7693867207298526</v>
      </c>
      <c r="J69" s="44">
        <f t="shared" si="67"/>
        <v>5.5387734414597052</v>
      </c>
      <c r="K69" s="44">
        <f t="shared" si="67"/>
        <v>11.07754688291941</v>
      </c>
      <c r="L69" s="44">
        <f t="shared" si="67"/>
        <v>22.155093765838821</v>
      </c>
      <c r="M69" s="44">
        <f t="shared" si="67"/>
        <v>44.310187531677641</v>
      </c>
      <c r="N69" s="44">
        <f t="shared" si="67"/>
        <v>88.620375063355283</v>
      </c>
      <c r="O69" s="44">
        <f t="shared" ref="O69:Q69" si="68">SUM(O51,O53,O55,O57,O59,O61,O63,O65,O67)</f>
        <v>132.93056259503294</v>
      </c>
      <c r="P69" s="44">
        <f t="shared" si="68"/>
        <v>155.08565636087175</v>
      </c>
      <c r="Q69" s="44">
        <f t="shared" si="68"/>
        <v>166.60630511910793</v>
      </c>
      <c r="R69" s="44">
        <f t="shared" si="67"/>
        <v>177.24075012671057</v>
      </c>
      <c r="S69" s="44">
        <f t="shared" si="67"/>
        <v>354.48150025342113</v>
      </c>
      <c r="T69" s="44">
        <f t="shared" si="67"/>
        <v>708.96300050684226</v>
      </c>
      <c r="U69" s="44">
        <f t="shared" si="67"/>
        <v>1417.9260010136845</v>
      </c>
      <c r="V69" s="44">
        <f t="shared" si="67"/>
        <v>2835.8520020273691</v>
      </c>
      <c r="W69" s="44">
        <f t="shared" si="67"/>
        <v>5671.7040040547381</v>
      </c>
      <c r="X69" s="44">
        <f t="shared" si="67"/>
        <v>11343.408008109476</v>
      </c>
      <c r="Y69" s="44">
        <f t="shared" si="67"/>
        <v>22686.816016218952</v>
      </c>
      <c r="Z69" s="44">
        <f t="shared" si="67"/>
        <v>45373.632032437905</v>
      </c>
      <c r="AA69" s="44">
        <f t="shared" si="66"/>
        <v>90747.26406487581</v>
      </c>
      <c r="AB69" s="85">
        <f t="shared" si="66"/>
        <v>181494.52812975162</v>
      </c>
      <c r="AC69" s="44">
        <f t="shared" si="66"/>
        <v>362989.05625950324</v>
      </c>
      <c r="AD69" s="85">
        <f t="shared" si="66"/>
        <v>567923.6735935125</v>
      </c>
      <c r="AE69" s="57"/>
    </row>
    <row r="70" spans="1:31" x14ac:dyDescent="0.25">
      <c r="A70" s="54"/>
      <c r="B70" s="26"/>
      <c r="C70" s="22"/>
      <c r="D70" s="22"/>
      <c r="E70" s="27"/>
      <c r="F70" s="22"/>
      <c r="G70" s="57"/>
      <c r="H70" s="57"/>
      <c r="I70" s="57"/>
      <c r="J70" s="57"/>
      <c r="K70" s="57"/>
      <c r="L70" s="57"/>
      <c r="M70" s="57"/>
      <c r="N70" s="57"/>
      <c r="O70" s="57"/>
      <c r="P70" s="57"/>
      <c r="Q70" s="57"/>
      <c r="R70" s="57"/>
      <c r="S70" s="57"/>
      <c r="T70" s="57"/>
      <c r="U70" s="57"/>
      <c r="V70" s="57"/>
      <c r="W70" s="57"/>
      <c r="X70" s="57"/>
      <c r="Y70" s="57"/>
      <c r="Z70" s="57"/>
      <c r="AA70" s="57"/>
    </row>
    <row r="71" spans="1:31" x14ac:dyDescent="0.25">
      <c r="A71" s="66" t="s">
        <v>142</v>
      </c>
      <c r="B71" s="26"/>
      <c r="C71" s="22"/>
      <c r="D71" s="22"/>
      <c r="E71" s="27"/>
      <c r="F71" s="22"/>
      <c r="G71" s="57"/>
      <c r="H71" s="57"/>
      <c r="I71" s="57"/>
      <c r="J71" s="57"/>
      <c r="K71" s="57"/>
      <c r="L71" s="57"/>
      <c r="M71" s="57"/>
      <c r="N71" s="57"/>
      <c r="O71" s="57"/>
      <c r="P71" s="57"/>
      <c r="Q71" s="57"/>
      <c r="R71" s="57"/>
      <c r="S71" s="57"/>
      <c r="T71" s="57"/>
      <c r="U71" s="57"/>
      <c r="V71" s="57"/>
      <c r="W71" s="57"/>
      <c r="X71" s="57"/>
      <c r="Y71" s="57"/>
      <c r="Z71" s="57"/>
      <c r="AA71" s="57"/>
    </row>
    <row r="72" spans="1:31" x14ac:dyDescent="0.25">
      <c r="A72" s="16"/>
      <c r="B72" s="21" t="s">
        <v>6</v>
      </c>
      <c r="C72" s="21" t="s">
        <v>4</v>
      </c>
      <c r="D72" s="21"/>
      <c r="E72" s="71" t="s">
        <v>3</v>
      </c>
      <c r="F72" s="21"/>
      <c r="G72" s="21"/>
      <c r="H72" s="21"/>
      <c r="I72" s="21"/>
      <c r="J72" s="21"/>
      <c r="K72" s="21"/>
      <c r="L72" s="21"/>
      <c r="M72" s="21"/>
      <c r="N72" s="21"/>
      <c r="O72" s="21"/>
      <c r="P72" s="21"/>
      <c r="Q72" s="21"/>
      <c r="R72" s="21"/>
      <c r="S72" s="21"/>
      <c r="T72" s="21"/>
      <c r="U72" s="21"/>
      <c r="V72" s="21"/>
      <c r="W72" s="21"/>
      <c r="X72" s="21"/>
      <c r="Y72" s="21"/>
      <c r="Z72" s="21"/>
      <c r="AA72" s="21"/>
      <c r="AB72" s="21"/>
      <c r="AC72" s="21"/>
      <c r="AD72" s="17"/>
      <c r="AE72" s="59"/>
    </row>
    <row r="73" spans="1:31" x14ac:dyDescent="0.25">
      <c r="A73" s="53" t="s">
        <v>2</v>
      </c>
      <c r="B73" s="36">
        <v>0.05</v>
      </c>
      <c r="C73" s="22">
        <f>$B$5 * B73</f>
        <v>1281700</v>
      </c>
      <c r="D73" s="28"/>
      <c r="E73" s="28"/>
      <c r="F73" s="28"/>
      <c r="G73" s="30">
        <f t="shared" ref="G73:AD73" si="69">G$18*$B$73</f>
        <v>1.5625</v>
      </c>
      <c r="H73" s="31">
        <f t="shared" si="69"/>
        <v>3.125</v>
      </c>
      <c r="I73" s="31">
        <f t="shared" si="69"/>
        <v>6.25</v>
      </c>
      <c r="J73" s="31">
        <f t="shared" si="69"/>
        <v>12.5</v>
      </c>
      <c r="K73" s="31">
        <f t="shared" si="69"/>
        <v>25</v>
      </c>
      <c r="L73" s="31">
        <f t="shared" si="69"/>
        <v>50</v>
      </c>
      <c r="M73" s="31">
        <f t="shared" si="69"/>
        <v>100</v>
      </c>
      <c r="N73" s="31">
        <f t="shared" si="69"/>
        <v>200</v>
      </c>
      <c r="O73" s="31">
        <f t="shared" si="69"/>
        <v>300</v>
      </c>
      <c r="P73" s="31">
        <f t="shared" si="69"/>
        <v>350</v>
      </c>
      <c r="Q73" s="31">
        <f t="shared" si="69"/>
        <v>376</v>
      </c>
      <c r="R73" s="31">
        <f t="shared" si="69"/>
        <v>400</v>
      </c>
      <c r="S73" s="31">
        <f t="shared" si="69"/>
        <v>800</v>
      </c>
      <c r="T73" s="31">
        <f t="shared" si="69"/>
        <v>1600</v>
      </c>
      <c r="U73" s="31">
        <f t="shared" si="69"/>
        <v>3200</v>
      </c>
      <c r="V73" s="31">
        <f t="shared" si="69"/>
        <v>6400</v>
      </c>
      <c r="W73" s="31">
        <f t="shared" si="69"/>
        <v>12800</v>
      </c>
      <c r="X73" s="31">
        <f t="shared" si="69"/>
        <v>25600</v>
      </c>
      <c r="Y73" s="31">
        <f t="shared" si="69"/>
        <v>51200</v>
      </c>
      <c r="Z73" s="31">
        <f t="shared" si="69"/>
        <v>102400</v>
      </c>
      <c r="AA73" s="31">
        <f t="shared" si="69"/>
        <v>204800</v>
      </c>
      <c r="AB73" s="72">
        <f t="shared" si="69"/>
        <v>409600</v>
      </c>
      <c r="AC73" s="31">
        <f t="shared" si="69"/>
        <v>819200</v>
      </c>
      <c r="AD73" s="72">
        <f t="shared" si="69"/>
        <v>1281700</v>
      </c>
      <c r="AE73" s="57"/>
    </row>
    <row r="74" spans="1:31" x14ac:dyDescent="0.25">
      <c r="A74" s="53"/>
      <c r="B74" s="28"/>
      <c r="C74" s="28"/>
      <c r="D74" s="37"/>
      <c r="E74" s="58">
        <v>0.105</v>
      </c>
      <c r="F74" s="28"/>
      <c r="G74" s="41">
        <f>G73*$E$74</f>
        <v>0.1640625</v>
      </c>
      <c r="H74" s="42">
        <f t="shared" ref="H74:Z74" si="70">H73*$E$74</f>
        <v>0.328125</v>
      </c>
      <c r="I74" s="42">
        <f t="shared" si="70"/>
        <v>0.65625</v>
      </c>
      <c r="J74" s="42">
        <f t="shared" si="70"/>
        <v>1.3125</v>
      </c>
      <c r="K74" s="42">
        <f t="shared" si="70"/>
        <v>2.625</v>
      </c>
      <c r="L74" s="42">
        <f t="shared" si="70"/>
        <v>5.25</v>
      </c>
      <c r="M74" s="42">
        <f t="shared" si="70"/>
        <v>10.5</v>
      </c>
      <c r="N74" s="42">
        <f t="shared" si="70"/>
        <v>21</v>
      </c>
      <c r="O74" s="42">
        <f t="shared" ref="O74:Q74" si="71">O73*$E$74</f>
        <v>31.5</v>
      </c>
      <c r="P74" s="42">
        <f t="shared" si="71"/>
        <v>36.75</v>
      </c>
      <c r="Q74" s="42">
        <f t="shared" si="71"/>
        <v>39.479999999999997</v>
      </c>
      <c r="R74" s="42">
        <f t="shared" si="70"/>
        <v>42</v>
      </c>
      <c r="S74" s="42">
        <f t="shared" si="70"/>
        <v>84</v>
      </c>
      <c r="T74" s="42">
        <f t="shared" si="70"/>
        <v>168</v>
      </c>
      <c r="U74" s="42">
        <f t="shared" si="70"/>
        <v>336</v>
      </c>
      <c r="V74" s="42">
        <f t="shared" si="70"/>
        <v>672</v>
      </c>
      <c r="W74" s="42">
        <f t="shared" si="70"/>
        <v>1344</v>
      </c>
      <c r="X74" s="42">
        <f t="shared" si="70"/>
        <v>2688</v>
      </c>
      <c r="Y74" s="42">
        <f t="shared" si="70"/>
        <v>5376</v>
      </c>
      <c r="Z74" s="42">
        <f t="shared" si="70"/>
        <v>10752</v>
      </c>
      <c r="AA74" s="42">
        <f>AA73*$E$74</f>
        <v>21504</v>
      </c>
      <c r="AB74" s="83">
        <f>AB73*$E$74</f>
        <v>43008</v>
      </c>
      <c r="AC74" s="42">
        <f>AC73*$E$74</f>
        <v>86016</v>
      </c>
      <c r="AD74" s="83">
        <f>AD73*$E$74</f>
        <v>134578.5</v>
      </c>
      <c r="AE74" s="57"/>
    </row>
    <row r="75" spans="1:31" x14ac:dyDescent="0.25">
      <c r="A75" s="53" t="s">
        <v>5</v>
      </c>
      <c r="B75" s="36">
        <v>4.5999999999999999E-2</v>
      </c>
      <c r="C75" s="22">
        <f>$B$5 * B75</f>
        <v>1179164</v>
      </c>
      <c r="D75" s="59"/>
      <c r="E75" s="28"/>
      <c r="F75" s="28"/>
      <c r="G75" s="32">
        <f t="shared" ref="G75:AD75" si="72">G$18*$B$75</f>
        <v>1.4375</v>
      </c>
      <c r="H75" s="33">
        <f t="shared" si="72"/>
        <v>2.875</v>
      </c>
      <c r="I75" s="33">
        <f t="shared" si="72"/>
        <v>5.75</v>
      </c>
      <c r="J75" s="33">
        <f t="shared" si="72"/>
        <v>11.5</v>
      </c>
      <c r="K75" s="33">
        <f t="shared" si="72"/>
        <v>23</v>
      </c>
      <c r="L75" s="33">
        <f t="shared" si="72"/>
        <v>46</v>
      </c>
      <c r="M75" s="33">
        <f t="shared" si="72"/>
        <v>92</v>
      </c>
      <c r="N75" s="33">
        <f t="shared" si="72"/>
        <v>184</v>
      </c>
      <c r="O75" s="33">
        <f t="shared" si="72"/>
        <v>276</v>
      </c>
      <c r="P75" s="33">
        <f t="shared" si="72"/>
        <v>322</v>
      </c>
      <c r="Q75" s="33">
        <f t="shared" si="72"/>
        <v>345.92</v>
      </c>
      <c r="R75" s="33">
        <f t="shared" si="72"/>
        <v>368</v>
      </c>
      <c r="S75" s="33">
        <f t="shared" si="72"/>
        <v>736</v>
      </c>
      <c r="T75" s="33">
        <f t="shared" si="72"/>
        <v>1472</v>
      </c>
      <c r="U75" s="33">
        <f t="shared" si="72"/>
        <v>2944</v>
      </c>
      <c r="V75" s="33">
        <f t="shared" si="72"/>
        <v>5888</v>
      </c>
      <c r="W75" s="33">
        <f t="shared" si="72"/>
        <v>11776</v>
      </c>
      <c r="X75" s="33">
        <f t="shared" si="72"/>
        <v>23552</v>
      </c>
      <c r="Y75" s="33">
        <f t="shared" si="72"/>
        <v>47104</v>
      </c>
      <c r="Z75" s="33">
        <f t="shared" si="72"/>
        <v>94208</v>
      </c>
      <c r="AA75" s="33">
        <f t="shared" si="72"/>
        <v>188416</v>
      </c>
      <c r="AB75" s="84">
        <f t="shared" si="72"/>
        <v>376832</v>
      </c>
      <c r="AC75" s="33">
        <f t="shared" si="72"/>
        <v>753664</v>
      </c>
      <c r="AD75" s="84">
        <f t="shared" si="72"/>
        <v>1179164</v>
      </c>
      <c r="AE75" s="57"/>
    </row>
    <row r="76" spans="1:31" x14ac:dyDescent="0.25">
      <c r="A76" s="53"/>
      <c r="B76" s="28"/>
      <c r="C76" s="28"/>
      <c r="D76" s="37"/>
      <c r="E76" s="58">
        <v>7.2999999999999995E-2</v>
      </c>
      <c r="F76" s="28"/>
      <c r="G76" s="41">
        <f t="shared" ref="G76:Z76" si="73">G75*$E$76</f>
        <v>0.10493749999999999</v>
      </c>
      <c r="H76" s="42">
        <f t="shared" si="73"/>
        <v>0.20987499999999998</v>
      </c>
      <c r="I76" s="42">
        <f t="shared" si="73"/>
        <v>0.41974999999999996</v>
      </c>
      <c r="J76" s="42">
        <f t="shared" si="73"/>
        <v>0.83949999999999991</v>
      </c>
      <c r="K76" s="42">
        <f t="shared" si="73"/>
        <v>1.6789999999999998</v>
      </c>
      <c r="L76" s="42">
        <f t="shared" si="73"/>
        <v>3.3579999999999997</v>
      </c>
      <c r="M76" s="42">
        <f t="shared" si="73"/>
        <v>6.7159999999999993</v>
      </c>
      <c r="N76" s="42">
        <f t="shared" si="73"/>
        <v>13.431999999999999</v>
      </c>
      <c r="O76" s="42">
        <f t="shared" ref="O76:Q76" si="74">O75*$E$76</f>
        <v>20.148</v>
      </c>
      <c r="P76" s="42">
        <f t="shared" si="74"/>
        <v>23.506</v>
      </c>
      <c r="Q76" s="42">
        <f t="shared" si="74"/>
        <v>25.25216</v>
      </c>
      <c r="R76" s="42">
        <f t="shared" si="73"/>
        <v>26.863999999999997</v>
      </c>
      <c r="S76" s="42">
        <f t="shared" si="73"/>
        <v>53.727999999999994</v>
      </c>
      <c r="T76" s="42">
        <f t="shared" si="73"/>
        <v>107.45599999999999</v>
      </c>
      <c r="U76" s="42">
        <f t="shared" si="73"/>
        <v>214.91199999999998</v>
      </c>
      <c r="V76" s="42">
        <f t="shared" si="73"/>
        <v>429.82399999999996</v>
      </c>
      <c r="W76" s="42">
        <f t="shared" si="73"/>
        <v>859.64799999999991</v>
      </c>
      <c r="X76" s="42">
        <f t="shared" si="73"/>
        <v>1719.2959999999998</v>
      </c>
      <c r="Y76" s="42">
        <f t="shared" si="73"/>
        <v>3438.5919999999996</v>
      </c>
      <c r="Z76" s="42">
        <f t="shared" si="73"/>
        <v>6877.1839999999993</v>
      </c>
      <c r="AA76" s="42">
        <f>AA75*$E$76</f>
        <v>13754.367999999999</v>
      </c>
      <c r="AB76" s="83">
        <f>AB75*$E$76</f>
        <v>27508.735999999997</v>
      </c>
      <c r="AC76" s="42">
        <f>AC75*$E$76</f>
        <v>55017.471999999994</v>
      </c>
      <c r="AD76" s="83">
        <f>AD75*$E$76</f>
        <v>86078.971999999994</v>
      </c>
      <c r="AE76" s="57"/>
    </row>
    <row r="77" spans="1:31" x14ac:dyDescent="0.25">
      <c r="A77" s="53" t="s">
        <v>7</v>
      </c>
      <c r="B77" s="36">
        <v>0.31</v>
      </c>
      <c r="C77" s="22">
        <f>$B$5 * B77</f>
        <v>7946540</v>
      </c>
      <c r="D77" s="59"/>
      <c r="E77" s="28"/>
      <c r="F77" s="28"/>
      <c r="G77" s="32">
        <f t="shared" ref="G77:AD77" si="75">G$18*$B$77</f>
        <v>9.6875</v>
      </c>
      <c r="H77" s="33">
        <f t="shared" si="75"/>
        <v>19.375</v>
      </c>
      <c r="I77" s="33">
        <f t="shared" si="75"/>
        <v>38.75</v>
      </c>
      <c r="J77" s="33">
        <f t="shared" si="75"/>
        <v>77.5</v>
      </c>
      <c r="K77" s="33">
        <f t="shared" si="75"/>
        <v>155</v>
      </c>
      <c r="L77" s="33">
        <f t="shared" si="75"/>
        <v>310</v>
      </c>
      <c r="M77" s="33">
        <f t="shared" si="75"/>
        <v>620</v>
      </c>
      <c r="N77" s="33">
        <f t="shared" si="75"/>
        <v>1240</v>
      </c>
      <c r="O77" s="33">
        <f t="shared" si="75"/>
        <v>1860</v>
      </c>
      <c r="P77" s="33">
        <f t="shared" si="75"/>
        <v>2170</v>
      </c>
      <c r="Q77" s="33">
        <f t="shared" si="75"/>
        <v>2331.1999999999998</v>
      </c>
      <c r="R77" s="33">
        <f t="shared" si="75"/>
        <v>2480</v>
      </c>
      <c r="S77" s="33">
        <f t="shared" si="75"/>
        <v>4960</v>
      </c>
      <c r="T77" s="33">
        <f t="shared" si="75"/>
        <v>9920</v>
      </c>
      <c r="U77" s="33">
        <f t="shared" si="75"/>
        <v>19840</v>
      </c>
      <c r="V77" s="33">
        <f t="shared" si="75"/>
        <v>39680</v>
      </c>
      <c r="W77" s="33">
        <f t="shared" si="75"/>
        <v>79360</v>
      </c>
      <c r="X77" s="33">
        <f t="shared" si="75"/>
        <v>158720</v>
      </c>
      <c r="Y77" s="33">
        <f t="shared" si="75"/>
        <v>317440</v>
      </c>
      <c r="Z77" s="33">
        <f t="shared" si="75"/>
        <v>634880</v>
      </c>
      <c r="AA77" s="33">
        <f t="shared" si="75"/>
        <v>1269760</v>
      </c>
      <c r="AB77" s="84">
        <f t="shared" si="75"/>
        <v>2539520</v>
      </c>
      <c r="AC77" s="33">
        <f t="shared" si="75"/>
        <v>5079040</v>
      </c>
      <c r="AD77" s="84">
        <f t="shared" si="75"/>
        <v>7946540</v>
      </c>
      <c r="AE77" s="57"/>
    </row>
    <row r="78" spans="1:31" x14ac:dyDescent="0.25">
      <c r="A78" s="53"/>
      <c r="B78" s="28"/>
      <c r="C78" s="28"/>
      <c r="D78" s="37"/>
      <c r="E78" s="58">
        <v>6.3E-2</v>
      </c>
      <c r="F78" s="28"/>
      <c r="G78" s="41">
        <f t="shared" ref="G78:Z78" si="76">G77*$E$78</f>
        <v>0.61031250000000004</v>
      </c>
      <c r="H78" s="42">
        <f t="shared" si="76"/>
        <v>1.2206250000000001</v>
      </c>
      <c r="I78" s="42">
        <f t="shared" si="76"/>
        <v>2.4412500000000001</v>
      </c>
      <c r="J78" s="42">
        <f t="shared" si="76"/>
        <v>4.8825000000000003</v>
      </c>
      <c r="K78" s="42">
        <f t="shared" si="76"/>
        <v>9.7650000000000006</v>
      </c>
      <c r="L78" s="42">
        <f t="shared" si="76"/>
        <v>19.53</v>
      </c>
      <c r="M78" s="42">
        <f t="shared" si="76"/>
        <v>39.06</v>
      </c>
      <c r="N78" s="42">
        <f t="shared" si="76"/>
        <v>78.12</v>
      </c>
      <c r="O78" s="42">
        <f t="shared" ref="O78:Q78" si="77">O77*$E$78</f>
        <v>117.18</v>
      </c>
      <c r="P78" s="42">
        <f t="shared" si="77"/>
        <v>136.71</v>
      </c>
      <c r="Q78" s="42">
        <f t="shared" si="77"/>
        <v>146.8656</v>
      </c>
      <c r="R78" s="42">
        <f t="shared" si="76"/>
        <v>156.24</v>
      </c>
      <c r="S78" s="42">
        <f t="shared" si="76"/>
        <v>312.48</v>
      </c>
      <c r="T78" s="42">
        <f t="shared" si="76"/>
        <v>624.96</v>
      </c>
      <c r="U78" s="42">
        <f t="shared" si="76"/>
        <v>1249.92</v>
      </c>
      <c r="V78" s="42">
        <f t="shared" si="76"/>
        <v>2499.84</v>
      </c>
      <c r="W78" s="42">
        <f t="shared" si="76"/>
        <v>4999.68</v>
      </c>
      <c r="X78" s="42">
        <f t="shared" si="76"/>
        <v>9999.36</v>
      </c>
      <c r="Y78" s="42">
        <f t="shared" si="76"/>
        <v>19998.72</v>
      </c>
      <c r="Z78" s="42">
        <f t="shared" si="76"/>
        <v>39997.440000000002</v>
      </c>
      <c r="AA78" s="42">
        <f>AA77*$E$78</f>
        <v>79994.880000000005</v>
      </c>
      <c r="AB78" s="83">
        <f>AB77*$E$78</f>
        <v>159989.76000000001</v>
      </c>
      <c r="AC78" s="42">
        <f>AC77*$E$78</f>
        <v>319979.52000000002</v>
      </c>
      <c r="AD78" s="83">
        <f>AD77*$E$78</f>
        <v>500632.02</v>
      </c>
      <c r="AE78" s="57"/>
    </row>
    <row r="79" spans="1:31" x14ac:dyDescent="0.25">
      <c r="A79" s="53" t="s">
        <v>8</v>
      </c>
      <c r="B79" s="36">
        <v>0.33700000000000002</v>
      </c>
      <c r="C79" s="22">
        <f>$B$5 * B79</f>
        <v>8638658</v>
      </c>
      <c r="D79" s="59"/>
      <c r="E79" s="28"/>
      <c r="F79" s="28"/>
      <c r="G79" s="32">
        <f t="shared" ref="G79:AD79" si="78">G$18*$B$79</f>
        <v>10.53125</v>
      </c>
      <c r="H79" s="33">
        <f t="shared" si="78"/>
        <v>21.0625</v>
      </c>
      <c r="I79" s="33">
        <f t="shared" si="78"/>
        <v>42.125</v>
      </c>
      <c r="J79" s="33">
        <f t="shared" si="78"/>
        <v>84.25</v>
      </c>
      <c r="K79" s="33">
        <f t="shared" si="78"/>
        <v>168.5</v>
      </c>
      <c r="L79" s="33">
        <f t="shared" si="78"/>
        <v>337</v>
      </c>
      <c r="M79" s="33">
        <f t="shared" si="78"/>
        <v>674</v>
      </c>
      <c r="N79" s="33">
        <f t="shared" si="78"/>
        <v>1348</v>
      </c>
      <c r="O79" s="33">
        <f t="shared" si="78"/>
        <v>2022.0000000000002</v>
      </c>
      <c r="P79" s="33">
        <f t="shared" si="78"/>
        <v>2359</v>
      </c>
      <c r="Q79" s="33">
        <f t="shared" si="78"/>
        <v>2534.2400000000002</v>
      </c>
      <c r="R79" s="33">
        <f t="shared" si="78"/>
        <v>2696</v>
      </c>
      <c r="S79" s="33">
        <f t="shared" si="78"/>
        <v>5392</v>
      </c>
      <c r="T79" s="33">
        <f t="shared" si="78"/>
        <v>10784</v>
      </c>
      <c r="U79" s="33">
        <f t="shared" si="78"/>
        <v>21568</v>
      </c>
      <c r="V79" s="33">
        <f t="shared" si="78"/>
        <v>43136</v>
      </c>
      <c r="W79" s="33">
        <f t="shared" si="78"/>
        <v>86272</v>
      </c>
      <c r="X79" s="33">
        <f t="shared" si="78"/>
        <v>172544</v>
      </c>
      <c r="Y79" s="33">
        <f t="shared" si="78"/>
        <v>345088</v>
      </c>
      <c r="Z79" s="33">
        <f t="shared" si="78"/>
        <v>690176</v>
      </c>
      <c r="AA79" s="33">
        <f t="shared" si="78"/>
        <v>1380352</v>
      </c>
      <c r="AB79" s="84">
        <f t="shared" si="78"/>
        <v>2760704</v>
      </c>
      <c r="AC79" s="33">
        <f t="shared" si="78"/>
        <v>5521408</v>
      </c>
      <c r="AD79" s="84">
        <f t="shared" si="78"/>
        <v>8638658</v>
      </c>
      <c r="AE79" s="57"/>
    </row>
    <row r="80" spans="1:31" x14ac:dyDescent="0.25">
      <c r="A80" s="53"/>
      <c r="B80" s="28"/>
      <c r="C80" s="28"/>
      <c r="D80" s="37"/>
      <c r="E80" s="58">
        <v>0.06</v>
      </c>
      <c r="F80" s="28"/>
      <c r="G80" s="41">
        <f t="shared" ref="G80:Z80" si="79">G79*$E$80</f>
        <v>0.63187499999999996</v>
      </c>
      <c r="H80" s="42">
        <f t="shared" si="79"/>
        <v>1.2637499999999999</v>
      </c>
      <c r="I80" s="42">
        <f t="shared" si="79"/>
        <v>2.5274999999999999</v>
      </c>
      <c r="J80" s="42">
        <f t="shared" si="79"/>
        <v>5.0549999999999997</v>
      </c>
      <c r="K80" s="42">
        <f t="shared" si="79"/>
        <v>10.11</v>
      </c>
      <c r="L80" s="42">
        <f t="shared" si="79"/>
        <v>20.22</v>
      </c>
      <c r="M80" s="42">
        <f t="shared" si="79"/>
        <v>40.44</v>
      </c>
      <c r="N80" s="42">
        <f t="shared" si="79"/>
        <v>80.88</v>
      </c>
      <c r="O80" s="42">
        <f t="shared" ref="O80:Q80" si="80">O79*$E$80</f>
        <v>121.32000000000001</v>
      </c>
      <c r="P80" s="42">
        <f t="shared" si="80"/>
        <v>141.54</v>
      </c>
      <c r="Q80" s="42">
        <f t="shared" si="80"/>
        <v>152.05440000000002</v>
      </c>
      <c r="R80" s="42">
        <f t="shared" si="79"/>
        <v>161.76</v>
      </c>
      <c r="S80" s="42">
        <f t="shared" si="79"/>
        <v>323.52</v>
      </c>
      <c r="T80" s="42">
        <f t="shared" si="79"/>
        <v>647.04</v>
      </c>
      <c r="U80" s="42">
        <f t="shared" si="79"/>
        <v>1294.08</v>
      </c>
      <c r="V80" s="42">
        <f t="shared" si="79"/>
        <v>2588.16</v>
      </c>
      <c r="W80" s="42">
        <f t="shared" si="79"/>
        <v>5176.32</v>
      </c>
      <c r="X80" s="42">
        <f t="shared" si="79"/>
        <v>10352.64</v>
      </c>
      <c r="Y80" s="42">
        <f t="shared" si="79"/>
        <v>20705.28</v>
      </c>
      <c r="Z80" s="42">
        <f t="shared" si="79"/>
        <v>41410.559999999998</v>
      </c>
      <c r="AA80" s="42">
        <f>AA79*$E$80</f>
        <v>82821.119999999995</v>
      </c>
      <c r="AB80" s="83">
        <f>AB79*$E$80</f>
        <v>165642.23999999999</v>
      </c>
      <c r="AC80" s="42">
        <f>AC79*$E$80</f>
        <v>331284.47999999998</v>
      </c>
      <c r="AD80" s="83">
        <f>AD79*$E$80</f>
        <v>518319.48</v>
      </c>
      <c r="AE80" s="57"/>
    </row>
    <row r="81" spans="1:31" x14ac:dyDescent="0.25">
      <c r="A81" s="53" t="s">
        <v>9</v>
      </c>
      <c r="B81" s="36">
        <v>1.4999999999999999E-2</v>
      </c>
      <c r="C81" s="22">
        <f>$B$5 * B81</f>
        <v>384510</v>
      </c>
      <c r="D81" s="59"/>
      <c r="E81" s="28"/>
      <c r="F81" s="28"/>
      <c r="G81" s="32">
        <f t="shared" ref="G81:AD81" si="81">G$18*$B$81</f>
        <v>0.46875</v>
      </c>
      <c r="H81" s="33">
        <f t="shared" si="81"/>
        <v>0.9375</v>
      </c>
      <c r="I81" s="33">
        <f t="shared" si="81"/>
        <v>1.875</v>
      </c>
      <c r="J81" s="33">
        <f t="shared" si="81"/>
        <v>3.75</v>
      </c>
      <c r="K81" s="33">
        <f t="shared" si="81"/>
        <v>7.5</v>
      </c>
      <c r="L81" s="33">
        <f t="shared" si="81"/>
        <v>15</v>
      </c>
      <c r="M81" s="33">
        <f t="shared" si="81"/>
        <v>30</v>
      </c>
      <c r="N81" s="33">
        <f t="shared" si="81"/>
        <v>60</v>
      </c>
      <c r="O81" s="33">
        <f t="shared" si="81"/>
        <v>90</v>
      </c>
      <c r="P81" s="33">
        <f t="shared" si="81"/>
        <v>105</v>
      </c>
      <c r="Q81" s="33">
        <f t="shared" si="81"/>
        <v>112.8</v>
      </c>
      <c r="R81" s="33">
        <f t="shared" si="81"/>
        <v>120</v>
      </c>
      <c r="S81" s="33">
        <f t="shared" si="81"/>
        <v>240</v>
      </c>
      <c r="T81" s="33">
        <f t="shared" si="81"/>
        <v>480</v>
      </c>
      <c r="U81" s="33">
        <f t="shared" si="81"/>
        <v>960</v>
      </c>
      <c r="V81" s="33">
        <f t="shared" si="81"/>
        <v>1920</v>
      </c>
      <c r="W81" s="33">
        <f t="shared" si="81"/>
        <v>3840</v>
      </c>
      <c r="X81" s="33">
        <f t="shared" si="81"/>
        <v>7680</v>
      </c>
      <c r="Y81" s="33">
        <f t="shared" si="81"/>
        <v>15360</v>
      </c>
      <c r="Z81" s="33">
        <f t="shared" si="81"/>
        <v>30720</v>
      </c>
      <c r="AA81" s="33">
        <f t="shared" si="81"/>
        <v>61440</v>
      </c>
      <c r="AB81" s="84">
        <f t="shared" si="81"/>
        <v>122880</v>
      </c>
      <c r="AC81" s="33">
        <f t="shared" si="81"/>
        <v>245760</v>
      </c>
      <c r="AD81" s="84">
        <f t="shared" si="81"/>
        <v>384510</v>
      </c>
      <c r="AE81" s="57"/>
    </row>
    <row r="82" spans="1:31" x14ac:dyDescent="0.25">
      <c r="A82" s="53"/>
      <c r="B82" s="28"/>
      <c r="C82" s="28"/>
      <c r="D82" s="37"/>
      <c r="E82" s="58">
        <v>5.6000000000000001E-2</v>
      </c>
      <c r="F82" s="28"/>
      <c r="G82" s="41">
        <f t="shared" ref="G82:Z82" si="82">G81*$E$82</f>
        <v>2.6249999999999999E-2</v>
      </c>
      <c r="H82" s="42">
        <f t="shared" si="82"/>
        <v>5.2499999999999998E-2</v>
      </c>
      <c r="I82" s="42">
        <f t="shared" si="82"/>
        <v>0.105</v>
      </c>
      <c r="J82" s="42">
        <f t="shared" si="82"/>
        <v>0.21</v>
      </c>
      <c r="K82" s="42">
        <f t="shared" si="82"/>
        <v>0.42</v>
      </c>
      <c r="L82" s="42">
        <f t="shared" si="82"/>
        <v>0.84</v>
      </c>
      <c r="M82" s="42">
        <f t="shared" si="82"/>
        <v>1.68</v>
      </c>
      <c r="N82" s="42">
        <f t="shared" si="82"/>
        <v>3.36</v>
      </c>
      <c r="O82" s="42">
        <f t="shared" ref="O82:Q82" si="83">O81*$E$82</f>
        <v>5.04</v>
      </c>
      <c r="P82" s="42">
        <f t="shared" si="83"/>
        <v>5.88</v>
      </c>
      <c r="Q82" s="42">
        <f t="shared" si="83"/>
        <v>6.3167999999999997</v>
      </c>
      <c r="R82" s="42">
        <f t="shared" si="82"/>
        <v>6.72</v>
      </c>
      <c r="S82" s="42">
        <f t="shared" si="82"/>
        <v>13.44</v>
      </c>
      <c r="T82" s="42">
        <f t="shared" si="82"/>
        <v>26.88</v>
      </c>
      <c r="U82" s="42">
        <f t="shared" si="82"/>
        <v>53.76</v>
      </c>
      <c r="V82" s="42">
        <f t="shared" si="82"/>
        <v>107.52</v>
      </c>
      <c r="W82" s="42">
        <f t="shared" si="82"/>
        <v>215.04</v>
      </c>
      <c r="X82" s="42">
        <f t="shared" si="82"/>
        <v>430.08</v>
      </c>
      <c r="Y82" s="42">
        <f t="shared" si="82"/>
        <v>860.16</v>
      </c>
      <c r="Z82" s="42">
        <f t="shared" si="82"/>
        <v>1720.32</v>
      </c>
      <c r="AA82" s="42">
        <f>AA81*$E$82</f>
        <v>3440.64</v>
      </c>
      <c r="AB82" s="83">
        <f>AB81*$E$82</f>
        <v>6881.28</v>
      </c>
      <c r="AC82" s="42">
        <f>AC81*$E$82</f>
        <v>13762.56</v>
      </c>
      <c r="AD82" s="83">
        <f>AD81*$E$82</f>
        <v>21532.560000000001</v>
      </c>
      <c r="AE82" s="57"/>
    </row>
    <row r="83" spans="1:31" x14ac:dyDescent="0.25">
      <c r="A83" s="53" t="s">
        <v>10</v>
      </c>
      <c r="B83" s="36">
        <v>0.161</v>
      </c>
      <c r="C83" s="22">
        <f>$B$5 * B83</f>
        <v>4127074</v>
      </c>
      <c r="D83" s="59"/>
      <c r="E83" s="28"/>
      <c r="F83" s="28"/>
      <c r="G83" s="32">
        <f t="shared" ref="G83:AD83" si="84">G$18*$B$83</f>
        <v>5.03125</v>
      </c>
      <c r="H83" s="33">
        <f t="shared" si="84"/>
        <v>10.0625</v>
      </c>
      <c r="I83" s="33">
        <f t="shared" si="84"/>
        <v>20.125</v>
      </c>
      <c r="J83" s="33">
        <f t="shared" si="84"/>
        <v>40.25</v>
      </c>
      <c r="K83" s="33">
        <f t="shared" si="84"/>
        <v>80.5</v>
      </c>
      <c r="L83" s="33">
        <f t="shared" si="84"/>
        <v>161</v>
      </c>
      <c r="M83" s="33">
        <f t="shared" si="84"/>
        <v>322</v>
      </c>
      <c r="N83" s="33">
        <f t="shared" si="84"/>
        <v>644</v>
      </c>
      <c r="O83" s="33">
        <f t="shared" si="84"/>
        <v>966</v>
      </c>
      <c r="P83" s="33">
        <f t="shared" si="84"/>
        <v>1127</v>
      </c>
      <c r="Q83" s="33">
        <f t="shared" si="84"/>
        <v>1210.72</v>
      </c>
      <c r="R83" s="33">
        <f t="shared" si="84"/>
        <v>1288</v>
      </c>
      <c r="S83" s="33">
        <f t="shared" si="84"/>
        <v>2576</v>
      </c>
      <c r="T83" s="33">
        <f t="shared" si="84"/>
        <v>5152</v>
      </c>
      <c r="U83" s="33">
        <f t="shared" si="84"/>
        <v>10304</v>
      </c>
      <c r="V83" s="33">
        <f t="shared" si="84"/>
        <v>20608</v>
      </c>
      <c r="W83" s="33">
        <f t="shared" si="84"/>
        <v>41216</v>
      </c>
      <c r="X83" s="33">
        <f t="shared" si="84"/>
        <v>82432</v>
      </c>
      <c r="Y83" s="33">
        <f t="shared" si="84"/>
        <v>164864</v>
      </c>
      <c r="Z83" s="33">
        <f t="shared" si="84"/>
        <v>329728</v>
      </c>
      <c r="AA83" s="33">
        <f t="shared" si="84"/>
        <v>659456</v>
      </c>
      <c r="AB83" s="84">
        <f t="shared" si="84"/>
        <v>1318912</v>
      </c>
      <c r="AC83" s="33">
        <f t="shared" si="84"/>
        <v>2637824</v>
      </c>
      <c r="AD83" s="84">
        <f t="shared" si="84"/>
        <v>4127074</v>
      </c>
      <c r="AE83" s="57"/>
    </row>
    <row r="84" spans="1:31" x14ac:dyDescent="0.25">
      <c r="A84" s="49"/>
      <c r="B84" s="51"/>
      <c r="C84" s="51"/>
      <c r="D84" s="67"/>
      <c r="E84" s="68" t="s">
        <v>11</v>
      </c>
      <c r="F84" s="51"/>
      <c r="G84" s="41" t="s">
        <v>11</v>
      </c>
      <c r="H84" s="42" t="s">
        <v>11</v>
      </c>
      <c r="I84" s="42" t="s">
        <v>11</v>
      </c>
      <c r="J84" s="42" t="s">
        <v>11</v>
      </c>
      <c r="K84" s="42" t="s">
        <v>11</v>
      </c>
      <c r="L84" s="42" t="s">
        <v>11</v>
      </c>
      <c r="M84" s="42" t="s">
        <v>11</v>
      </c>
      <c r="N84" s="42" t="s">
        <v>11</v>
      </c>
      <c r="O84" s="42" t="s">
        <v>11</v>
      </c>
      <c r="P84" s="42" t="s">
        <v>11</v>
      </c>
      <c r="Q84" s="42" t="s">
        <v>11</v>
      </c>
      <c r="R84" s="42" t="s">
        <v>11</v>
      </c>
      <c r="S84" s="42" t="s">
        <v>11</v>
      </c>
      <c r="T84" s="42" t="s">
        <v>11</v>
      </c>
      <c r="U84" s="42" t="s">
        <v>11</v>
      </c>
      <c r="V84" s="42" t="s">
        <v>11</v>
      </c>
      <c r="W84" s="42" t="s">
        <v>11</v>
      </c>
      <c r="X84" s="42" t="s">
        <v>11</v>
      </c>
      <c r="Y84" s="42" t="s">
        <v>11</v>
      </c>
      <c r="Z84" s="42" t="s">
        <v>11</v>
      </c>
      <c r="AA84" s="42" t="s">
        <v>11</v>
      </c>
      <c r="AB84" s="83" t="s">
        <v>11</v>
      </c>
      <c r="AC84" s="44" t="s">
        <v>11</v>
      </c>
      <c r="AD84" s="85" t="s">
        <v>11</v>
      </c>
      <c r="AE84" s="57"/>
    </row>
    <row r="85" spans="1:31" x14ac:dyDescent="0.25">
      <c r="A85" s="53"/>
      <c r="B85" s="28"/>
      <c r="C85" s="28"/>
      <c r="D85" s="59"/>
      <c r="E85" s="28"/>
      <c r="F85" s="28"/>
      <c r="G85" s="30">
        <f>SUM(G73,G75,G77,G79,G81,G83)</f>
        <v>28.71875</v>
      </c>
      <c r="H85" s="31">
        <f t="shared" ref="H85:Z85" si="85">SUM(H73,H75,H77,H79,H81,H83)</f>
        <v>57.4375</v>
      </c>
      <c r="I85" s="31">
        <f t="shared" si="85"/>
        <v>114.875</v>
      </c>
      <c r="J85" s="31">
        <f t="shared" si="85"/>
        <v>229.75</v>
      </c>
      <c r="K85" s="31">
        <f t="shared" si="85"/>
        <v>459.5</v>
      </c>
      <c r="L85" s="31">
        <f t="shared" si="85"/>
        <v>919</v>
      </c>
      <c r="M85" s="31">
        <f>SUM(M73,M75,M77,M79,M81,M83)</f>
        <v>1838</v>
      </c>
      <c r="N85" s="31">
        <f t="shared" si="85"/>
        <v>3676</v>
      </c>
      <c r="O85" s="31">
        <f t="shared" ref="O85:Q85" si="86">SUM(O73,O75,O77,O79,O81,O83)</f>
        <v>5514</v>
      </c>
      <c r="P85" s="31">
        <f t="shared" si="86"/>
        <v>6433</v>
      </c>
      <c r="Q85" s="31">
        <f t="shared" si="86"/>
        <v>6910.880000000001</v>
      </c>
      <c r="R85" s="31">
        <f t="shared" si="85"/>
        <v>7352</v>
      </c>
      <c r="S85" s="31">
        <f t="shared" si="85"/>
        <v>14704</v>
      </c>
      <c r="T85" s="31">
        <f t="shared" si="85"/>
        <v>29408</v>
      </c>
      <c r="U85" s="31">
        <f t="shared" si="85"/>
        <v>58816</v>
      </c>
      <c r="V85" s="31">
        <f t="shared" si="85"/>
        <v>117632</v>
      </c>
      <c r="W85" s="31">
        <f t="shared" si="85"/>
        <v>235264</v>
      </c>
      <c r="X85" s="31">
        <f t="shared" si="85"/>
        <v>470528</v>
      </c>
      <c r="Y85" s="31">
        <f t="shared" si="85"/>
        <v>941056</v>
      </c>
      <c r="Z85" s="31">
        <f t="shared" si="85"/>
        <v>1882112</v>
      </c>
      <c r="AA85" s="31">
        <f t="shared" ref="AA85:AD86" si="87">SUM(AA73,AA75,AA77,AA79,AA81,AA83)</f>
        <v>3764224</v>
      </c>
      <c r="AB85" s="72">
        <f t="shared" si="87"/>
        <v>7528448</v>
      </c>
      <c r="AC85" s="33">
        <f t="shared" si="87"/>
        <v>15056896</v>
      </c>
      <c r="AD85" s="84">
        <f t="shared" si="87"/>
        <v>23557646</v>
      </c>
      <c r="AE85" s="57"/>
    </row>
    <row r="86" spans="1:31" x14ac:dyDescent="0.25">
      <c r="A86" s="49" t="s">
        <v>132</v>
      </c>
      <c r="B86" s="51"/>
      <c r="C86" s="51"/>
      <c r="D86" s="51"/>
      <c r="E86" s="51"/>
      <c r="F86" s="51"/>
      <c r="G86" s="43">
        <f>SUM(G74,G76,G78,G80,G82,G84)</f>
        <v>1.5374375000000002</v>
      </c>
      <c r="H86" s="44">
        <f t="shared" ref="H86:Z86" si="88">SUM(H74,H76,H78,H80,H82,H84)</f>
        <v>3.0748750000000005</v>
      </c>
      <c r="I86" s="44">
        <f t="shared" si="88"/>
        <v>6.1497500000000009</v>
      </c>
      <c r="J86" s="44">
        <f t="shared" si="88"/>
        <v>12.299500000000002</v>
      </c>
      <c r="K86" s="44">
        <f t="shared" si="88"/>
        <v>24.599000000000004</v>
      </c>
      <c r="L86" s="44">
        <f t="shared" si="88"/>
        <v>49.198000000000008</v>
      </c>
      <c r="M86" s="44">
        <f t="shared" si="88"/>
        <v>98.396000000000015</v>
      </c>
      <c r="N86" s="44">
        <f t="shared" si="88"/>
        <v>196.79200000000003</v>
      </c>
      <c r="O86" s="44">
        <f t="shared" ref="O86:Q86" si="89">SUM(O74,O76,O78,O80,O82,O84)</f>
        <v>295.18800000000005</v>
      </c>
      <c r="P86" s="44">
        <f t="shared" si="89"/>
        <v>344.38599999999997</v>
      </c>
      <c r="Q86" s="44">
        <f t="shared" si="89"/>
        <v>369.96895999999998</v>
      </c>
      <c r="R86" s="44">
        <f t="shared" si="88"/>
        <v>393.58400000000006</v>
      </c>
      <c r="S86" s="44">
        <f t="shared" si="88"/>
        <v>787.16800000000012</v>
      </c>
      <c r="T86" s="44">
        <f t="shared" si="88"/>
        <v>1574.3360000000002</v>
      </c>
      <c r="U86" s="44">
        <f t="shared" si="88"/>
        <v>3148.6720000000005</v>
      </c>
      <c r="V86" s="44">
        <f t="shared" si="88"/>
        <v>6297.344000000001</v>
      </c>
      <c r="W86" s="44">
        <f t="shared" si="88"/>
        <v>12594.688000000002</v>
      </c>
      <c r="X86" s="44">
        <f t="shared" si="88"/>
        <v>25189.376000000004</v>
      </c>
      <c r="Y86" s="44">
        <f t="shared" si="88"/>
        <v>50378.752000000008</v>
      </c>
      <c r="Z86" s="44">
        <f t="shared" si="88"/>
        <v>100757.50400000002</v>
      </c>
      <c r="AA86" s="44">
        <f t="shared" si="87"/>
        <v>201515.00800000003</v>
      </c>
      <c r="AB86" s="85">
        <f t="shared" si="87"/>
        <v>403030.01600000006</v>
      </c>
      <c r="AC86" s="44">
        <f t="shared" si="87"/>
        <v>806060.03200000012</v>
      </c>
      <c r="AD86" s="85">
        <f t="shared" si="87"/>
        <v>1261141.5320000001</v>
      </c>
      <c r="AE86" s="57"/>
    </row>
  </sheetData>
  <conditionalFormatting sqref="AC29:AE29 G29:AA29">
    <cfRule type="cellIs" dxfId="28" priority="36" operator="greaterThan">
      <formula>$C$8</formula>
    </cfRule>
  </conditionalFormatting>
  <conditionalFormatting sqref="AC31:AD31 G31:AA31">
    <cfRule type="cellIs" dxfId="27" priority="35" operator="greaterThan">
      <formula>$C$9</formula>
    </cfRule>
  </conditionalFormatting>
  <conditionalFormatting sqref="G50:AD50">
    <cfRule type="cellIs" dxfId="26" priority="34" operator="greaterThan">
      <formula>$C$50</formula>
    </cfRule>
  </conditionalFormatting>
  <conditionalFormatting sqref="G52:AD52">
    <cfRule type="cellIs" dxfId="25" priority="33" operator="greaterThan">
      <formula>$C$52</formula>
    </cfRule>
  </conditionalFormatting>
  <conditionalFormatting sqref="G54:AD54">
    <cfRule type="cellIs" dxfId="24" priority="32" operator="greaterThan">
      <formula>$C$54</formula>
    </cfRule>
  </conditionalFormatting>
  <conditionalFormatting sqref="G56:AD56">
    <cfRule type="cellIs" dxfId="23" priority="24" operator="greaterThan">
      <formula>$C$56</formula>
    </cfRule>
  </conditionalFormatting>
  <conditionalFormatting sqref="G58:AD58">
    <cfRule type="cellIs" dxfId="22" priority="23" operator="greaterThan">
      <formula>$C$58</formula>
    </cfRule>
  </conditionalFormatting>
  <conditionalFormatting sqref="G60:AD60">
    <cfRule type="cellIs" dxfId="21" priority="22" operator="greaterThan">
      <formula>$C$60</formula>
    </cfRule>
  </conditionalFormatting>
  <conditionalFormatting sqref="G62:AD62">
    <cfRule type="cellIs" dxfId="20" priority="21" operator="greaterThan">
      <formula>$C$62</formula>
    </cfRule>
  </conditionalFormatting>
  <conditionalFormatting sqref="G64:AD64">
    <cfRule type="cellIs" dxfId="19" priority="20" operator="greaterThan">
      <formula>$C$64</formula>
    </cfRule>
  </conditionalFormatting>
  <conditionalFormatting sqref="G66:AD66">
    <cfRule type="cellIs" dxfId="18" priority="19" operator="greaterThan">
      <formula>$C$66</formula>
    </cfRule>
  </conditionalFormatting>
  <conditionalFormatting sqref="AC20:AD20 G20:AA20">
    <cfRule type="cellIs" dxfId="17" priority="18" operator="equal">
      <formula>0</formula>
    </cfRule>
  </conditionalFormatting>
  <conditionalFormatting sqref="AC27 G27:AA27 G29:AA29 H31:AA31">
    <cfRule type="cellIs" dxfId="16" priority="17" operator="equal">
      <formula>0</formula>
    </cfRule>
  </conditionalFormatting>
  <conditionalFormatting sqref="AC29:AD29">
    <cfRule type="cellIs" dxfId="15" priority="16" operator="equal">
      <formula>0</formula>
    </cfRule>
  </conditionalFormatting>
  <conditionalFormatting sqref="AC31:AD31">
    <cfRule type="cellIs" dxfId="14" priority="15" operator="equal">
      <formula>0</formula>
    </cfRule>
  </conditionalFormatting>
  <conditionalFormatting sqref="D52">
    <cfRule type="cellIs" dxfId="13" priority="14" operator="greaterThan">
      <formula>$B$52</formula>
    </cfRule>
  </conditionalFormatting>
  <conditionalFormatting sqref="D54">
    <cfRule type="cellIs" dxfId="12" priority="13" operator="greaterThan">
      <formula>$B$54</formula>
    </cfRule>
  </conditionalFormatting>
  <conditionalFormatting sqref="D56">
    <cfRule type="cellIs" dxfId="11" priority="12" operator="greaterThan">
      <formula>$B$56</formula>
    </cfRule>
  </conditionalFormatting>
  <conditionalFormatting sqref="D58">
    <cfRule type="cellIs" dxfId="10" priority="11" operator="greaterThan">
      <formula>$B$58</formula>
    </cfRule>
  </conditionalFormatting>
  <conditionalFormatting sqref="D60">
    <cfRule type="cellIs" dxfId="9" priority="10" operator="greaterThan">
      <formula>$B$60</formula>
    </cfRule>
  </conditionalFormatting>
  <conditionalFormatting sqref="D62">
    <cfRule type="cellIs" dxfId="8" priority="9" operator="greaterThan">
      <formula>$B$62</formula>
    </cfRule>
  </conditionalFormatting>
  <conditionalFormatting sqref="D64">
    <cfRule type="cellIs" dxfId="7" priority="8" operator="greaterThan">
      <formula>$B$64</formula>
    </cfRule>
  </conditionalFormatting>
  <conditionalFormatting sqref="D66">
    <cfRule type="cellIs" dxfId="6" priority="7" operator="greaterThan">
      <formula>$B$66</formula>
    </cfRule>
  </conditionalFormatting>
  <conditionalFormatting sqref="AB29">
    <cfRule type="cellIs" dxfId="5" priority="6" operator="greaterThan">
      <formula>$C$8</formula>
    </cfRule>
  </conditionalFormatting>
  <conditionalFormatting sqref="AB31">
    <cfRule type="cellIs" dxfId="4" priority="5" operator="greaterThan">
      <formula>$C$9</formula>
    </cfRule>
  </conditionalFormatting>
  <conditionalFormatting sqref="AB20">
    <cfRule type="cellIs" dxfId="3" priority="4" operator="equal">
      <formula>0</formula>
    </cfRule>
  </conditionalFormatting>
  <conditionalFormatting sqref="AB27">
    <cfRule type="cellIs" dxfId="2" priority="3" operator="equal">
      <formula>0</formula>
    </cfRule>
  </conditionalFormatting>
  <conditionalFormatting sqref="AB29">
    <cfRule type="cellIs" dxfId="1" priority="2" operator="equal">
      <formula>0</formula>
    </cfRule>
  </conditionalFormatting>
  <conditionalFormatting sqref="AB31">
    <cfRule type="cellIs" dxfId="0" priority="1" operator="equal">
      <formula>0</formula>
    </cfRule>
  </conditionalFormatting>
  <hyperlinks>
    <hyperlink ref="D49" r:id="rId1" xr:uid="{98D6456F-EA03-4FCB-8D3D-1822F6B38CCF}"/>
    <hyperlink ref="E49" r:id="rId2" location="case-fatality-rate-of-covid-19-by-age" xr:uid="{0058192C-B05A-45D2-8597-C1F9B3D9241E}"/>
    <hyperlink ref="E72" r:id="rId3" location="case-fatality-rate-of-covid-19-by-preexisting-health-conditions" xr:uid="{110A2613-24A6-4768-B90C-571B307D13E2}"/>
    <hyperlink ref="B5" r:id="rId4" display="https://www.abs.gov.au/ausstats/abs@.nsf/0/1647509ef7e25faaca2568a900154b63?opendocument" xr:uid="{63727E5E-0850-4414-8DD8-E50A09A5AEE8}"/>
    <hyperlink ref="B49" r:id="rId5" xr:uid="{E432DB14-5D35-4B35-8F24-1C070D7F22B3}"/>
    <hyperlink ref="B6" r:id="rId6" display="https://cmmid.github.io/topics/covid19/severity/global_cfr_estimates.html" xr:uid="{49B36C88-7FC3-4DAA-BBA5-EABFD6685804}"/>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H6" sqref="H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225</v>
      </c>
      <c r="C3" s="179">
        <f>Projections!B5</f>
        <v>25634000</v>
      </c>
      <c r="J3" s="2"/>
    </row>
    <row r="4" spans="2:10" x14ac:dyDescent="0.25">
      <c r="B4" s="195" t="s">
        <v>243</v>
      </c>
      <c r="C4" s="179">
        <v>32</v>
      </c>
      <c r="J4" s="2"/>
    </row>
    <row r="5" spans="2:10" x14ac:dyDescent="0.25">
      <c r="B5" s="195" t="s">
        <v>244</v>
      </c>
      <c r="C5" s="177">
        <v>43892</v>
      </c>
      <c r="J5" s="2"/>
    </row>
    <row r="6" spans="2:10" x14ac:dyDescent="0.25">
      <c r="B6" s="195" t="s">
        <v>226</v>
      </c>
      <c r="C6" s="179">
        <v>6109</v>
      </c>
    </row>
    <row r="7" spans="2:10" x14ac:dyDescent="0.25">
      <c r="B7" s="195" t="s">
        <v>228</v>
      </c>
      <c r="C7" s="177">
        <f ca="1">NOW()</f>
        <v>43935.47386273148</v>
      </c>
    </row>
    <row r="8" spans="2:10" x14ac:dyDescent="0.25">
      <c r="B8" s="195" t="s">
        <v>245</v>
      </c>
      <c r="C8" s="178">
        <f ca="1">C7-C5</f>
        <v>43.47386273148004</v>
      </c>
    </row>
    <row r="9" spans="2:10" x14ac:dyDescent="0.25">
      <c r="B9" s="195" t="s">
        <v>227</v>
      </c>
      <c r="C9" s="180">
        <f ca="1">C8/(LOG(C6/C4)/LOG(2))</f>
        <v>5.7378205501409338</v>
      </c>
      <c r="D9" t="s">
        <v>201</v>
      </c>
      <c r="F9" t="s">
        <v>246</v>
      </c>
    </row>
    <row r="10" spans="2:10" x14ac:dyDescent="0.25">
      <c r="B10" s="195" t="s">
        <v>232</v>
      </c>
      <c r="C10" s="179">
        <f>Projections!C8</f>
        <v>66648.400000000009</v>
      </c>
    </row>
    <row r="11" spans="2:10" x14ac:dyDescent="0.25">
      <c r="B11" s="196" t="s">
        <v>233</v>
      </c>
      <c r="C11" s="184">
        <f>Projections!C9</f>
        <v>1896.9159999999999</v>
      </c>
    </row>
    <row r="12" spans="2:10" s="81" customFormat="1" x14ac:dyDescent="0.25">
      <c r="B12" s="74" t="s">
        <v>281</v>
      </c>
      <c r="C12" s="185">
        <f>C6/Projections!B6</f>
        <v>7541.9753086419751</v>
      </c>
    </row>
    <row r="13" spans="2:10" s="81" customFormat="1" x14ac:dyDescent="0.25">
      <c r="B13" s="60" t="s">
        <v>282</v>
      </c>
      <c r="C13" s="186">
        <f ca="1">(C4/Projections!B6)*(2^(((C7-21)-C5)/C9))</f>
        <v>596.674565692697</v>
      </c>
    </row>
    <row r="14" spans="2:10" s="81" customFormat="1" x14ac:dyDescent="0.25">
      <c r="B14" s="61" t="s">
        <v>283</v>
      </c>
      <c r="C14" s="165">
        <f ca="1">C12-C13</f>
        <v>6945.3007429492782</v>
      </c>
      <c r="E14" s="182"/>
      <c r="F14" s="183" t="s">
        <v>250</v>
      </c>
      <c r="G14" s="181"/>
    </row>
    <row r="15" spans="2:10" x14ac:dyDescent="0.25">
      <c r="B15" s="16" t="s">
        <v>247</v>
      </c>
      <c r="C15" s="76">
        <f>C6*Projections!B10</f>
        <v>5620.2800000000007</v>
      </c>
      <c r="I15" s="176"/>
    </row>
    <row r="16" spans="2:10" x14ac:dyDescent="0.25">
      <c r="B16" s="53" t="s">
        <v>257</v>
      </c>
      <c r="C16" s="95">
        <f ca="1">(C4*Projections!B10)*(2^(((C7-21)-C5)/C9))</f>
        <v>444.64188635419788</v>
      </c>
      <c r="I16" s="176"/>
    </row>
    <row r="17" spans="2:9" x14ac:dyDescent="0.25">
      <c r="B17" s="53" t="s">
        <v>248</v>
      </c>
      <c r="C17" s="95">
        <f ca="1">C15-C16</f>
        <v>5175.6381136458031</v>
      </c>
      <c r="F17" t="s">
        <v>251</v>
      </c>
      <c r="I17" s="176"/>
    </row>
    <row r="18" spans="2:9" x14ac:dyDescent="0.25">
      <c r="B18" s="16" t="s">
        <v>253</v>
      </c>
      <c r="C18" s="76">
        <f>C6*Projections!B11</f>
        <v>305.45</v>
      </c>
    </row>
    <row r="19" spans="2:9" x14ac:dyDescent="0.25">
      <c r="B19" s="53" t="s">
        <v>258</v>
      </c>
      <c r="C19" s="95">
        <f ca="1">(C4*Projections!B11)*(2^(((C7-49)-C5)/C9))</f>
        <v>0.82072143238434636</v>
      </c>
    </row>
    <row r="20" spans="2:9" x14ac:dyDescent="0.25">
      <c r="B20" s="53" t="s">
        <v>252</v>
      </c>
      <c r="C20" s="95">
        <f ca="1">C18-C19</f>
        <v>304.62927856761564</v>
      </c>
      <c r="F20" t="s">
        <v>256</v>
      </c>
    </row>
    <row r="21" spans="2:9" x14ac:dyDescent="0.25">
      <c r="B21" s="16" t="s">
        <v>254</v>
      </c>
      <c r="C21" s="76">
        <f>C6*Projections!B12</f>
        <v>183.26999999999998</v>
      </c>
      <c r="I21" s="176"/>
    </row>
    <row r="22" spans="2:9" x14ac:dyDescent="0.25">
      <c r="B22" s="53" t="s">
        <v>259</v>
      </c>
      <c r="C22" s="95">
        <f ca="1">(C4*Projections!B12)*(2^(((C7-49)-C5)/C9))</f>
        <v>0.49243285943060777</v>
      </c>
      <c r="I22" s="176"/>
    </row>
    <row r="23" spans="2:9" x14ac:dyDescent="0.25">
      <c r="B23" s="53" t="s">
        <v>255</v>
      </c>
      <c r="C23" s="95">
        <f ca="1">C21-C22</f>
        <v>182.77756714056937</v>
      </c>
      <c r="I23" s="176"/>
    </row>
    <row r="24" spans="2:9" x14ac:dyDescent="0.25">
      <c r="B24" s="16" t="s">
        <v>260</v>
      </c>
      <c r="C24" s="76">
        <f>C6*Projections!B13</f>
        <v>51.926500000000004</v>
      </c>
    </row>
    <row r="25" spans="2:9" x14ac:dyDescent="0.25">
      <c r="B25" s="49" t="s">
        <v>261</v>
      </c>
      <c r="C25" s="73">
        <f ca="1">(C4*Projections!B13)*(2^(((C7-42)-C5)/C9))</f>
        <v>0.32500787914389562</v>
      </c>
      <c r="F25" t="s">
        <v>262</v>
      </c>
    </row>
    <row r="26" spans="2:9" x14ac:dyDescent="0.25">
      <c r="B26" s="53" t="s">
        <v>238</v>
      </c>
      <c r="C26" s="189">
        <f ca="1">C9*(LOG(C10/C21)/LOG(2))</f>
        <v>48.808516812508699</v>
      </c>
      <c r="D26" t="s">
        <v>201</v>
      </c>
      <c r="F26" s="81" t="s">
        <v>263</v>
      </c>
    </row>
    <row r="27" spans="2:9" x14ac:dyDescent="0.25">
      <c r="B27" s="49" t="s">
        <v>234</v>
      </c>
      <c r="C27" s="188">
        <f ca="1">C7+C26</f>
        <v>43984.282379543991</v>
      </c>
      <c r="F27" t="s">
        <v>264</v>
      </c>
    </row>
    <row r="28" spans="2:9" x14ac:dyDescent="0.25">
      <c r="B28" s="16" t="s">
        <v>239</v>
      </c>
      <c r="C28" s="187">
        <f ca="1">C9*(LOG(C11/C21)/LOG(2))</f>
        <v>19.345711751637197</v>
      </c>
      <c r="D28" t="s">
        <v>201</v>
      </c>
    </row>
    <row r="29" spans="2:9" x14ac:dyDescent="0.25">
      <c r="B29" s="49" t="s">
        <v>235</v>
      </c>
      <c r="C29" s="188">
        <f ca="1">C7+C28</f>
        <v>43954.819574483117</v>
      </c>
      <c r="F29" t="s">
        <v>264</v>
      </c>
    </row>
    <row r="30" spans="2:9" x14ac:dyDescent="0.25">
      <c r="B30" s="16" t="s">
        <v>240</v>
      </c>
      <c r="C30" s="187">
        <f ca="1">C9*(LOG((C3*0.6)/C12)/LOG(2))</f>
        <v>63.080812911309472</v>
      </c>
      <c r="D30" t="s">
        <v>201</v>
      </c>
    </row>
    <row r="31" spans="2:9" x14ac:dyDescent="0.25">
      <c r="B31" s="49" t="s">
        <v>237</v>
      </c>
      <c r="C31" s="188">
        <f ca="1">C7+C30</f>
        <v>43998.554675642787</v>
      </c>
    </row>
    <row r="34" spans="2:6" x14ac:dyDescent="0.25">
      <c r="B34" s="16" t="s">
        <v>241</v>
      </c>
      <c r="C34" s="177">
        <f ca="1">C7+30</f>
        <v>43965.47386273148</v>
      </c>
      <c r="F34" t="s">
        <v>284</v>
      </c>
    </row>
    <row r="35" spans="2:6" x14ac:dyDescent="0.25">
      <c r="B35" s="53" t="s">
        <v>242</v>
      </c>
      <c r="C35" s="95">
        <f ca="1">C6*(2^((C34-C7)/C9))</f>
        <v>229031.51203620987</v>
      </c>
      <c r="F35" t="s">
        <v>249</v>
      </c>
    </row>
    <row r="36" spans="2:6" x14ac:dyDescent="0.25">
      <c r="B36" s="53" t="s">
        <v>236</v>
      </c>
      <c r="C36" s="95">
        <f ca="1">C35/Projections!B6</f>
        <v>282754.95313112327</v>
      </c>
    </row>
    <row r="37" spans="2:6" x14ac:dyDescent="0.25">
      <c r="B37" s="53" t="s">
        <v>176</v>
      </c>
      <c r="C37" s="95">
        <f ca="1">C35*Projections!B10</f>
        <v>210708.99107331308</v>
      </c>
    </row>
    <row r="38" spans="2:6" x14ac:dyDescent="0.25">
      <c r="B38" s="53" t="s">
        <v>229</v>
      </c>
      <c r="C38" s="95">
        <f ca="1">C35*Projections!B11</f>
        <v>11451.575601810495</v>
      </c>
    </row>
    <row r="39" spans="2:6" x14ac:dyDescent="0.25">
      <c r="B39" s="53" t="s">
        <v>230</v>
      </c>
      <c r="C39" s="95">
        <f ca="1">C35*Projections!B12</f>
        <v>6870.9453610862956</v>
      </c>
    </row>
    <row r="40" spans="2:6" x14ac:dyDescent="0.25">
      <c r="B40" s="49" t="s">
        <v>231</v>
      </c>
      <c r="C40" s="73">
        <f ca="1">C35*Projections!B13</f>
        <v>1946.7678523077841</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K15"/>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3:C14"/>
  <sheetViews>
    <sheetView workbookViewId="0">
      <selection activeCell="E29" sqref="E29"/>
    </sheetView>
  </sheetViews>
  <sheetFormatPr defaultRowHeight="15" x14ac:dyDescent="0.25"/>
  <sheetData>
    <row r="3" spans="1:3" x14ac:dyDescent="0.25">
      <c r="A3" t="s">
        <v>136</v>
      </c>
      <c r="B3" t="s">
        <v>137</v>
      </c>
      <c r="C3" t="s">
        <v>138</v>
      </c>
    </row>
    <row r="4" spans="1:3" x14ac:dyDescent="0.25">
      <c r="A4" s="53" t="s">
        <v>13</v>
      </c>
      <c r="B4">
        <v>171</v>
      </c>
      <c r="C4" s="3">
        <f t="shared" ref="C4:C12" si="0">B4/$B$14</f>
        <v>2.8890015205271159E-2</v>
      </c>
    </row>
    <row r="5" spans="1:3" x14ac:dyDescent="0.25">
      <c r="A5" s="53" t="s">
        <v>14</v>
      </c>
      <c r="B5">
        <v>628</v>
      </c>
      <c r="C5" s="3">
        <f t="shared" si="0"/>
        <v>0.10609900321000169</v>
      </c>
    </row>
    <row r="6" spans="1:3" x14ac:dyDescent="0.25">
      <c r="A6" s="53" t="s">
        <v>15</v>
      </c>
      <c r="B6">
        <v>996</v>
      </c>
      <c r="C6" s="3">
        <f t="shared" si="0"/>
        <v>0.16827166751140396</v>
      </c>
    </row>
    <row r="7" spans="1:3" x14ac:dyDescent="0.25">
      <c r="A7" s="53" t="s">
        <v>16</v>
      </c>
      <c r="B7">
        <v>916</v>
      </c>
      <c r="C7" s="3">
        <f t="shared" si="0"/>
        <v>0.15475587092414259</v>
      </c>
    </row>
    <row r="8" spans="1:3" x14ac:dyDescent="0.25">
      <c r="A8" s="53" t="s">
        <v>17</v>
      </c>
      <c r="B8">
        <v>763</v>
      </c>
      <c r="C8" s="3">
        <f t="shared" si="0"/>
        <v>0.12890690995100523</v>
      </c>
    </row>
    <row r="9" spans="1:3" x14ac:dyDescent="0.25">
      <c r="A9" s="53" t="s">
        <v>18</v>
      </c>
      <c r="B9">
        <v>936</v>
      </c>
      <c r="C9" s="3">
        <f t="shared" si="0"/>
        <v>0.15813482007095794</v>
      </c>
    </row>
    <row r="10" spans="1:3" x14ac:dyDescent="0.25">
      <c r="A10" s="53" t="s">
        <v>19</v>
      </c>
      <c r="B10">
        <v>1279</v>
      </c>
      <c r="C10" s="3">
        <f t="shared" si="0"/>
        <v>0.21608379793884103</v>
      </c>
    </row>
    <row r="11" spans="1:3" ht="15.75" customHeight="1" x14ac:dyDescent="0.25">
      <c r="A11" s="54" t="s">
        <v>20</v>
      </c>
      <c r="B11">
        <v>171</v>
      </c>
      <c r="C11" s="3">
        <f t="shared" si="0"/>
        <v>2.8890015205271159E-2</v>
      </c>
    </row>
    <row r="12" spans="1:3" x14ac:dyDescent="0.25">
      <c r="A12" s="54" t="s">
        <v>21</v>
      </c>
      <c r="B12">
        <v>59</v>
      </c>
      <c r="C12" s="3">
        <f t="shared" si="0"/>
        <v>9.967899983105254E-3</v>
      </c>
    </row>
    <row r="14" spans="1:3" x14ac:dyDescent="0.25">
      <c r="A14" t="s">
        <v>139</v>
      </c>
      <c r="B14">
        <f>SUM(B4:B12)</f>
        <v>5919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2020-04-14T01:22:21Z</dcterms:modified>
</cp:coreProperties>
</file>