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37D88DFE-0C77-4A7C-B89E-261C37608575}"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0" i="1" l="1"/>
  <c r="Q29" i="1"/>
  <c r="O29" i="1"/>
  <c r="O27" i="1"/>
  <c r="G42" i="1"/>
  <c r="G27" i="1" s="1"/>
  <c r="G28" i="1" s="1"/>
  <c r="N7" i="1"/>
  <c r="N6" i="1"/>
  <c r="M5" i="1"/>
  <c r="K4" i="1"/>
  <c r="J3" i="1"/>
  <c r="F2" i="1"/>
  <c r="P11" i="1"/>
  <c r="O10" i="1"/>
  <c r="O9" i="1"/>
  <c r="O8" i="1"/>
  <c r="G40" i="1"/>
  <c r="G39" i="1"/>
  <c r="G29" i="1" l="1"/>
  <c r="G30" i="1" s="1"/>
  <c r="G26" i="1"/>
  <c r="G20" i="1" s="1"/>
  <c r="G24" i="1"/>
  <c r="P41" i="1"/>
  <c r="Q41" i="1" s="1"/>
  <c r="R41" i="1" s="1"/>
  <c r="S41" i="1" s="1"/>
  <c r="T41" i="1" s="1"/>
  <c r="U41" i="1" s="1"/>
  <c r="V41" i="1" s="1"/>
  <c r="W41" i="1" s="1"/>
  <c r="X41" i="1" s="1"/>
  <c r="Y41" i="1" s="1"/>
  <c r="Z41" i="1" s="1"/>
  <c r="G25" i="1" l="1"/>
  <c r="G21" i="1"/>
  <c r="G23" i="1" s="1"/>
  <c r="C12" i="5"/>
  <c r="C7" i="5"/>
  <c r="C21" i="5"/>
  <c r="C18" i="5"/>
  <c r="C15" i="5"/>
  <c r="C24" i="5"/>
  <c r="C3" i="5"/>
  <c r="C8" i="5" l="1"/>
  <c r="C34" i="5"/>
  <c r="B17" i="4"/>
  <c r="C9" i="5" l="1"/>
  <c r="C13" i="5" s="1"/>
  <c r="C14" i="5" s="1"/>
  <c r="Z21" i="1"/>
  <c r="G22" i="1"/>
  <c r="AB19" i="1"/>
  <c r="AB21" i="1"/>
  <c r="AB18" i="1"/>
  <c r="AA18" i="1"/>
  <c r="AA19" i="1" s="1"/>
  <c r="G35" i="1"/>
  <c r="G33" i="1"/>
  <c r="G36" i="1"/>
  <c r="G34" i="1"/>
  <c r="AB22" i="1" l="1"/>
  <c r="AB23" i="1"/>
  <c r="AB31" i="1"/>
  <c r="AB25" i="1"/>
  <c r="AB29" i="1"/>
  <c r="AB27" i="1"/>
  <c r="AA41" i="1"/>
  <c r="AB41" i="1" s="1"/>
  <c r="AA25" i="1"/>
  <c r="AA21" i="1"/>
  <c r="AA23" i="1" s="1"/>
  <c r="Z22" i="1"/>
  <c r="Z23" i="1"/>
  <c r="C22" i="5"/>
  <c r="C23" i="5" s="1"/>
  <c r="C35" i="5"/>
  <c r="C40" i="5" s="1"/>
  <c r="C25" i="5"/>
  <c r="C19" i="5"/>
  <c r="C20" i="5" s="1"/>
  <c r="C16" i="5"/>
  <c r="C17" i="5" s="1"/>
  <c r="C30" i="5"/>
  <c r="C31" i="5" s="1"/>
  <c r="AB26" i="1"/>
  <c r="AA26" i="1" s="1"/>
  <c r="AP25" i="4"/>
  <c r="E31" i="4"/>
  <c r="C38" i="5" l="1"/>
  <c r="C36" i="5"/>
  <c r="C39" i="5"/>
  <c r="C37" i="5"/>
  <c r="E17" i="4"/>
  <c r="N20" i="4" s="1"/>
  <c r="K20" i="4"/>
  <c r="B18" i="4"/>
  <c r="H21" i="4" s="1"/>
  <c r="V24"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E18" i="4" l="1"/>
  <c r="E19" i="4" s="1"/>
  <c r="H17" i="4"/>
  <c r="B19" i="4"/>
  <c r="G71" i="1"/>
  <c r="G72" i="1" s="1"/>
  <c r="K17" i="4" l="1"/>
  <c r="T20" i="4" s="1"/>
  <c r="H18" i="4"/>
  <c r="H19" i="4" s="1"/>
  <c r="K21" i="4"/>
  <c r="Y24" i="4" s="1"/>
  <c r="Q20" i="4"/>
  <c r="B14" i="3"/>
  <c r="N22" i="4" l="1"/>
  <c r="K18" i="4"/>
  <c r="K19" i="4" s="1"/>
  <c r="N17" i="4"/>
  <c r="Q17" i="4" s="1"/>
  <c r="N21" i="4"/>
  <c r="AB24" i="4" s="1"/>
  <c r="Q21" i="4" l="1"/>
  <c r="AE24" i="4" s="1"/>
  <c r="Q22" i="4"/>
  <c r="W20" i="4"/>
  <c r="N18" i="4"/>
  <c r="N19" i="4" s="1"/>
  <c r="Z20" i="4"/>
  <c r="T17" i="4"/>
  <c r="Q18" i="4"/>
  <c r="Q19" i="4" s="1"/>
  <c r="B64" i="1"/>
  <c r="B62" i="1"/>
  <c r="B60" i="1"/>
  <c r="B58" i="1"/>
  <c r="B56" i="1"/>
  <c r="B54" i="1"/>
  <c r="B52" i="1"/>
  <c r="B50" i="1"/>
  <c r="B48" i="1"/>
  <c r="T21" i="4" l="1"/>
  <c r="AH24" i="4" s="1"/>
  <c r="T22" i="4"/>
  <c r="T23" i="4"/>
  <c r="W21" i="4"/>
  <c r="AK24" i="4" s="1"/>
  <c r="W23" i="4"/>
  <c r="AC20" i="4"/>
  <c r="W22" i="4"/>
  <c r="W17" i="4"/>
  <c r="T18" i="4"/>
  <c r="T19" i="4" s="1"/>
  <c r="AF20" i="4" l="1"/>
  <c r="Z21" i="4"/>
  <c r="AN24" i="4" s="1"/>
  <c r="Z23" i="4"/>
  <c r="Z22" i="4"/>
  <c r="Z17" i="4"/>
  <c r="W18" i="4"/>
  <c r="W19" i="4" s="1"/>
  <c r="C81" i="1"/>
  <c r="C79" i="1"/>
  <c r="C77" i="1"/>
  <c r="C75" i="1"/>
  <c r="C73" i="1"/>
  <c r="C71" i="1"/>
  <c r="G31" i="1"/>
  <c r="C5" i="3"/>
  <c r="D50" i="1" s="1"/>
  <c r="AI20" i="4" l="1"/>
  <c r="AC21" i="4"/>
  <c r="AC22" i="4"/>
  <c r="AC23" i="4"/>
  <c r="AC17" i="4"/>
  <c r="Z18" i="4"/>
  <c r="Z19" i="4" s="1"/>
  <c r="AA75" i="1"/>
  <c r="AA76" i="1" s="1"/>
  <c r="AA31" i="1"/>
  <c r="AA71" i="1"/>
  <c r="AA77" i="1"/>
  <c r="AA78" i="1" s="1"/>
  <c r="AA73" i="1"/>
  <c r="AA74" i="1" s="1"/>
  <c r="AA72" i="1"/>
  <c r="AA81" i="1"/>
  <c r="AA79" i="1"/>
  <c r="AA80" i="1" s="1"/>
  <c r="AA50" i="1"/>
  <c r="AA51" i="1"/>
  <c r="C7" i="3"/>
  <c r="D54" i="1" s="1"/>
  <c r="C4" i="3"/>
  <c r="D48" i="1" s="1"/>
  <c r="C12" i="3"/>
  <c r="D64" i="1" s="1"/>
  <c r="G65" i="1" s="1"/>
  <c r="C11" i="3"/>
  <c r="D62" i="1" s="1"/>
  <c r="C10" i="3"/>
  <c r="D60" i="1" s="1"/>
  <c r="C9" i="3"/>
  <c r="D58" i="1" s="1"/>
  <c r="C8" i="3"/>
  <c r="D56" i="1" s="1"/>
  <c r="C6" i="3"/>
  <c r="D52" i="1" s="1"/>
  <c r="AA52" i="1" s="1"/>
  <c r="C8" i="1"/>
  <c r="C10" i="5" s="1"/>
  <c r="C26" i="5" s="1"/>
  <c r="C27" i="5" s="1"/>
  <c r="C9" i="1"/>
  <c r="C11" i="5" s="1"/>
  <c r="C28" i="5" s="1"/>
  <c r="C29" i="5" s="1"/>
  <c r="G51" i="1"/>
  <c r="G81" i="1"/>
  <c r="G79" i="1"/>
  <c r="G77" i="1"/>
  <c r="G78" i="1" s="1"/>
  <c r="G75" i="1"/>
  <c r="G76" i="1" s="1"/>
  <c r="G73" i="1"/>
  <c r="G74" i="1" s="1"/>
  <c r="C50" i="1"/>
  <c r="C52" i="1"/>
  <c r="C54" i="1"/>
  <c r="C56" i="1"/>
  <c r="C58" i="1"/>
  <c r="C60" i="1"/>
  <c r="C62" i="1"/>
  <c r="C64" i="1"/>
  <c r="C48" i="1"/>
  <c r="C13" i="2"/>
  <c r="D13" i="2" s="1"/>
  <c r="C25" i="2"/>
  <c r="D25" i="2" s="1"/>
  <c r="C37" i="2"/>
  <c r="D37" i="2" s="1"/>
  <c r="D49" i="2"/>
  <c r="C49" i="2"/>
  <c r="C61" i="2"/>
  <c r="D61" i="2" s="1"/>
  <c r="D73" i="2"/>
  <c r="C73" i="2"/>
  <c r="C85" i="2"/>
  <c r="D85" i="2" s="1"/>
  <c r="C107" i="2"/>
  <c r="D107" i="2" s="1"/>
  <c r="C97" i="2"/>
  <c r="D97" i="2" s="1"/>
  <c r="H17" i="1"/>
  <c r="G19" i="1"/>
  <c r="H18" i="1"/>
  <c r="H26" i="1" l="1"/>
  <c r="H27" i="1"/>
  <c r="H28" i="1" s="1"/>
  <c r="H29" i="1"/>
  <c r="H30" i="1" s="1"/>
  <c r="H24" i="1"/>
  <c r="H42" i="1"/>
  <c r="H20" i="1"/>
  <c r="H40" i="1"/>
  <c r="H25" i="1"/>
  <c r="I17" i="1"/>
  <c r="H33" i="1"/>
  <c r="H36" i="1"/>
  <c r="H39" i="1"/>
  <c r="H34" i="1"/>
  <c r="H35" i="1"/>
  <c r="AA83" i="1"/>
  <c r="H21" i="1"/>
  <c r="AF22" i="4"/>
  <c r="AL20" i="4"/>
  <c r="AF23" i="4"/>
  <c r="AF21" i="4"/>
  <c r="AF17" i="4"/>
  <c r="AC18" i="4"/>
  <c r="AC19" i="4" s="1"/>
  <c r="G49" i="1"/>
  <c r="G48" i="1"/>
  <c r="AA84" i="1"/>
  <c r="G57" i="1"/>
  <c r="G56" i="1"/>
  <c r="AA60" i="1"/>
  <c r="AA61" i="1"/>
  <c r="AA62" i="1"/>
  <c r="AA63" i="1"/>
  <c r="AA56" i="1"/>
  <c r="AA57" i="1"/>
  <c r="AA54" i="1"/>
  <c r="AA55" i="1"/>
  <c r="AA59" i="1"/>
  <c r="AA58" i="1"/>
  <c r="G60" i="1"/>
  <c r="G59" i="1"/>
  <c r="G62" i="1"/>
  <c r="AA48" i="1"/>
  <c r="AA49" i="1"/>
  <c r="AA53" i="1"/>
  <c r="AA65" i="1"/>
  <c r="AA64" i="1"/>
  <c r="G52" i="1"/>
  <c r="I18" i="1"/>
  <c r="I25" i="1" s="1"/>
  <c r="H75" i="1"/>
  <c r="H76" i="1" s="1"/>
  <c r="G53" i="1"/>
  <c r="H64" i="1"/>
  <c r="H73" i="1"/>
  <c r="H74" i="1" s="1"/>
  <c r="G61" i="1"/>
  <c r="H62" i="1"/>
  <c r="H81" i="1"/>
  <c r="G50" i="1"/>
  <c r="G58" i="1"/>
  <c r="H79" i="1"/>
  <c r="H80" i="1" s="1"/>
  <c r="H77" i="1"/>
  <c r="H78" i="1" s="1"/>
  <c r="H60" i="1"/>
  <c r="H53" i="1"/>
  <c r="H57" i="1"/>
  <c r="H61" i="1"/>
  <c r="H65" i="1"/>
  <c r="G83" i="1"/>
  <c r="H71" i="1"/>
  <c r="H72" i="1" s="1"/>
  <c r="G54" i="1"/>
  <c r="H50" i="1"/>
  <c r="G55" i="1"/>
  <c r="G63" i="1"/>
  <c r="H54" i="1"/>
  <c r="H51" i="1"/>
  <c r="H58" i="1"/>
  <c r="G64" i="1"/>
  <c r="H48" i="1"/>
  <c r="H55" i="1"/>
  <c r="H59" i="1"/>
  <c r="H63" i="1"/>
  <c r="I73" i="1"/>
  <c r="I74" i="1" s="1"/>
  <c r="H52" i="1"/>
  <c r="H49" i="1"/>
  <c r="H56" i="1"/>
  <c r="G80" i="1"/>
  <c r="G84" i="1" s="1"/>
  <c r="H19" i="1"/>
  <c r="H31" i="1"/>
  <c r="I54" i="1" l="1"/>
  <c r="I26" i="1"/>
  <c r="I24" i="1"/>
  <c r="I29" i="1"/>
  <c r="I30" i="1" s="1"/>
  <c r="I79" i="1"/>
  <c r="I80" i="1" s="1"/>
  <c r="I50" i="1"/>
  <c r="I49" i="1"/>
  <c r="I71" i="1"/>
  <c r="I72" i="1" s="1"/>
  <c r="I51" i="1"/>
  <c r="I19" i="1"/>
  <c r="H22" i="1"/>
  <c r="H23" i="1"/>
  <c r="I40" i="1"/>
  <c r="I42" i="1"/>
  <c r="J18" i="1"/>
  <c r="J25" i="1" s="1"/>
  <c r="I21" i="1"/>
  <c r="I31" i="1"/>
  <c r="I64" i="1"/>
  <c r="I63" i="1"/>
  <c r="I75" i="1"/>
  <c r="I76" i="1" s="1"/>
  <c r="I59" i="1"/>
  <c r="I58" i="1"/>
  <c r="J17" i="1"/>
  <c r="I35" i="1"/>
  <c r="I33" i="1"/>
  <c r="I36" i="1"/>
  <c r="I39" i="1"/>
  <c r="I34" i="1"/>
  <c r="AO20" i="4"/>
  <c r="AI23" i="4"/>
  <c r="AI21" i="4"/>
  <c r="AI22" i="4"/>
  <c r="AI17" i="4"/>
  <c r="AF18" i="4"/>
  <c r="AF19" i="4" s="1"/>
  <c r="AA66" i="1"/>
  <c r="AA67" i="1"/>
  <c r="G67" i="1"/>
  <c r="H67" i="1"/>
  <c r="I61" i="1"/>
  <c r="I60" i="1"/>
  <c r="I56" i="1"/>
  <c r="I53" i="1"/>
  <c r="I55" i="1"/>
  <c r="I48" i="1"/>
  <c r="I57" i="1"/>
  <c r="I62" i="1"/>
  <c r="I81" i="1"/>
  <c r="I52" i="1"/>
  <c r="I77" i="1"/>
  <c r="I78" i="1" s="1"/>
  <c r="I65" i="1"/>
  <c r="J81" i="1"/>
  <c r="J58" i="1"/>
  <c r="J63" i="1"/>
  <c r="J52" i="1"/>
  <c r="J73" i="1"/>
  <c r="J74" i="1" s="1"/>
  <c r="J60" i="1"/>
  <c r="J61" i="1"/>
  <c r="J65" i="1"/>
  <c r="J51" i="1"/>
  <c r="J53" i="1"/>
  <c r="J55" i="1"/>
  <c r="J48" i="1"/>
  <c r="H83" i="1"/>
  <c r="G66" i="1"/>
  <c r="H66" i="1"/>
  <c r="H84" i="1"/>
  <c r="J29" i="1" l="1"/>
  <c r="J30" i="1" s="1"/>
  <c r="J26" i="1"/>
  <c r="J24" i="1"/>
  <c r="J59" i="1"/>
  <c r="J57" i="1"/>
  <c r="J50" i="1"/>
  <c r="J71" i="1"/>
  <c r="J72" i="1" s="1"/>
  <c r="J54" i="1"/>
  <c r="K18" i="1"/>
  <c r="K60" i="1" s="1"/>
  <c r="J64" i="1"/>
  <c r="J62" i="1"/>
  <c r="J31" i="1"/>
  <c r="J75" i="1"/>
  <c r="J76" i="1" s="1"/>
  <c r="I84" i="1"/>
  <c r="J49" i="1"/>
  <c r="J77" i="1"/>
  <c r="J78" i="1" s="1"/>
  <c r="J79" i="1"/>
  <c r="J80" i="1" s="1"/>
  <c r="J19" i="1"/>
  <c r="J56" i="1"/>
  <c r="J40" i="1"/>
  <c r="J42" i="1"/>
  <c r="I22" i="1"/>
  <c r="I23" i="1"/>
  <c r="K17" i="1"/>
  <c r="J34" i="1"/>
  <c r="J35" i="1"/>
  <c r="J36" i="1"/>
  <c r="J39" i="1"/>
  <c r="J33" i="1"/>
  <c r="I83" i="1"/>
  <c r="J21" i="1"/>
  <c r="AL22" i="4"/>
  <c r="AL21" i="4"/>
  <c r="AL23" i="4"/>
  <c r="AL17" i="4"/>
  <c r="AI18" i="4"/>
  <c r="AI19" i="4" s="1"/>
  <c r="I66" i="1"/>
  <c r="I67" i="1"/>
  <c r="K58" i="1"/>
  <c r="K73" i="1"/>
  <c r="K74" i="1" s="1"/>
  <c r="K61" i="1"/>
  <c r="K64" i="1"/>
  <c r="K59" i="1" l="1"/>
  <c r="K50" i="1"/>
  <c r="K56" i="1"/>
  <c r="K71" i="1"/>
  <c r="J67" i="1"/>
  <c r="K57" i="1"/>
  <c r="K49" i="1"/>
  <c r="K79" i="1"/>
  <c r="K80" i="1" s="1"/>
  <c r="K63" i="1"/>
  <c r="K55" i="1"/>
  <c r="K62" i="1"/>
  <c r="K77" i="1"/>
  <c r="K78" i="1" s="1"/>
  <c r="J84" i="1"/>
  <c r="K25" i="1"/>
  <c r="K19" i="1"/>
  <c r="K51" i="1"/>
  <c r="K52" i="1"/>
  <c r="K75" i="1"/>
  <c r="K76" i="1" s="1"/>
  <c r="K21" i="1"/>
  <c r="K23" i="1" s="1"/>
  <c r="K31" i="1"/>
  <c r="K54" i="1"/>
  <c r="K66" i="1" s="1"/>
  <c r="L18" i="1"/>
  <c r="L61" i="1" s="1"/>
  <c r="K65" i="1"/>
  <c r="J66" i="1"/>
  <c r="K53" i="1"/>
  <c r="K81" i="1"/>
  <c r="J83" i="1"/>
  <c r="K48" i="1"/>
  <c r="K40" i="1"/>
  <c r="K42" i="1"/>
  <c r="J22" i="1"/>
  <c r="J23" i="1"/>
  <c r="K34" i="1"/>
  <c r="K39" i="1"/>
  <c r="K35" i="1"/>
  <c r="K36" i="1"/>
  <c r="K33" i="1"/>
  <c r="L17" i="1"/>
  <c r="AO21" i="4"/>
  <c r="AO22" i="4"/>
  <c r="AO23" i="4"/>
  <c r="AO17" i="4"/>
  <c r="AO18" i="4" s="1"/>
  <c r="AO19" i="4" s="1"/>
  <c r="AL18" i="4"/>
  <c r="AL19" i="4" s="1"/>
  <c r="L58" i="1"/>
  <c r="L48" i="1"/>
  <c r="L51" i="1"/>
  <c r="K72" i="1"/>
  <c r="K84" i="1" l="1"/>
  <c r="L64" i="1"/>
  <c r="L31" i="1"/>
  <c r="M18" i="1"/>
  <c r="L53" i="1"/>
  <c r="L79" i="1"/>
  <c r="L80" i="1" s="1"/>
  <c r="L59" i="1"/>
  <c r="L60" i="1"/>
  <c r="K83" i="1"/>
  <c r="L56" i="1"/>
  <c r="K67" i="1"/>
  <c r="L19" i="1"/>
  <c r="L54" i="1"/>
  <c r="L77" i="1"/>
  <c r="L78" i="1" s="1"/>
  <c r="L25" i="1"/>
  <c r="L73" i="1"/>
  <c r="L74" i="1" s="1"/>
  <c r="L55" i="1"/>
  <c r="L21" i="1"/>
  <c r="L22" i="1" s="1"/>
  <c r="L63" i="1"/>
  <c r="L62" i="1"/>
  <c r="L57" i="1"/>
  <c r="L67" i="1" s="1"/>
  <c r="L75" i="1"/>
  <c r="L76" i="1" s="1"/>
  <c r="L50" i="1"/>
  <c r="L71" i="1"/>
  <c r="L72" i="1" s="1"/>
  <c r="L84" i="1" s="1"/>
  <c r="L81" i="1"/>
  <c r="L52" i="1"/>
  <c r="K22" i="1"/>
  <c r="L49" i="1"/>
  <c r="L65" i="1"/>
  <c r="M21" i="1"/>
  <c r="M25" i="1"/>
  <c r="L40" i="1"/>
  <c r="L42" i="1"/>
  <c r="M17" i="1"/>
  <c r="L34" i="1"/>
  <c r="L35" i="1"/>
  <c r="L33" i="1"/>
  <c r="L36" i="1"/>
  <c r="L39" i="1"/>
  <c r="N18" i="1"/>
  <c r="M58" i="1"/>
  <c r="M50" i="1"/>
  <c r="M48" i="1"/>
  <c r="M49" i="1"/>
  <c r="M57" i="1"/>
  <c r="M56" i="1"/>
  <c r="M71" i="1"/>
  <c r="M81" i="1"/>
  <c r="M62" i="1"/>
  <c r="M79" i="1"/>
  <c r="M80" i="1" s="1"/>
  <c r="M54" i="1"/>
  <c r="M55" i="1"/>
  <c r="M75" i="1"/>
  <c r="M76" i="1" s="1"/>
  <c r="M51" i="1"/>
  <c r="M77" i="1"/>
  <c r="M78" i="1" s="1"/>
  <c r="M59" i="1"/>
  <c r="M73" i="1"/>
  <c r="M74" i="1" s="1"/>
  <c r="M19" i="1"/>
  <c r="M61" i="1"/>
  <c r="M60" i="1"/>
  <c r="M52" i="1"/>
  <c r="M64" i="1"/>
  <c r="M65" i="1"/>
  <c r="M53" i="1"/>
  <c r="M63" i="1"/>
  <c r="M31" i="1"/>
  <c r="L83" i="1" l="1"/>
  <c r="L66" i="1"/>
  <c r="L23" i="1"/>
  <c r="N21" i="1"/>
  <c r="N25" i="1"/>
  <c r="M40" i="1"/>
  <c r="M42" i="1"/>
  <c r="M22" i="1"/>
  <c r="M23" i="1"/>
  <c r="M83" i="1"/>
  <c r="N17" i="1"/>
  <c r="M34" i="1"/>
  <c r="M35" i="1"/>
  <c r="M36" i="1"/>
  <c r="M33" i="1"/>
  <c r="M39" i="1"/>
  <c r="M72" i="1"/>
  <c r="M84" i="1" s="1"/>
  <c r="M67" i="1"/>
  <c r="M66" i="1"/>
  <c r="O18" i="1"/>
  <c r="O25" i="1" s="1"/>
  <c r="N56" i="1"/>
  <c r="N62" i="1"/>
  <c r="N49" i="1"/>
  <c r="N65" i="1"/>
  <c r="N55" i="1"/>
  <c r="N60" i="1"/>
  <c r="N58" i="1"/>
  <c r="N54" i="1"/>
  <c r="N50" i="1"/>
  <c r="N52" i="1"/>
  <c r="N75" i="1"/>
  <c r="N76" i="1" s="1"/>
  <c r="N53" i="1"/>
  <c r="N64" i="1"/>
  <c r="N59" i="1"/>
  <c r="N81" i="1"/>
  <c r="N31" i="1"/>
  <c r="N48" i="1"/>
  <c r="N57" i="1"/>
  <c r="N51" i="1"/>
  <c r="N79" i="1"/>
  <c r="N80" i="1" s="1"/>
  <c r="N63" i="1"/>
  <c r="N19" i="1"/>
  <c r="N77" i="1"/>
  <c r="N78" i="1" s="1"/>
  <c r="N73" i="1"/>
  <c r="N74" i="1" s="1"/>
  <c r="N71" i="1"/>
  <c r="N61" i="1"/>
  <c r="N42" i="1" l="1"/>
  <c r="N32" i="1"/>
  <c r="N40" i="1"/>
  <c r="N39" i="1"/>
  <c r="O17" i="1"/>
  <c r="N22" i="1"/>
  <c r="N23" i="1"/>
  <c r="N34" i="1"/>
  <c r="N36" i="1"/>
  <c r="N35" i="1"/>
  <c r="N33" i="1"/>
  <c r="O21" i="1"/>
  <c r="P18" i="1"/>
  <c r="N66" i="1"/>
  <c r="N67" i="1"/>
  <c r="N72" i="1"/>
  <c r="N84" i="1" s="1"/>
  <c r="N83" i="1"/>
  <c r="O73" i="1"/>
  <c r="O74" i="1" s="1"/>
  <c r="O63" i="1"/>
  <c r="O48" i="1"/>
  <c r="O79" i="1"/>
  <c r="O80" i="1" s="1"/>
  <c r="O77" i="1"/>
  <c r="O78" i="1" s="1"/>
  <c r="O19" i="1"/>
  <c r="O54" i="1"/>
  <c r="O55" i="1"/>
  <c r="O49" i="1"/>
  <c r="O81" i="1"/>
  <c r="O53" i="1"/>
  <c r="O58" i="1"/>
  <c r="O59" i="1"/>
  <c r="O57" i="1"/>
  <c r="O56" i="1"/>
  <c r="O75" i="1"/>
  <c r="O76" i="1" s="1"/>
  <c r="O51" i="1"/>
  <c r="O64" i="1"/>
  <c r="O61" i="1"/>
  <c r="O65" i="1"/>
  <c r="O60" i="1"/>
  <c r="O52" i="1"/>
  <c r="O71" i="1"/>
  <c r="O62" i="1"/>
  <c r="O50" i="1"/>
  <c r="O31" i="1"/>
  <c r="P17" i="1" l="1"/>
  <c r="O39" i="1"/>
  <c r="O40" i="1"/>
  <c r="O42" i="1"/>
  <c r="P31" i="1"/>
  <c r="P25" i="1"/>
  <c r="O22" i="1"/>
  <c r="O23" i="1"/>
  <c r="Q18" i="1"/>
  <c r="Q25" i="1" s="1"/>
  <c r="P19" i="1"/>
  <c r="P21" i="1"/>
  <c r="O34" i="1"/>
  <c r="O36" i="1"/>
  <c r="O33" i="1"/>
  <c r="O35" i="1"/>
  <c r="O66" i="1"/>
  <c r="O72" i="1"/>
  <c r="O84" i="1" s="1"/>
  <c r="O83" i="1"/>
  <c r="P56" i="1"/>
  <c r="P49" i="1"/>
  <c r="P60" i="1"/>
  <c r="P64" i="1"/>
  <c r="P55" i="1"/>
  <c r="P59" i="1"/>
  <c r="P53" i="1"/>
  <c r="P81" i="1"/>
  <c r="P52" i="1"/>
  <c r="P79" i="1"/>
  <c r="P80" i="1" s="1"/>
  <c r="P77" i="1"/>
  <c r="P78" i="1" s="1"/>
  <c r="P57" i="1"/>
  <c r="P58" i="1"/>
  <c r="P54" i="1"/>
  <c r="P50" i="1"/>
  <c r="P73" i="1"/>
  <c r="P74" i="1" s="1"/>
  <c r="P71" i="1"/>
  <c r="P75" i="1"/>
  <c r="P76" i="1" s="1"/>
  <c r="P61" i="1"/>
  <c r="P48" i="1"/>
  <c r="P63" i="1"/>
  <c r="P51" i="1"/>
  <c r="P62" i="1"/>
  <c r="P65" i="1"/>
  <c r="O67" i="1"/>
  <c r="P22" i="1" l="1"/>
  <c r="P23" i="1"/>
  <c r="P42" i="1"/>
  <c r="P40" i="1"/>
  <c r="Q17" i="1"/>
  <c r="P39" i="1"/>
  <c r="P35" i="1"/>
  <c r="P36" i="1"/>
  <c r="P33" i="1"/>
  <c r="P34" i="1"/>
  <c r="Q21" i="1"/>
  <c r="R18" i="1"/>
  <c r="Q31" i="1"/>
  <c r="Q19" i="1"/>
  <c r="P66" i="1"/>
  <c r="P72" i="1"/>
  <c r="P84" i="1" s="1"/>
  <c r="P83" i="1"/>
  <c r="P67" i="1"/>
  <c r="Q55" i="1"/>
  <c r="Q51" i="1"/>
  <c r="Q65" i="1"/>
  <c r="Q59" i="1"/>
  <c r="Q75" i="1"/>
  <c r="Q76" i="1" s="1"/>
  <c r="Q60" i="1"/>
  <c r="Q73" i="1"/>
  <c r="Q74" i="1" s="1"/>
  <c r="Q53" i="1"/>
  <c r="Q56" i="1"/>
  <c r="Q81" i="1"/>
  <c r="Q79" i="1"/>
  <c r="Q80" i="1" s="1"/>
  <c r="Q54" i="1"/>
  <c r="Q48" i="1"/>
  <c r="Q63" i="1"/>
  <c r="Q77" i="1"/>
  <c r="Q78" i="1" s="1"/>
  <c r="Q57" i="1"/>
  <c r="Q50" i="1"/>
  <c r="Q62" i="1"/>
  <c r="Q71" i="1"/>
  <c r="Q64" i="1"/>
  <c r="Q58" i="1"/>
  <c r="Q52" i="1"/>
  <c r="Q49" i="1"/>
  <c r="Q61" i="1"/>
  <c r="Q32" i="1" l="1"/>
  <c r="Q40" i="1"/>
  <c r="Q24" i="1" s="1"/>
  <c r="Q39" i="1"/>
  <c r="Q42" i="1"/>
  <c r="R17" i="1"/>
  <c r="Q22" i="1"/>
  <c r="Q23" i="1"/>
  <c r="R25" i="1"/>
  <c r="R31" i="1"/>
  <c r="R21" i="1"/>
  <c r="S18" i="1"/>
  <c r="S25" i="1" s="1"/>
  <c r="R19" i="1"/>
  <c r="Q36" i="1"/>
  <c r="Q33" i="1"/>
  <c r="Q35" i="1"/>
  <c r="Q34" i="1"/>
  <c r="Q66" i="1"/>
  <c r="Q67" i="1"/>
  <c r="Q72" i="1"/>
  <c r="Q84" i="1" s="1"/>
  <c r="Q83" i="1"/>
  <c r="R65" i="1"/>
  <c r="R81" i="1"/>
  <c r="R57" i="1"/>
  <c r="R59" i="1"/>
  <c r="R63" i="1"/>
  <c r="R71" i="1"/>
  <c r="R56" i="1"/>
  <c r="R54" i="1"/>
  <c r="R48" i="1"/>
  <c r="R52" i="1"/>
  <c r="R51" i="1"/>
  <c r="R79" i="1"/>
  <c r="R80" i="1" s="1"/>
  <c r="R53" i="1"/>
  <c r="R60" i="1"/>
  <c r="R75" i="1"/>
  <c r="R76" i="1" s="1"/>
  <c r="R77" i="1"/>
  <c r="R78" i="1" s="1"/>
  <c r="R61" i="1"/>
  <c r="R73" i="1"/>
  <c r="R74" i="1" s="1"/>
  <c r="R58" i="1"/>
  <c r="R49" i="1"/>
  <c r="R50" i="1"/>
  <c r="R64" i="1"/>
  <c r="R55" i="1"/>
  <c r="R62" i="1"/>
  <c r="N26" i="1" l="1"/>
  <c r="J27" i="1"/>
  <c r="J28" i="1" s="1"/>
  <c r="J20" i="1" s="1"/>
  <c r="K29" i="1"/>
  <c r="K30" i="1" s="1"/>
  <c r="L29" i="1"/>
  <c r="L30" i="1" s="1"/>
  <c r="I27" i="1"/>
  <c r="I28" i="1" s="1"/>
  <c r="I20" i="1" s="1"/>
  <c r="K24" i="1"/>
  <c r="N29" i="1"/>
  <c r="N30" i="1" s="1"/>
  <c r="N28" i="1" s="1"/>
  <c r="L24" i="1"/>
  <c r="K27" i="1"/>
  <c r="M29" i="1"/>
  <c r="M30" i="1" s="1"/>
  <c r="M24" i="1"/>
  <c r="L27" i="1"/>
  <c r="L28" i="1" s="1"/>
  <c r="L20" i="1" s="1"/>
  <c r="N24" i="1"/>
  <c r="M27" i="1"/>
  <c r="L26" i="1"/>
  <c r="N27" i="1"/>
  <c r="K26" i="1"/>
  <c r="M26" i="1"/>
  <c r="O30" i="1"/>
  <c r="O26" i="1"/>
  <c r="O32" i="1"/>
  <c r="O24" i="1"/>
  <c r="P26" i="1"/>
  <c r="P32" i="1"/>
  <c r="P29" i="1"/>
  <c r="P30" i="1" s="1"/>
  <c r="P27" i="1"/>
  <c r="P24" i="1"/>
  <c r="Q27" i="1"/>
  <c r="Q26" i="1"/>
  <c r="R40" i="1"/>
  <c r="R42" i="1"/>
  <c r="S17" i="1"/>
  <c r="R22" i="1"/>
  <c r="R23" i="1"/>
  <c r="R33" i="1"/>
  <c r="R35" i="1"/>
  <c r="R39" i="1"/>
  <c r="R34" i="1"/>
  <c r="R36" i="1"/>
  <c r="S19" i="1"/>
  <c r="S21" i="1"/>
  <c r="S31" i="1"/>
  <c r="R72" i="1"/>
  <c r="R84" i="1" s="1"/>
  <c r="R83" i="1"/>
  <c r="T18" i="1"/>
  <c r="S51" i="1"/>
  <c r="S63" i="1"/>
  <c r="S60" i="1"/>
  <c r="S53" i="1"/>
  <c r="S49" i="1"/>
  <c r="S75" i="1"/>
  <c r="S76" i="1" s="1"/>
  <c r="S81" i="1"/>
  <c r="S58" i="1"/>
  <c r="S52" i="1"/>
  <c r="S65" i="1"/>
  <c r="S79" i="1"/>
  <c r="S80" i="1" s="1"/>
  <c r="S54" i="1"/>
  <c r="S55" i="1"/>
  <c r="S62" i="1"/>
  <c r="S73" i="1"/>
  <c r="S74" i="1" s="1"/>
  <c r="S56" i="1"/>
  <c r="S77" i="1"/>
  <c r="S78" i="1" s="1"/>
  <c r="S50" i="1"/>
  <c r="S57" i="1"/>
  <c r="S48" i="1"/>
  <c r="S59" i="1"/>
  <c r="S61" i="1"/>
  <c r="S71" i="1"/>
  <c r="S64" i="1"/>
  <c r="R67" i="1"/>
  <c r="R66" i="1"/>
  <c r="Q28" i="1" l="1"/>
  <c r="Q20" i="1" s="1"/>
  <c r="O28" i="1"/>
  <c r="O20" i="1" s="1"/>
  <c r="P28" i="1"/>
  <c r="P20" i="1" s="1"/>
  <c r="K28" i="1"/>
  <c r="K20" i="1"/>
  <c r="N20" i="1"/>
  <c r="M28" i="1"/>
  <c r="M20" i="1" s="1"/>
  <c r="T21" i="1"/>
  <c r="T25" i="1"/>
  <c r="S22" i="1"/>
  <c r="S23" i="1"/>
  <c r="S40" i="1"/>
  <c r="T17" i="1"/>
  <c r="S42" i="1"/>
  <c r="S33" i="1"/>
  <c r="S35" i="1"/>
  <c r="S36" i="1"/>
  <c r="S39" i="1"/>
  <c r="S34" i="1"/>
  <c r="T31" i="1"/>
  <c r="S66" i="1"/>
  <c r="S67" i="1"/>
  <c r="S72" i="1"/>
  <c r="S84" i="1" s="1"/>
  <c r="S83" i="1"/>
  <c r="U18" i="1"/>
  <c r="T53" i="1"/>
  <c r="T58" i="1"/>
  <c r="T52" i="1"/>
  <c r="T51" i="1"/>
  <c r="T57" i="1"/>
  <c r="T81" i="1"/>
  <c r="T48" i="1"/>
  <c r="T62" i="1"/>
  <c r="T77" i="1"/>
  <c r="T78" i="1" s="1"/>
  <c r="T56" i="1"/>
  <c r="T63" i="1"/>
  <c r="T64" i="1"/>
  <c r="T60" i="1"/>
  <c r="T75" i="1"/>
  <c r="T76" i="1" s="1"/>
  <c r="T19" i="1"/>
  <c r="T73" i="1"/>
  <c r="T74" i="1" s="1"/>
  <c r="T55" i="1"/>
  <c r="T61" i="1"/>
  <c r="T54" i="1"/>
  <c r="T49" i="1"/>
  <c r="T79" i="1"/>
  <c r="T80" i="1" s="1"/>
  <c r="T71" i="1"/>
  <c r="T59" i="1"/>
  <c r="T65" i="1"/>
  <c r="T50" i="1"/>
  <c r="T40" i="1" l="1"/>
  <c r="T42" i="1"/>
  <c r="U17" i="1"/>
  <c r="U21" i="1"/>
  <c r="U25" i="1"/>
  <c r="T22" i="1"/>
  <c r="T23" i="1"/>
  <c r="T36" i="1"/>
  <c r="T35" i="1"/>
  <c r="T33" i="1"/>
  <c r="T39" i="1"/>
  <c r="T34" i="1"/>
  <c r="U31" i="1"/>
  <c r="T66" i="1"/>
  <c r="T72" i="1"/>
  <c r="T84" i="1" s="1"/>
  <c r="T83" i="1"/>
  <c r="V18" i="1"/>
  <c r="U51" i="1"/>
  <c r="U54" i="1"/>
  <c r="U56" i="1"/>
  <c r="U55" i="1"/>
  <c r="U65" i="1"/>
  <c r="U77" i="1"/>
  <c r="U78" i="1" s="1"/>
  <c r="U52" i="1"/>
  <c r="U58" i="1"/>
  <c r="U62" i="1"/>
  <c r="U73" i="1"/>
  <c r="U74" i="1" s="1"/>
  <c r="U57" i="1"/>
  <c r="U75" i="1"/>
  <c r="U76" i="1" s="1"/>
  <c r="U61" i="1"/>
  <c r="U81" i="1"/>
  <c r="U49" i="1"/>
  <c r="U59" i="1"/>
  <c r="U79" i="1"/>
  <c r="U80" i="1" s="1"/>
  <c r="U71" i="1"/>
  <c r="U50" i="1"/>
  <c r="U53" i="1"/>
  <c r="U48" i="1"/>
  <c r="U64" i="1"/>
  <c r="U63" i="1"/>
  <c r="U19" i="1"/>
  <c r="U60" i="1"/>
  <c r="T67" i="1"/>
  <c r="V21" i="1" l="1"/>
  <c r="V25" i="1"/>
  <c r="U40" i="1"/>
  <c r="U42" i="1"/>
  <c r="V17" i="1"/>
  <c r="U22" i="1"/>
  <c r="U23" i="1"/>
  <c r="U36" i="1"/>
  <c r="U33" i="1"/>
  <c r="U35" i="1"/>
  <c r="U39" i="1"/>
  <c r="U34" i="1"/>
  <c r="V31" i="1"/>
  <c r="U67" i="1"/>
  <c r="U72" i="1"/>
  <c r="U84" i="1" s="1"/>
  <c r="U83" i="1"/>
  <c r="U66" i="1"/>
  <c r="W18" i="1"/>
  <c r="V75" i="1"/>
  <c r="V76" i="1" s="1"/>
  <c r="V53" i="1"/>
  <c r="V49" i="1"/>
  <c r="V58" i="1"/>
  <c r="V79" i="1"/>
  <c r="V80" i="1" s="1"/>
  <c r="V51" i="1"/>
  <c r="V77" i="1"/>
  <c r="V78" i="1" s="1"/>
  <c r="V57" i="1"/>
  <c r="V50" i="1"/>
  <c r="V55" i="1"/>
  <c r="V71" i="1"/>
  <c r="V54" i="1"/>
  <c r="V59" i="1"/>
  <c r="V61" i="1"/>
  <c r="V19" i="1"/>
  <c r="V73" i="1"/>
  <c r="V74" i="1" s="1"/>
  <c r="V64" i="1"/>
  <c r="V52" i="1"/>
  <c r="V65" i="1"/>
  <c r="V48" i="1"/>
  <c r="V63" i="1"/>
  <c r="V62" i="1"/>
  <c r="V56" i="1"/>
  <c r="V81" i="1"/>
  <c r="V60" i="1"/>
  <c r="V42" i="1" l="1"/>
  <c r="V40" i="1"/>
  <c r="W17" i="1"/>
  <c r="W21" i="1"/>
  <c r="W25" i="1"/>
  <c r="V22" i="1"/>
  <c r="V23" i="1"/>
  <c r="V33" i="1"/>
  <c r="V35" i="1"/>
  <c r="V39" i="1"/>
  <c r="V34" i="1"/>
  <c r="V36" i="1"/>
  <c r="W31" i="1"/>
  <c r="X18" i="1"/>
  <c r="V66" i="1"/>
  <c r="V67" i="1"/>
  <c r="V72" i="1"/>
  <c r="V84" i="1" s="1"/>
  <c r="V83" i="1"/>
  <c r="W54" i="1"/>
  <c r="W60" i="1"/>
  <c r="W57" i="1"/>
  <c r="W49" i="1"/>
  <c r="W51" i="1"/>
  <c r="W48" i="1"/>
  <c r="W81" i="1"/>
  <c r="W58" i="1"/>
  <c r="W79" i="1"/>
  <c r="W80" i="1" s="1"/>
  <c r="W52" i="1"/>
  <c r="W61" i="1"/>
  <c r="W55" i="1"/>
  <c r="W63" i="1"/>
  <c r="W77" i="1"/>
  <c r="W78" i="1" s="1"/>
  <c r="W73" i="1"/>
  <c r="W74" i="1" s="1"/>
  <c r="W71" i="1"/>
  <c r="W50" i="1"/>
  <c r="W64" i="1"/>
  <c r="W65" i="1"/>
  <c r="W62" i="1"/>
  <c r="W75" i="1"/>
  <c r="W76" i="1" s="1"/>
  <c r="W56" i="1"/>
  <c r="W59" i="1"/>
  <c r="W53" i="1"/>
  <c r="W19" i="1"/>
  <c r="X21" i="1" l="1"/>
  <c r="X23" i="1" s="1"/>
  <c r="X25" i="1"/>
  <c r="W42" i="1"/>
  <c r="W40" i="1"/>
  <c r="X17" i="1"/>
  <c r="W22" i="1"/>
  <c r="W23" i="1"/>
  <c r="W39" i="1"/>
  <c r="W34" i="1"/>
  <c r="W33" i="1"/>
  <c r="W35" i="1"/>
  <c r="W36" i="1"/>
  <c r="X31" i="1"/>
  <c r="Y18" i="1"/>
  <c r="X71" i="1"/>
  <c r="X77" i="1"/>
  <c r="X78" i="1" s="1"/>
  <c r="X73" i="1"/>
  <c r="X74" i="1" s="1"/>
  <c r="X19" i="1"/>
  <c r="X79" i="1"/>
  <c r="X80" i="1" s="1"/>
  <c r="X75" i="1"/>
  <c r="X76" i="1" s="1"/>
  <c r="X81" i="1"/>
  <c r="X50" i="1"/>
  <c r="X51" i="1"/>
  <c r="X57" i="1"/>
  <c r="X52" i="1"/>
  <c r="X65" i="1"/>
  <c r="X56" i="1"/>
  <c r="X64" i="1"/>
  <c r="X62" i="1"/>
  <c r="X48" i="1"/>
  <c r="X53" i="1"/>
  <c r="X63" i="1"/>
  <c r="X58" i="1"/>
  <c r="X49" i="1"/>
  <c r="X59" i="1"/>
  <c r="X60" i="1"/>
  <c r="X54" i="1"/>
  <c r="X61" i="1"/>
  <c r="X55" i="1"/>
  <c r="W66" i="1"/>
  <c r="W72" i="1"/>
  <c r="W84" i="1" s="1"/>
  <c r="W83" i="1"/>
  <c r="W67" i="1"/>
  <c r="R29" i="1" l="1"/>
  <c r="R30" i="1" s="1"/>
  <c r="R32" i="1"/>
  <c r="R27" i="1"/>
  <c r="R24" i="1"/>
  <c r="R26" i="1"/>
  <c r="S26" i="1"/>
  <c r="S24" i="1"/>
  <c r="S27" i="1"/>
  <c r="S32" i="1"/>
  <c r="S29" i="1"/>
  <c r="S30" i="1" s="1"/>
  <c r="T26" i="1"/>
  <c r="T29" i="1"/>
  <c r="T30" i="1" s="1"/>
  <c r="T32" i="1"/>
  <c r="T27" i="1"/>
  <c r="T24" i="1"/>
  <c r="U29" i="1"/>
  <c r="U30" i="1" s="1"/>
  <c r="U26" i="1"/>
  <c r="U32" i="1"/>
  <c r="U27" i="1"/>
  <c r="U24" i="1"/>
  <c r="V24" i="1"/>
  <c r="V26" i="1"/>
  <c r="V29" i="1"/>
  <c r="V30" i="1" s="1"/>
  <c r="V27" i="1"/>
  <c r="V32" i="1"/>
  <c r="W27" i="1"/>
  <c r="W29" i="1"/>
  <c r="W30" i="1" s="1"/>
  <c r="W26" i="1"/>
  <c r="W32" i="1"/>
  <c r="W24" i="1"/>
  <c r="Y21" i="1"/>
  <c r="Y25" i="1"/>
  <c r="X40" i="1"/>
  <c r="X42" i="1"/>
  <c r="D14" i="1"/>
  <c r="Y17" i="1"/>
  <c r="X22" i="1"/>
  <c r="X34" i="1"/>
  <c r="X35" i="1"/>
  <c r="X33" i="1"/>
  <c r="X36" i="1"/>
  <c r="X39" i="1"/>
  <c r="Y31" i="1"/>
  <c r="X72" i="1"/>
  <c r="X84" i="1" s="1"/>
  <c r="X83" i="1"/>
  <c r="X66" i="1"/>
  <c r="X67" i="1"/>
  <c r="Y71" i="1"/>
  <c r="Y77" i="1"/>
  <c r="Y78" i="1" s="1"/>
  <c r="Y79" i="1"/>
  <c r="Y80" i="1" s="1"/>
  <c r="Y75" i="1"/>
  <c r="Y76" i="1" s="1"/>
  <c r="Y81" i="1"/>
  <c r="Y73" i="1"/>
  <c r="Y74" i="1" s="1"/>
  <c r="Y51" i="1"/>
  <c r="Z18" i="1"/>
  <c r="Z60" i="1" s="1"/>
  <c r="Y19" i="1"/>
  <c r="Y50" i="1"/>
  <c r="Y56" i="1"/>
  <c r="Y52" i="1"/>
  <c r="Y65" i="1"/>
  <c r="Y49" i="1"/>
  <c r="Y57" i="1"/>
  <c r="Y53" i="1"/>
  <c r="Y59" i="1"/>
  <c r="Y64" i="1"/>
  <c r="Y55" i="1"/>
  <c r="Y48" i="1"/>
  <c r="Y58" i="1"/>
  <c r="Y60" i="1"/>
  <c r="Y54" i="1"/>
  <c r="Y63" i="1"/>
  <c r="Y62" i="1"/>
  <c r="Y61" i="1"/>
  <c r="U28" i="1" l="1"/>
  <c r="U20" i="1" s="1"/>
  <c r="V28" i="1"/>
  <c r="V20" i="1" s="1"/>
  <c r="S28" i="1"/>
  <c r="S20" i="1" s="1"/>
  <c r="R28" i="1"/>
  <c r="R20" i="1" s="1"/>
  <c r="W28" i="1"/>
  <c r="W20" i="1" s="1"/>
  <c r="T28" i="1"/>
  <c r="T20" i="1" s="1"/>
  <c r="Y40" i="1"/>
  <c r="Y42" i="1"/>
  <c r="Z17" i="1"/>
  <c r="Z31" i="1"/>
  <c r="Z25" i="1"/>
  <c r="Y22" i="1"/>
  <c r="Y23" i="1"/>
  <c r="Y35" i="1"/>
  <c r="Y34" i="1"/>
  <c r="Y33" i="1"/>
  <c r="Y36" i="1"/>
  <c r="Y39" i="1"/>
  <c r="Y67" i="1"/>
  <c r="Y83" i="1"/>
  <c r="Y72" i="1"/>
  <c r="Y84" i="1" s="1"/>
  <c r="Y66" i="1"/>
  <c r="Z75" i="1"/>
  <c r="Z76" i="1" s="1"/>
  <c r="Z71" i="1"/>
  <c r="Z77" i="1"/>
  <c r="Z78" i="1" s="1"/>
  <c r="Z73" i="1"/>
  <c r="Z74" i="1" s="1"/>
  <c r="Z79" i="1"/>
  <c r="Z80" i="1" s="1"/>
  <c r="Z81" i="1"/>
  <c r="Z51" i="1"/>
  <c r="Z50" i="1"/>
  <c r="Z61" i="1"/>
  <c r="Z55" i="1"/>
  <c r="Z58" i="1"/>
  <c r="Z49" i="1"/>
  <c r="Z56" i="1"/>
  <c r="Z54" i="1"/>
  <c r="Z62" i="1"/>
  <c r="Z59" i="1"/>
  <c r="Z64" i="1"/>
  <c r="Z57" i="1"/>
  <c r="Z52" i="1"/>
  <c r="Z19" i="1"/>
  <c r="Z48" i="1"/>
  <c r="Z65" i="1"/>
  <c r="Z53" i="1"/>
  <c r="Z63" i="1"/>
  <c r="AA17" i="1" l="1"/>
  <c r="Z40" i="1"/>
  <c r="Z26" i="1" s="1"/>
  <c r="Z42" i="1"/>
  <c r="Z36" i="1"/>
  <c r="Z33" i="1"/>
  <c r="Z39" i="1"/>
  <c r="Z34" i="1"/>
  <c r="Z35" i="1"/>
  <c r="Z67" i="1"/>
  <c r="Z66" i="1"/>
  <c r="Z72" i="1"/>
  <c r="Z84" i="1" s="1"/>
  <c r="Z83" i="1"/>
  <c r="Z29" i="1" l="1"/>
  <c r="Z30" i="1" s="1"/>
  <c r="X32" i="1"/>
  <c r="X27" i="1"/>
  <c r="X24" i="1"/>
  <c r="X29" i="1"/>
  <c r="X30" i="1" s="1"/>
  <c r="X26" i="1"/>
  <c r="Y27" i="1"/>
  <c r="Y29" i="1"/>
  <c r="Y30" i="1" s="1"/>
  <c r="Y32" i="1"/>
  <c r="Y24" i="1"/>
  <c r="Y26" i="1"/>
  <c r="Z32" i="1"/>
  <c r="Z24" i="1"/>
  <c r="Z27" i="1"/>
  <c r="AA40" i="1"/>
  <c r="AA32" i="1" s="1"/>
  <c r="AA42" i="1"/>
  <c r="AA27" i="1" s="1"/>
  <c r="AA36" i="1"/>
  <c r="AA33" i="1"/>
  <c r="AA39" i="1"/>
  <c r="AB17" i="1"/>
  <c r="AA35" i="1"/>
  <c r="AA34" i="1"/>
  <c r="Z28" i="1" l="1"/>
  <c r="X28" i="1"/>
  <c r="X20" i="1" s="1"/>
  <c r="AA24" i="1"/>
  <c r="AA29" i="1"/>
  <c r="AA30" i="1" s="1"/>
  <c r="AA28" i="1" s="1"/>
  <c r="Y28" i="1"/>
  <c r="Y20" i="1" s="1"/>
  <c r="AB40" i="1"/>
  <c r="AB39" i="1"/>
  <c r="AB42" i="1"/>
  <c r="AB32" i="1" s="1"/>
  <c r="Z20" i="1"/>
  <c r="AA20" i="1" l="1"/>
</calcChain>
</file>

<file path=xl/sharedStrings.xml><?xml version="1.0" encoding="utf-8"?>
<sst xmlns="http://schemas.openxmlformats.org/spreadsheetml/2006/main" count="355" uniqueCount="291">
  <si>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</si>
  <si>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</si>
  <si>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</si>
  <si>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</si>
  <si>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</si>
  <si>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</si>
  <si>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</si>
  <si>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</si>
  <si>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</si>
  <si>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</si>
  <si>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</si>
  <si>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</si>
  <si>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</si>
  <si>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</si>
  <si>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</si>
  <si>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</si>
  <si>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</si>
  <si>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</si>
  <si>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</si>
  <si>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</si>
  <si>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</si>
  <si>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</si>
  <si>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</si>
  <si>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</si>
  <si>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</si>
  <si>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</si>
  <si>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</si>
  <si>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</si>
  <si>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</si>
  <si>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</si>
  <si>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</si>
  <si>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</si>
  <si>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</si>
  <si>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</si>
  <si>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</si>
  <si>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</si>
  <si>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</si>
  <si>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</si>
  <si>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</si>
  <si>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</si>
  <si>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</si>
  <si>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</si>
  <si>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</si>
  <si>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</si>
  <si>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</si>
  <si>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</si>
  <si>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</si>
  <si>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</si>
  <si>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</si>
  <si>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</si>
  <si>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</si>
  <si>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</si>
  <si>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</si>
  <si>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</si>
  <si>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</si>
  <si>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</si>
  <si>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</si>
  <si>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</si>
  <si>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</si>
  <si>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</si>
  <si>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</si>
  <si>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</si>
  <si>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</si>
  <si>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</si>
  <si>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</si>
  <si>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</si>
  <si>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</si>
  <si>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</si>
  <si>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</si>
  <si>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</si>
  <si>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</si>
  <si>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</si>
  <si>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</si>
  <si>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</si>
  <si>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</si>
  <si>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</si>
  <si>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</si>
  <si>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</si>
  <si>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</si>
  <si>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</si>
  <si>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</si>
  <si>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</si>
  <si>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</si>
  <si>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</si>
  <si>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</si>
  <si>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</si>
  <si>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</si>
  <si>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</si>
  <si>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</si>
  <si>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</si>
  <si>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</si>
  <si>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</si>
  <si>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</si>
  <si>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</si>
  <si>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</si>
  <si>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</si>
  <si>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</si>
  <si>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</si>
  <si>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</si>
  <si>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</si>
  <si>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</si>
  <si>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</si>
  <si>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</si>
  <si>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</si>
  <si>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</si>
  <si>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</si>
  <si>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</si>
  <si>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</si>
  <si>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</si>
  <si>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</si>
  <si>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</si>
  <si>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</si>
  <si>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</si>
  <si>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</si>
  <si>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</si>
  <si>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</si>
  <si>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</si>
  <si>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</si>
  <si>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</si>
  <si>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</si>
  <si>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</si>
  <si>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</si>
  <si>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</si>
  <si>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</si>
  <si>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</si>
  <si>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</si>
  <si>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</si>
  <si>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</si>
  <si>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</si>
  <si>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</si>
  <si>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</si>
  <si>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</si>
  <si>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Six Weeks</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</si>
  <si>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</si>
  <si>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</si>
  <si>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</si>
  <si>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</si>
  <si>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</si>
  <si>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</si>
  <si>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</si>
  <si>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</si>
  <si>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</si>
  <si>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</si>
  <si>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</si>
  <si>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</si>
  <si>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</si>
  <si>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</si>
  <si>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</si>
  <si>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</si>
  <si>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</si>
  <si>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</si>
  <si>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</si>
  <si>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</si>
  <si>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AU border closed 9pm 20/3</t>
  </si>
  <si>
    <t>SA, WA, NT borders closed 24/3</t>
  </si>
  <si>
    <t>QLD border closed 25/3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</si>
  <si>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</si>
  <si>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</si>
  <si>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</si>
  <si>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</si>
  <si>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</si>
  <si>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</si>
  <si>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</si>
  <si>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</si>
  <si>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</si>
  <si>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Tas border closed 19/3</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</si>
  <si>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</si>
  <si>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</si>
  <si>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</si>
  <si>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</si>
  <si>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</si>
  <si>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</si>
  <si>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</si>
  <si>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</si>
  <si>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</si>
  <si>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</si>
  <si>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</si>
  <si>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</si>
  <si>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</si>
  <si>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</si>
  <si>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</si>
  <si>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</si>
  <si>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</si>
  <si>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</si>
  <si>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</si>
  <si>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</si>
  <si>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</si>
  <si>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</si>
  <si>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</si>
  <si>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</si>
  <si>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</si>
  <si>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</si>
  <si>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</si>
  <si>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</si>
  <si>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</si>
  <si>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Asymptomatic Cases</t>
  </si>
  <si>
    <t>Infections (cumulative)</t>
  </si>
  <si>
    <t>Detected Infections (cumulative)</t>
  </si>
  <si>
    <t xml:space="preserve">Asymptomatic </t>
  </si>
  <si>
    <t>Asymptomatic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</si>
  <si>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</si>
  <si>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</si>
  <si>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</si>
  <si>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</si>
  <si>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</si>
  <si>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</si>
  <si>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</si>
  <si>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</si>
  <si>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</si>
  <si>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</si>
  <si>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</si>
  <si>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</si>
  <si>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</si>
  <si>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</si>
  <si>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</si>
  <si>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</si>
  <si>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</si>
  <si>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</si>
  <si>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</si>
  <si>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</si>
  <si>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</si>
  <si>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</si>
  <si>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</si>
  <si>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</si>
  <si>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Numbers probably meaningless after 18/5</t>
  </si>
  <si>
    <t>Final confirmed infection rate</t>
  </si>
  <si>
    <t>Stage 1 Shutdown</t>
  </si>
  <si>
    <t>Stage 2 Shutdown</t>
  </si>
  <si>
    <t>Stage 3 Shutdown</t>
  </si>
  <si>
    <t>Lead time before expect to begin seeing results</t>
  </si>
  <si>
    <t>226+</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</si>
  <si>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</si>
  <si>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</si>
  <si>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</si>
  <si>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</si>
  <si>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</si>
  <si>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</si>
  <si>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</si>
  <si>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</si>
  <si>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</si>
  <si>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</si>
  <si>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</si>
  <si>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</si>
  <si>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</si>
  <si>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</si>
  <si>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</si>
  <si>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</si>
  <si>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</si>
  <si>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</si>
  <si>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</si>
  <si>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</si>
  <si>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</si>
  <si>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</si>
  <si>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</si>
  <si>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</si>
  <si>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Asymptomatic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</si>
  <si>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</si>
  <si>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</si>
  <si>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</si>
  <si>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</si>
  <si>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</si>
  <si>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</si>
  <si>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</si>
  <si>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</si>
  <si>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</si>
  <si>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Asymptomatic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</si>
  <si>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</si>
  <si>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</si>
  <si>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</si>
  <si>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</si>
  <si>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</si>
  <si>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</si>
  <si>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</si>
  <si>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</si>
  <si>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</si>
  <si>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</si>
  <si>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</si>
  <si>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</si>
  <si>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Projected number recovered Mild Cases</t>
  </si>
  <si>
    <t>Avg Projected Doubling Rate</t>
  </si>
  <si>
    <t>China arrivals blocked</t>
  </si>
  <si>
    <t>Iran arrivals blocked</t>
  </si>
  <si>
    <t>Sth Korea arrivals blocked</t>
  </si>
  <si>
    <t>Outdoor gatherings &lt; 500</t>
  </si>
  <si>
    <t>Self isolation arrivals, indoor gatherings &lt; 100 people</t>
  </si>
  <si>
    <t>AU borders closed to non-citizens</t>
  </si>
  <si>
    <t>Italy arrivals blocked</t>
  </si>
  <si>
    <t>Projected number of undetected cases</t>
  </si>
  <si>
    <t>Projected number of recovered undetected cases</t>
  </si>
  <si>
    <t>Projected number of all infected</t>
  </si>
  <si>
    <t>687+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</si>
</sst>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2" formatCode="#,##0_ ;[Red]\-#,##0\ "/>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ashed">
        <color indexed="64"/>
      </left>
      <right style="dashed">
        <color indexed="64"/>
      </right>
      <top/>
      <bottom/>
      <diagonal/>
    </border>
    <border>
      <left style="dashed">
        <color indexed="64"/>
      </left>
      <right style="dashed">
        <color indexed="64"/>
      </right>
      <top/>
      <bottom style="dashed">
        <color indexed="64"/>
      </bottom>
      <diagonal/>
    </border>
    <border>
      <left style="dashed">
        <color indexed="64"/>
      </left>
      <right style="dashed">
        <color indexed="64"/>
      </right>
      <top style="dashed">
        <color indexed="64"/>
      </top>
      <bottom/>
      <diagonal/>
    </border>
    <border>
      <left style="dashed">
        <color indexed="64"/>
      </left>
      <right style="dashed">
        <color indexed="64"/>
      </right>
      <top/>
      <bottom style="dotted">
        <color indexed="64"/>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293">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164" fontId="0" fillId="5" borderId="3" xfId="0" applyNumberFormat="1" applyFill="1" applyBorder="1"/>
    <xf numFmtId="3" fontId="0" fillId="4" borderId="3" xfId="0" applyNumberFormat="1" applyFill="1" applyBorder="1"/>
    <xf numFmtId="3" fontId="0" fillId="4" borderId="0" xfId="0" applyNumberFormat="1" applyFill="1" applyBorder="1"/>
    <xf numFmtId="16" fontId="0" fillId="4" borderId="2"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0" fontId="0" fillId="0" borderId="12" xfId="0"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3" fontId="0" fillId="0" borderId="0"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3" fontId="0" fillId="0" borderId="3"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0" fontId="0" fillId="4" borderId="13" xfId="0" applyFill="1" applyBorder="1"/>
    <xf numFmtId="0" fontId="0" fillId="4" borderId="14" xfId="0" applyFill="1" applyBorder="1"/>
    <xf numFmtId="3" fontId="0" fillId="9" borderId="14" xfId="0" applyNumberFormat="1" applyFill="1" applyBorder="1"/>
    <xf numFmtId="14" fontId="0" fillId="0" borderId="0" xfId="0" applyNumberFormat="1" applyFill="1" applyBorder="1"/>
    <xf numFmtId="16" fontId="0" fillId="10" borderId="1" xfId="0" applyNumberFormat="1" applyFill="1" applyBorder="1"/>
    <xf numFmtId="16" fontId="0" fillId="10" borderId="7" xfId="0" applyNumberFormat="1" applyFill="1" applyBorder="1"/>
    <xf numFmtId="16" fontId="0" fillId="15" borderId="1" xfId="0" applyNumberFormat="1" applyFill="1" applyBorder="1"/>
    <xf numFmtId="16" fontId="0" fillId="15" borderId="7" xfId="0" applyNumberFormat="1" applyFill="1" applyBorder="1"/>
    <xf numFmtId="16" fontId="0" fillId="0" borderId="1" xfId="0" applyNumberFormat="1" applyBorder="1"/>
    <xf numFmtId="3" fontId="0" fillId="0" borderId="6" xfId="0" applyNumberFormat="1" applyFill="1" applyBorder="1"/>
    <xf numFmtId="16" fontId="0" fillId="0" borderId="0" xfId="0" applyNumberFormat="1" applyFill="1"/>
    <xf numFmtId="16" fontId="0" fillId="4" borderId="7" xfId="0" applyNumberFormat="1" applyFill="1" applyBorder="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6"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16" fontId="0" fillId="0" borderId="18" xfId="0" applyNumberFormat="1" applyFill="1" applyBorder="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0" fontId="0" fillId="3" borderId="0" xfId="0" applyFill="1" applyBorder="1"/>
    <xf numFmtId="16" fontId="0" fillId="0" borderId="13" xfId="0" applyNumberFormat="1" applyBorder="1"/>
    <xf numFmtId="16" fontId="0" fillId="0" borderId="14" xfId="0" applyNumberFormat="1" applyBorder="1"/>
    <xf numFmtId="16" fontId="0" fillId="4" borderId="14" xfId="0" applyNumberFormat="1" applyFill="1" applyBorder="1"/>
    <xf numFmtId="16" fontId="0" fillId="4" borderId="15" xfId="0" applyNumberFormat="1"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9" fontId="9" fillId="0" borderId="16" xfId="0" applyNumberFormat="1" applyFont="1" applyFill="1" applyBorder="1"/>
    <xf numFmtId="10" fontId="0" fillId="0" borderId="4" xfId="0" applyNumberFormat="1" applyBorder="1"/>
    <xf numFmtId="172" fontId="0" fillId="0" borderId="3" xfId="0" applyNumberFormat="1" applyBorder="1"/>
    <xf numFmtId="172" fontId="0" fillId="0" borderId="0" xfId="0" applyNumberFormat="1" applyBorder="1"/>
    <xf numFmtId="172" fontId="0" fillId="0" borderId="4" xfId="0" applyNumberFormat="1" applyBorder="1"/>
    <xf numFmtId="172" fontId="9" fillId="4" borderId="0" xfId="0" applyNumberFormat="1" applyFont="1" applyFill="1" applyBorder="1"/>
    <xf numFmtId="172" fontId="9" fillId="4" borderId="4" xfId="0" applyNumberFormat="1" applyFont="1" applyFill="1" applyBorder="1"/>
    <xf numFmtId="172" fontId="9" fillId="0" borderId="16" xfId="0" applyNumberFormat="1" applyFont="1" applyBorder="1"/>
    <xf numFmtId="172" fontId="0" fillId="4" borderId="5" xfId="0" applyNumberFormat="1" applyFill="1" applyBorder="1"/>
    <xf numFmtId="172" fontId="0" fillId="4" borderId="8" xfId="0" applyNumberFormat="1" applyFill="1" applyBorder="1"/>
    <xf numFmtId="172" fontId="0" fillId="0" borderId="6" xfId="0" applyNumberFormat="1" applyBorder="1"/>
    <xf numFmtId="172" fontId="0" fillId="0" borderId="8" xfId="0" applyNumberFormat="1" applyBorder="1"/>
    <xf numFmtId="172" fontId="0" fillId="0" borderId="5" xfId="0" applyNumberFormat="1" applyBorder="1"/>
    <xf numFmtId="172" fontId="9" fillId="4" borderId="8" xfId="0" applyNumberFormat="1" applyFont="1" applyFill="1" applyBorder="1"/>
    <xf numFmtId="172" fontId="9" fillId="4" borderId="6" xfId="0" applyNumberFormat="1" applyFont="1" applyFill="1" applyBorder="1"/>
    <xf numFmtId="172" fontId="0" fillId="0" borderId="3" xfId="0" applyNumberFormat="1" applyFill="1" applyBorder="1"/>
    <xf numFmtId="172" fontId="0" fillId="0" borderId="0" xfId="0" applyNumberFormat="1" applyFill="1" applyBorder="1"/>
    <xf numFmtId="172" fontId="0" fillId="0" borderId="4" xfId="0" applyNumberFormat="1" applyFill="1" applyBorder="1"/>
    <xf numFmtId="172" fontId="0" fillId="4" borderId="3" xfId="0" applyNumberFormat="1" applyFill="1" applyBorder="1"/>
    <xf numFmtId="172" fontId="0" fillId="4" borderId="0" xfId="0" applyNumberFormat="1" applyFill="1" applyBorder="1"/>
    <xf numFmtId="172" fontId="0" fillId="8" borderId="4" xfId="0" applyNumberFormat="1" applyFill="1" applyBorder="1"/>
    <xf numFmtId="172" fontId="0" fillId="8" borderId="0" xfId="0" applyNumberFormat="1" applyFill="1" applyBorder="1"/>
    <xf numFmtId="172" fontId="0" fillId="8" borderId="3" xfId="0" applyNumberFormat="1" applyFill="1" applyBorder="1"/>
    <xf numFmtId="172" fontId="9" fillId="8" borderId="0" xfId="0" applyNumberFormat="1" applyFont="1" applyFill="1" applyBorder="1"/>
    <xf numFmtId="172" fontId="9" fillId="8" borderId="4" xfId="0" applyNumberFormat="1" applyFont="1" applyFill="1" applyBorder="1"/>
    <xf numFmtId="172" fontId="9" fillId="0" borderId="16" xfId="0" applyNumberFormat="1" applyFont="1" applyFill="1" applyBorder="1"/>
    <xf numFmtId="172" fontId="9" fillId="4" borderId="7" xfId="0" applyNumberFormat="1" applyFont="1" applyFill="1" applyBorder="1"/>
    <xf numFmtId="172" fontId="9" fillId="0" borderId="19" xfId="0" applyNumberFormat="1" applyFont="1" applyBorder="1"/>
    <xf numFmtId="172" fontId="9" fillId="4" borderId="2" xfId="0" applyNumberFormat="1" applyFont="1" applyFill="1" applyBorder="1"/>
    <xf numFmtId="172" fontId="0" fillId="0" borderId="8" xfId="0" applyNumberFormat="1" applyFill="1" applyBorder="1"/>
    <xf numFmtId="172" fontId="0" fillId="0" borderId="5" xfId="0" applyNumberFormat="1" applyFill="1" applyBorder="1"/>
    <xf numFmtId="172" fontId="0" fillId="2" borderId="3" xfId="0" applyNumberFormat="1" applyFill="1" applyBorder="1"/>
    <xf numFmtId="172" fontId="0" fillId="2" borderId="0" xfId="0" applyNumberFormat="1" applyFill="1" applyBorder="1"/>
    <xf numFmtId="172" fontId="0" fillId="2" borderId="4" xfId="0" applyNumberFormat="1" applyFill="1" applyBorder="1"/>
    <xf numFmtId="172" fontId="0" fillId="2" borderId="6" xfId="0" applyNumberFormat="1" applyFill="1" applyBorder="1"/>
    <xf numFmtId="172" fontId="0" fillId="2" borderId="8" xfId="0" applyNumberFormat="1" applyFill="1" applyBorder="1"/>
    <xf numFmtId="172" fontId="0" fillId="2" borderId="5" xfId="0" applyNumberFormat="1" applyFill="1" applyBorder="1"/>
    <xf numFmtId="172" fontId="9" fillId="0" borderId="17" xfId="0" applyNumberFormat="1" applyFont="1" applyFill="1" applyBorder="1"/>
    <xf numFmtId="172" fontId="0" fillId="0" borderId="1" xfId="0" applyNumberFormat="1" applyBorder="1"/>
    <xf numFmtId="172" fontId="0" fillId="0" borderId="7" xfId="0" applyNumberFormat="1" applyBorder="1"/>
    <xf numFmtId="172" fontId="0" fillId="0" borderId="2" xfId="0" applyNumberFormat="1" applyBorder="1"/>
    <xf numFmtId="172" fontId="0" fillId="9" borderId="1" xfId="0" applyNumberFormat="1" applyFill="1" applyBorder="1"/>
    <xf numFmtId="172" fontId="0" fillId="3" borderId="7" xfId="0" applyNumberFormat="1" applyFill="1" applyBorder="1"/>
    <xf numFmtId="172" fontId="0" fillId="3" borderId="1" xfId="0" applyNumberFormat="1" applyFill="1" applyBorder="1"/>
    <xf numFmtId="172" fontId="0" fillId="3" borderId="9" xfId="0" applyNumberFormat="1" applyFill="1" applyBorder="1"/>
    <xf numFmtId="172" fontId="0" fillId="3" borderId="0" xfId="0" applyNumberFormat="1" applyFill="1" applyBorder="1"/>
    <xf numFmtId="172" fontId="9" fillId="0" borderId="18" xfId="0" applyNumberFormat="1" applyFont="1" applyFill="1" applyBorder="1"/>
    <xf numFmtId="172" fontId="0" fillId="4" borderId="1" xfId="0" applyNumberFormat="1" applyFill="1" applyBorder="1"/>
    <xf numFmtId="172" fontId="0" fillId="4" borderId="7" xfId="0" applyNumberFormat="1" applyFill="1" applyBorder="1"/>
    <xf numFmtId="10" fontId="0" fillId="0" borderId="10" xfId="0" applyNumberFormat="1" applyBorder="1"/>
    <xf numFmtId="172" fontId="0" fillId="0" borderId="11" xfId="0" applyNumberFormat="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11">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43885.653722106479</c:v>
                </c:pt>
                <c:pt idx="1">
                  <c:v>43888.653722106479</c:v>
                </c:pt>
                <c:pt idx="2">
                  <c:v>43891.653722106479</c:v>
                </c:pt>
                <c:pt idx="3">
                  <c:v>43894.653722106479</c:v>
                </c:pt>
                <c:pt idx="4">
                  <c:v>43897.653722106479</c:v>
                </c:pt>
                <c:pt idx="5">
                  <c:v>43900.653722106479</c:v>
                </c:pt>
                <c:pt idx="6">
                  <c:v>43903.653722106479</c:v>
                </c:pt>
                <c:pt idx="7">
                  <c:v>43906.653722106479</c:v>
                </c:pt>
                <c:pt idx="8">
                  <c:v>43909.653722106479</c:v>
                </c:pt>
                <c:pt idx="9">
                  <c:v>43912.653722106479</c:v>
                </c:pt>
                <c:pt idx="10">
                  <c:v>43915.653722106479</c:v>
                </c:pt>
                <c:pt idx="11">
                  <c:v>43918.653722106479</c:v>
                </c:pt>
                <c:pt idx="12">
                  <c:v>43921.653722106479</c:v>
                </c:pt>
                <c:pt idx="13">
                  <c:v>43924.653722106479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86.580086580086572</c:v>
                </c:pt>
                <c:pt idx="1">
                  <c:v>173.16017316017314</c:v>
                </c:pt>
                <c:pt idx="2">
                  <c:v>346.32034632034629</c:v>
                </c:pt>
                <c:pt idx="3">
                  <c:v>692.64069264069258</c:v>
                </c:pt>
                <c:pt idx="4">
                  <c:v>1385.2813852813852</c:v>
                </c:pt>
                <c:pt idx="5">
                  <c:v>2770.5627705627703</c:v>
                </c:pt>
                <c:pt idx="6">
                  <c:v>5541.1255411255406</c:v>
                </c:pt>
                <c:pt idx="7">
                  <c:v>11082.251082251081</c:v>
                </c:pt>
                <c:pt idx="8">
                  <c:v>22164.502164502162</c:v>
                </c:pt>
                <c:pt idx="9">
                  <c:v>44329.004329004325</c:v>
                </c:pt>
                <c:pt idx="10">
                  <c:v>88658.00865800865</c:v>
                </c:pt>
                <c:pt idx="11">
                  <c:v>177316.0173160173</c:v>
                </c:pt>
                <c:pt idx="12">
                  <c:v>354632.0346320346</c:v>
                </c:pt>
                <c:pt idx="13">
                  <c:v>709264.0692640692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Asymptomatic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43885.653722106479</c:v>
                </c:pt>
                <c:pt idx="1">
                  <c:v>43888.653722106479</c:v>
                </c:pt>
                <c:pt idx="2">
                  <c:v>43891.653722106479</c:v>
                </c:pt>
                <c:pt idx="3">
                  <c:v>43894.653722106479</c:v>
                </c:pt>
                <c:pt idx="4">
                  <c:v>43897.653722106479</c:v>
                </c:pt>
                <c:pt idx="5">
                  <c:v>43900.653722106479</c:v>
                </c:pt>
                <c:pt idx="6">
                  <c:v>43903.653722106479</c:v>
                </c:pt>
                <c:pt idx="7">
                  <c:v>43906.653722106479</c:v>
                </c:pt>
                <c:pt idx="8">
                  <c:v>43909.653722106479</c:v>
                </c:pt>
                <c:pt idx="9">
                  <c:v>43912.653722106479</c:v>
                </c:pt>
                <c:pt idx="10">
                  <c:v>43915.653722106479</c:v>
                </c:pt>
                <c:pt idx="11">
                  <c:v>43918.653722106479</c:v>
                </c:pt>
                <c:pt idx="12">
                  <c:v>43921.653722106479</c:v>
                </c:pt>
                <c:pt idx="13">
                  <c:v>43924.653722106479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25.97402597402597</c:v>
                </c:pt>
                <c:pt idx="1">
                  <c:v>51.94805194805194</c:v>
                </c:pt>
                <c:pt idx="2">
                  <c:v>103.89610389610388</c:v>
                </c:pt>
                <c:pt idx="3">
                  <c:v>207.79220779220776</c:v>
                </c:pt>
                <c:pt idx="4">
                  <c:v>415.58441558441552</c:v>
                </c:pt>
                <c:pt idx="5">
                  <c:v>831.16883116883105</c:v>
                </c:pt>
                <c:pt idx="6">
                  <c:v>1662.3376623376621</c:v>
                </c:pt>
                <c:pt idx="7">
                  <c:v>3324.6753246753242</c:v>
                </c:pt>
                <c:pt idx="8">
                  <c:v>6649.3506493506484</c:v>
                </c:pt>
                <c:pt idx="9">
                  <c:v>13298.701298701297</c:v>
                </c:pt>
                <c:pt idx="10">
                  <c:v>26597.402597402594</c:v>
                </c:pt>
                <c:pt idx="11">
                  <c:v>53194.805194805187</c:v>
                </c:pt>
                <c:pt idx="12">
                  <c:v>106389.61038961037</c:v>
                </c:pt>
                <c:pt idx="13">
                  <c:v>212779.22077922075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43885.653722106479</c:v>
                </c:pt>
                <c:pt idx="1">
                  <c:v>43888.653722106479</c:v>
                </c:pt>
                <c:pt idx="2">
                  <c:v>43891.653722106479</c:v>
                </c:pt>
                <c:pt idx="3">
                  <c:v>43894.653722106479</c:v>
                </c:pt>
                <c:pt idx="4">
                  <c:v>43897.653722106479</c:v>
                </c:pt>
                <c:pt idx="5">
                  <c:v>43900.653722106479</c:v>
                </c:pt>
                <c:pt idx="6">
                  <c:v>43903.653722106479</c:v>
                </c:pt>
                <c:pt idx="7">
                  <c:v>43906.653722106479</c:v>
                </c:pt>
                <c:pt idx="8">
                  <c:v>43909.653722106479</c:v>
                </c:pt>
                <c:pt idx="9">
                  <c:v>43912.653722106479</c:v>
                </c:pt>
                <c:pt idx="10">
                  <c:v>43915.653722106479</c:v>
                </c:pt>
                <c:pt idx="11">
                  <c:v>43918.653722106479</c:v>
                </c:pt>
                <c:pt idx="12">
                  <c:v>43921.653722106479</c:v>
                </c:pt>
                <c:pt idx="13">
                  <c:v>43924.653722106479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d\-mmm</c:formatCode>
                <c:ptCount val="9"/>
                <c:pt idx="0">
                  <c:v>43892</c:v>
                </c:pt>
                <c:pt idx="1">
                  <c:v>43896</c:v>
                </c:pt>
                <c:pt idx="2">
                  <c:v>43900</c:v>
                </c:pt>
                <c:pt idx="3">
                  <c:v>43904</c:v>
                </c:pt>
                <c:pt idx="4">
                  <c:v>43908</c:v>
                </c:pt>
                <c:pt idx="5">
                  <c:v>43911</c:v>
                </c:pt>
                <c:pt idx="6">
                  <c:v>43914</c:v>
                </c:pt>
                <c:pt idx="7">
                  <c:v>43919</c:v>
                </c:pt>
                <c:pt idx="8">
                  <c:v>43934</c:v>
                </c:pt>
              </c:numCache>
            </c:numRef>
          </c:cat>
          <c:val>
            <c:numRef>
              <c:extLst>
                <c:ext xmlns:c15="http://schemas.microsoft.com/office/drawing/2012/chart" uri="{02D57815-91ED-43cb-92C2-25804820EDAC}">
                  <c15:fullRef>
                    <c15:sqref>Projections!$G$18:$AA$18</c15:sqref>
                  </c15:fullRef>
                </c:ext>
              </c:extLst>
              <c:f>Projections!$G$18:$O$18</c:f>
              <c:numCache>
                <c:formatCode>#,##0_ ;[Red]\-#,##0\ </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4-8BCC-427B-903C-670C749E04E9}"/>
            </c:ext>
          </c:extLst>
        </c:ser>
        <c:ser>
          <c:idx val="1"/>
          <c:order val="1"/>
          <c:tx>
            <c:strRef>
              <c:f>Projections!$A$41</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d\-mmm</c:formatCode>
                <c:ptCount val="9"/>
                <c:pt idx="0">
                  <c:v>43892</c:v>
                </c:pt>
                <c:pt idx="1">
                  <c:v>43896</c:v>
                </c:pt>
                <c:pt idx="2">
                  <c:v>43900</c:v>
                </c:pt>
                <c:pt idx="3">
                  <c:v>43904</c:v>
                </c:pt>
                <c:pt idx="4">
                  <c:v>43908</c:v>
                </c:pt>
                <c:pt idx="5">
                  <c:v>43911</c:v>
                </c:pt>
                <c:pt idx="6">
                  <c:v>43914</c:v>
                </c:pt>
                <c:pt idx="7">
                  <c:v>43919</c:v>
                </c:pt>
                <c:pt idx="8">
                  <c:v>43934</c:v>
                </c:pt>
              </c:numCache>
            </c:numRef>
          </c:cat>
          <c:val>
            <c:numRef>
              <c:extLst>
                <c:ext xmlns:c15="http://schemas.microsoft.com/office/drawing/2012/chart" uri="{02D57815-91ED-43cb-92C2-25804820EDAC}">
                  <c15:fullRef>
                    <c15:sqref>Projections!$G$41:$AA$41</c15:sqref>
                  </c15:fullRef>
                </c:ext>
              </c:extLst>
              <c:f>Projections!$G$41:$O$41</c:f>
              <c:numCache>
                <c:formatCode>General</c:formatCode>
                <c:ptCount val="9"/>
                <c:pt idx="0">
                  <c:v>32</c:v>
                </c:pt>
                <c:pt idx="1">
                  <c:v>63</c:v>
                </c:pt>
                <c:pt idx="2" formatCode="#,##0">
                  <c:v>112</c:v>
                </c:pt>
                <c:pt idx="3" formatCode="#,##0">
                  <c:v>249</c:v>
                </c:pt>
                <c:pt idx="4" formatCode="#,##0">
                  <c:v>567</c:v>
                </c:pt>
                <c:pt idx="5" formatCode="#,##0">
                  <c:v>1072</c:v>
                </c:pt>
                <c:pt idx="6" formatCode="#,##0">
                  <c:v>2050</c:v>
                </c:pt>
                <c:pt idx="7" formatCode="#,##0">
                  <c:v>3984</c:v>
                </c:pt>
                <c:pt idx="8" formatCode="#,##0">
                  <c:v>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d\-mmm</c:formatCode>
                <c:ptCount val="9"/>
                <c:pt idx="0">
                  <c:v>43892</c:v>
                </c:pt>
                <c:pt idx="1">
                  <c:v>43896</c:v>
                </c:pt>
                <c:pt idx="2">
                  <c:v>43900</c:v>
                </c:pt>
                <c:pt idx="3">
                  <c:v>43904</c:v>
                </c:pt>
                <c:pt idx="4">
                  <c:v>43908</c:v>
                </c:pt>
                <c:pt idx="5">
                  <c:v>43911</c:v>
                </c:pt>
                <c:pt idx="6">
                  <c:v>43914</c:v>
                </c:pt>
                <c:pt idx="7">
                  <c:v>43919</c:v>
                </c:pt>
                <c:pt idx="8">
                  <c:v>43934</c:v>
                </c:pt>
              </c:numCache>
            </c:numRef>
          </c:cat>
          <c:val>
            <c:numRef>
              <c:extLst>
                <c:ext xmlns:c15="http://schemas.microsoft.com/office/drawing/2012/chart" uri="{02D57815-91ED-43cb-92C2-25804820EDAC}">
                  <c15:fullRef>
                    <c15:sqref>Projections!$G$31:$AA$31</c15:sqref>
                  </c15:fullRef>
                </c:ext>
              </c:extLst>
              <c:f>Projections!$G$31:$O$31</c:f>
              <c:numCache>
                <c:formatCode>#,##0_ ;[Red]\-#,##0\ </c:formatCode>
                <c:ptCount val="9"/>
                <c:pt idx="0">
                  <c:v>1.09375</c:v>
                </c:pt>
                <c:pt idx="1">
                  <c:v>2.1875</c:v>
                </c:pt>
                <c:pt idx="2">
                  <c:v>4.375</c:v>
                </c:pt>
                <c:pt idx="3">
                  <c:v>8.75</c:v>
                </c:pt>
                <c:pt idx="4">
                  <c:v>17.5</c:v>
                </c:pt>
                <c:pt idx="5">
                  <c:v>35</c:v>
                </c:pt>
                <c:pt idx="6">
                  <c:v>70</c:v>
                </c:pt>
                <c:pt idx="7">
                  <c:v>140</c:v>
                </c:pt>
                <c:pt idx="8">
                  <c:v>280</c:v>
                </c:pt>
              </c:numCache>
            </c:numRef>
          </c:val>
          <c:smooth val="0"/>
          <c:extLst>
            <c:ext xmlns:c16="http://schemas.microsoft.com/office/drawing/2014/chart" uri="{C3380CC4-5D6E-409C-BE32-E72D297353CC}">
              <c16:uniqueId val="{00000000-50BE-40C1-B679-81AF0BCE3FCD}"/>
            </c:ext>
          </c:extLst>
        </c:ser>
        <c:ser>
          <c:idx val="1"/>
          <c:order val="1"/>
          <c:tx>
            <c:strRef>
              <c:f>Projections!$A$44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d\-mmm</c:formatCode>
                <c:ptCount val="9"/>
                <c:pt idx="0">
                  <c:v>43892</c:v>
                </c:pt>
                <c:pt idx="1">
                  <c:v>43896</c:v>
                </c:pt>
                <c:pt idx="2">
                  <c:v>43900</c:v>
                </c:pt>
                <c:pt idx="3">
                  <c:v>43904</c:v>
                </c:pt>
                <c:pt idx="4">
                  <c:v>43908</c:v>
                </c:pt>
                <c:pt idx="5">
                  <c:v>43911</c:v>
                </c:pt>
                <c:pt idx="6">
                  <c:v>43914</c:v>
                </c:pt>
                <c:pt idx="7">
                  <c:v>43919</c:v>
                </c:pt>
                <c:pt idx="8">
                  <c:v>43934</c:v>
                </c:pt>
              </c:numCache>
            </c:numRef>
          </c:cat>
          <c:val>
            <c:numRef>
              <c:extLst>
                <c:ext xmlns:c15="http://schemas.microsoft.com/office/drawing/2012/chart" uri="{02D57815-91ED-43cb-92C2-25804820EDAC}">
                  <c15:fullRef>
                    <c15:sqref>Projections!$G$44:$AA$44</c15:sqref>
                  </c15:fullRef>
                </c:ext>
              </c:extLst>
              <c:f>Projections!$G$44:$O$44</c:f>
              <c:numCache>
                <c:formatCode>General</c:formatCode>
                <c:ptCount val="9"/>
                <c:pt idx="0">
                  <c:v>1</c:v>
                </c:pt>
                <c:pt idx="1">
                  <c:v>2</c:v>
                </c:pt>
                <c:pt idx="2" formatCode="#,##0">
                  <c:v>3</c:v>
                </c:pt>
                <c:pt idx="3" formatCode="#,##0">
                  <c:v>5</c:v>
                </c:pt>
                <c:pt idx="4" formatCode="#,##0">
                  <c:v>6</c:v>
                </c:pt>
                <c:pt idx="5" formatCode="#,##0">
                  <c:v>7</c:v>
                </c:pt>
                <c:pt idx="6" formatCode="#,##0">
                  <c:v>8</c:v>
                </c:pt>
                <c:pt idx="7" formatCode="#,##0">
                  <c:v>16</c:v>
                </c:pt>
                <c:pt idx="8" formatCode="#,##0">
                  <c:v>29</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Projections!$G$27:$AA$27</c15:sqref>
                  </c15:fullRef>
                </c:ext>
              </c:extLst>
              <c:f>Projections!$G$27:$Z$27</c:f>
              <c:numCache>
                <c:formatCode>#,##0_ ;[Red]\-#,##0\ </c:formatCode>
                <c:ptCount val="20"/>
                <c:pt idx="0">
                  <c:v>3.1560616297070365</c:v>
                </c:pt>
                <c:pt idx="1">
                  <c:v>4.5905465095103892</c:v>
                </c:pt>
                <c:pt idx="2">
                  <c:v>6.5205368224071405</c:v>
                </c:pt>
                <c:pt idx="3">
                  <c:v>13.846558234822977</c:v>
                </c:pt>
                <c:pt idx="4">
                  <c:v>24.304135205098877</c:v>
                </c:pt>
                <c:pt idx="5">
                  <c:v>46.201171875000007</c:v>
                </c:pt>
                <c:pt idx="6">
                  <c:v>77.164106827176639</c:v>
                </c:pt>
                <c:pt idx="7">
                  <c:v>239.2841574929042</c:v>
                </c:pt>
                <c:pt idx="8">
                  <c:v>3087.1937974069601</c:v>
                </c:pt>
                <c:pt idx="9">
                  <c:v>4249.0721851990547</c:v>
                </c:pt>
                <c:pt idx="10">
                  <c:v>7101.9307722010208</c:v>
                </c:pt>
                <c:pt idx="11">
                  <c:v>12791.955972064306</c:v>
                </c:pt>
                <c:pt idx="12">
                  <c:v>23887.824868684143</c:v>
                </c:pt>
                <c:pt idx="13">
                  <c:v>45517.470884629867</c:v>
                </c:pt>
                <c:pt idx="14">
                  <c:v>87815.576637831749</c:v>
                </c:pt>
                <c:pt idx="15">
                  <c:v>170812.14866259095</c:v>
                </c:pt>
                <c:pt idx="16">
                  <c:v>334142.58729442954</c:v>
                </c:pt>
                <c:pt idx="17">
                  <c:v>656335.38281491096</c:v>
                </c:pt>
                <c:pt idx="18">
                  <c:v>1293147.1327132641</c:v>
                </c:pt>
                <c:pt idx="19">
                  <c:v>2553800.2187601607</c:v>
                </c:pt>
              </c:numCache>
            </c:numRef>
          </c:val>
          <c:smooth val="0"/>
          <c:extLst>
            <c:ext xmlns:c16="http://schemas.microsoft.com/office/drawing/2014/chart" uri="{C3380CC4-5D6E-409C-BE32-E72D297353CC}">
              <c16:uniqueId val="{00000000-A3C2-4B4C-996C-CDB1A252886F}"/>
            </c:ext>
          </c:extLst>
        </c:ser>
        <c:ser>
          <c:idx val="2"/>
          <c:order val="1"/>
          <c:tx>
            <c:strRef>
              <c:f>Projections!$A$28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Projections!$G$28:$AA$28</c15:sqref>
                  </c15:fullRef>
                </c:ext>
              </c:extLst>
              <c:f>Projections!$G$28:$Z$28</c:f>
              <c:numCache>
                <c:formatCode>#,##0_ ;[Red]\-#,##0\ </c:formatCode>
                <c:ptCount val="20"/>
                <c:pt idx="0">
                  <c:v>3.1560616297070365</c:v>
                </c:pt>
                <c:pt idx="1">
                  <c:v>4.5905465095103892</c:v>
                </c:pt>
                <c:pt idx="2">
                  <c:v>6.5205368224071405</c:v>
                </c:pt>
                <c:pt idx="3">
                  <c:v>13.846558234822977</c:v>
                </c:pt>
                <c:pt idx="4">
                  <c:v>22.419707484218328</c:v>
                </c:pt>
                <c:pt idx="5">
                  <c:v>42.557340760572906</c:v>
                </c:pt>
                <c:pt idx="6">
                  <c:v>71.695356827176639</c:v>
                </c:pt>
                <c:pt idx="7">
                  <c:v>224.85890216759663</c:v>
                </c:pt>
                <c:pt idx="8">
                  <c:v>2855.3430328751065</c:v>
                </c:pt>
                <c:pt idx="9">
                  <c:v>3846.8057841136033</c:v>
                </c:pt>
                <c:pt idx="10">
                  <c:v>5502.1352871985555</c:v>
                </c:pt>
                <c:pt idx="11">
                  <c:v>10904.013851146066</c:v>
                </c:pt>
                <c:pt idx="12">
                  <c:v>19767.944700668948</c:v>
                </c:pt>
                <c:pt idx="13">
                  <c:v>36982.23731453628</c:v>
                </c:pt>
                <c:pt idx="14">
                  <c:v>70432.069701661589</c:v>
                </c:pt>
                <c:pt idx="15">
                  <c:v>135668.7440131605</c:v>
                </c:pt>
                <c:pt idx="16">
                  <c:v>263363.09888110583</c:v>
                </c:pt>
                <c:pt idx="17">
                  <c:v>514090.91948759218</c:v>
                </c:pt>
                <c:pt idx="18">
                  <c:v>1007659.5454411795</c:v>
                </c:pt>
                <c:pt idx="19">
                  <c:v>1981316.8979636517</c:v>
                </c:pt>
              </c:numCache>
            </c:numRef>
          </c:val>
          <c:smooth val="0"/>
          <c:extLst>
            <c:ext xmlns:c16="http://schemas.microsoft.com/office/drawing/2014/chart" uri="{C3380CC4-5D6E-409C-BE32-E72D297353CC}">
              <c16:uniqueId val="{00000001-A3C2-4B4C-996C-CDB1A252886F}"/>
            </c:ext>
          </c:extLst>
        </c:ser>
        <c:ser>
          <c:idx val="0"/>
          <c:order val="2"/>
          <c:tx>
            <c:strRef>
              <c:f>Projections!$A$29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Projections!$G$29:$AA$29</c15:sqref>
                  </c15:fullRef>
                </c:ext>
              </c:extLst>
              <c:f>Projections!$G$29:$Z$29</c:f>
              <c:numCache>
                <c:formatCode>#,##0_ ;[Red]\-#,##0\ </c:formatCode>
                <c:ptCount val="20"/>
                <c:pt idx="0">
                  <c:v>0.43112556312798839</c:v>
                </c:pt>
                <c:pt idx="1">
                  <c:v>0.627079626820088</c:v>
                </c:pt>
                <c:pt idx="2">
                  <c:v>0.91209821918187373</c:v>
                </c:pt>
                <c:pt idx="3">
                  <c:v>1.3266627169079257</c:v>
                </c:pt>
                <c:pt idx="4">
                  <c:v>1.88442772088055</c:v>
                </c:pt>
                <c:pt idx="5">
                  <c:v>3.6438311144270994</c:v>
                </c:pt>
                <c:pt idx="6">
                  <c:v>5.46875</c:v>
                </c:pt>
                <c:pt idx="7">
                  <c:v>14.425255325307573</c:v>
                </c:pt>
                <c:pt idx="8">
                  <c:v>232.5885023838984</c:v>
                </c:pt>
                <c:pt idx="9">
                  <c:v>445.50629441016395</c:v>
                </c:pt>
                <c:pt idx="10">
                  <c:v>871.24516564659075</c:v>
                </c:pt>
                <c:pt idx="11">
                  <c:v>1719.8346425815785</c:v>
                </c:pt>
                <c:pt idx="12">
                  <c:v>3410.3024355018256</c:v>
                </c:pt>
                <c:pt idx="13">
                  <c:v>6779.4479538830064</c:v>
                </c:pt>
                <c:pt idx="14">
                  <c:v>13498.010339834891</c:v>
                </c:pt>
                <c:pt idx="15">
                  <c:v>26902.299447425212</c:v>
                </c:pt>
                <c:pt idx="16">
                  <c:v>53655.875188440077</c:v>
                </c:pt>
                <c:pt idx="17">
                  <c:v>107069.9938222222</c:v>
                </c:pt>
                <c:pt idx="18">
                  <c:v>213739.25400496283</c:v>
                </c:pt>
                <c:pt idx="19">
                  <c:v>426803.43672768486</c:v>
                </c:pt>
              </c:numCache>
            </c:numRef>
          </c:val>
          <c:smooth val="0"/>
          <c:extLst>
            <c:ext xmlns:c16="http://schemas.microsoft.com/office/drawing/2014/chart" uri="{C3380CC4-5D6E-409C-BE32-E72D297353CC}">
              <c16:uniqueId val="{00000002-A3C2-4B4C-996C-CDB1A252886F}"/>
            </c:ext>
          </c:extLst>
        </c:ser>
        <c:ser>
          <c:idx val="4"/>
          <c:order val="3"/>
          <c:tx>
            <c:strRef>
              <c:f>Projections!$A$30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Projections!$G$30:$AA$30</c15:sqref>
                  </c15:fullRef>
                </c:ext>
              </c:extLst>
              <c:f>Projections!$G$30:$Z$30</c:f>
              <c:numCache>
                <c:formatCode>#,##0_ ;[Red]\-#,##0\ </c:formatCode>
                <c:ptCount val="20"/>
                <c:pt idx="0">
                  <c:v>0.43112556312798839</c:v>
                </c:pt>
                <c:pt idx="1">
                  <c:v>0.627079626820088</c:v>
                </c:pt>
                <c:pt idx="2">
                  <c:v>0.91209821918187373</c:v>
                </c:pt>
                <c:pt idx="3">
                  <c:v>1.3266627169079257</c:v>
                </c:pt>
                <c:pt idx="4">
                  <c:v>1.88442772088055</c:v>
                </c:pt>
                <c:pt idx="5">
                  <c:v>3.6438311144270994</c:v>
                </c:pt>
                <c:pt idx="6">
                  <c:v>5.46875</c:v>
                </c:pt>
                <c:pt idx="7">
                  <c:v>14.425255325307573</c:v>
                </c:pt>
                <c:pt idx="8">
                  <c:v>227.47576453185357</c:v>
                </c:pt>
                <c:pt idx="9">
                  <c:v>345.40863816016395</c:v>
                </c:pt>
                <c:pt idx="10">
                  <c:v>668.807656005882</c:v>
                </c:pt>
                <c:pt idx="11">
                  <c:v>265.38686629939752</c:v>
                </c:pt>
                <c:pt idx="12">
                  <c:v>1085.9951693557605</c:v>
                </c:pt>
                <c:pt idx="13">
                  <c:v>2701.0773043790405</c:v>
                </c:pt>
                <c:pt idx="14">
                  <c:v>6011.5115828529588</c:v>
                </c:pt>
                <c:pt idx="15">
                  <c:v>12808.66010232147</c:v>
                </c:pt>
                <c:pt idx="16">
                  <c:v>26709.059753143614</c:v>
                </c:pt>
                <c:pt idx="17">
                  <c:v>55018.410237303346</c:v>
                </c:pt>
                <c:pt idx="18">
                  <c:v>112478.11876094832</c:v>
                </c:pt>
                <c:pt idx="19">
                  <c:v>228797.69857890368</c:v>
                </c:pt>
              </c:numCache>
            </c:numRef>
          </c:val>
          <c:smooth val="0"/>
          <c:extLst>
            <c:ext xmlns:c16="http://schemas.microsoft.com/office/drawing/2014/chart" uri="{C3380CC4-5D6E-409C-BE32-E72D297353CC}">
              <c16:uniqueId val="{00000003-A3C2-4B4C-996C-CDB1A252886F}"/>
            </c:ext>
          </c:extLst>
        </c:ser>
        <c:ser>
          <c:idx val="1"/>
          <c:order val="4"/>
          <c:tx>
            <c:strRef>
              <c:f>Projections!$A$31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Projections!$G$31:$AA$31</c15:sqref>
                  </c15:fullRef>
                </c:ext>
              </c:extLst>
              <c:f>Projections!$G$31:$Z$31</c:f>
              <c:numCache>
                <c:formatCode>#,##0_ ;[Red]\-#,##0\ </c:formatCode>
                <c:ptCount val="20"/>
                <c:pt idx="0">
                  <c:v>1.09375</c:v>
                </c:pt>
                <c:pt idx="1">
                  <c:v>2.1875</c:v>
                </c:pt>
                <c:pt idx="2">
                  <c:v>4.375</c:v>
                </c:pt>
                <c:pt idx="3">
                  <c:v>8.75</c:v>
                </c:pt>
                <c:pt idx="4">
                  <c:v>17.5</c:v>
                </c:pt>
                <c:pt idx="5">
                  <c:v>35</c:v>
                </c:pt>
                <c:pt idx="6">
                  <c:v>70</c:v>
                </c:pt>
                <c:pt idx="7">
                  <c:v>140</c:v>
                </c:pt>
                <c:pt idx="8">
                  <c:v>280</c:v>
                </c:pt>
                <c:pt idx="9">
                  <c:v>560</c:v>
                </c:pt>
                <c:pt idx="10">
                  <c:v>1120</c:v>
                </c:pt>
                <c:pt idx="11">
                  <c:v>2240</c:v>
                </c:pt>
                <c:pt idx="12">
                  <c:v>4480</c:v>
                </c:pt>
                <c:pt idx="13">
                  <c:v>8960</c:v>
                </c:pt>
                <c:pt idx="14">
                  <c:v>17920</c:v>
                </c:pt>
                <c:pt idx="15">
                  <c:v>35840</c:v>
                </c:pt>
                <c:pt idx="16">
                  <c:v>71680</c:v>
                </c:pt>
                <c:pt idx="17">
                  <c:v>143360</c:v>
                </c:pt>
                <c:pt idx="18">
                  <c:v>286720</c:v>
                </c:pt>
                <c:pt idx="19">
                  <c:v>573440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Projections!$G$48:$AA$48</c15:sqref>
                  </c15:fullRef>
                </c:ext>
              </c:extLst>
              <c:f>Projections!$G$48:$Z$48</c:f>
              <c:numCache>
                <c:formatCode>#,##0</c:formatCode>
                <c:ptCount val="20"/>
                <c:pt idx="0">
                  <c:v>0.85686515244526296</c:v>
                </c:pt>
                <c:pt idx="1">
                  <c:v>1.7137303048905259</c:v>
                </c:pt>
                <c:pt idx="2">
                  <c:v>3.4274606097810518</c:v>
                </c:pt>
                <c:pt idx="3">
                  <c:v>6.8549212195621037</c:v>
                </c:pt>
                <c:pt idx="4">
                  <c:v>13.709842439124207</c:v>
                </c:pt>
                <c:pt idx="5">
                  <c:v>27.419684878248415</c:v>
                </c:pt>
                <c:pt idx="6">
                  <c:v>54.839369756496829</c:v>
                </c:pt>
                <c:pt idx="7">
                  <c:v>109.67873951299366</c:v>
                </c:pt>
                <c:pt idx="8">
                  <c:v>219.35747902598732</c:v>
                </c:pt>
                <c:pt idx="9">
                  <c:v>438.71495805197463</c:v>
                </c:pt>
                <c:pt idx="10">
                  <c:v>877.42991610394927</c:v>
                </c:pt>
                <c:pt idx="11">
                  <c:v>1754.8598322078985</c:v>
                </c:pt>
                <c:pt idx="12">
                  <c:v>3509.7196644157971</c:v>
                </c:pt>
                <c:pt idx="13">
                  <c:v>7019.4393288315941</c:v>
                </c:pt>
                <c:pt idx="14">
                  <c:v>14038.878657663188</c:v>
                </c:pt>
                <c:pt idx="15">
                  <c:v>28077.757315326377</c:v>
                </c:pt>
                <c:pt idx="16">
                  <c:v>56155.514630652753</c:v>
                </c:pt>
                <c:pt idx="17">
                  <c:v>112311.02926130551</c:v>
                </c:pt>
                <c:pt idx="18">
                  <c:v>224622.05852261101</c:v>
                </c:pt>
                <c:pt idx="19">
                  <c:v>449244.11704522202</c:v>
                </c:pt>
              </c:numCache>
            </c:numRef>
          </c:val>
          <c:smooth val="0"/>
          <c:extLst>
            <c:ext xmlns:c16="http://schemas.microsoft.com/office/drawing/2014/chart" uri="{C3380CC4-5D6E-409C-BE32-E72D297353CC}">
              <c16:uniqueId val="{00000000-7972-43AB-83E8-C2C99B4277B0}"/>
            </c:ext>
          </c:extLst>
        </c:ser>
        <c:ser>
          <c:idx val="2"/>
          <c:order val="1"/>
          <c:tx>
            <c:strRef>
              <c:f>Projections!$A$50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Projections!$G$50:$AA$50</c15:sqref>
                  </c15:fullRef>
                </c:ext>
              </c:extLst>
              <c:f>Projections!$G$50:$Z$50</c:f>
              <c:numCache>
                <c:formatCode>#,##0</c:formatCode>
                <c:ptCount val="20"/>
                <c:pt idx="0">
                  <c:v>3.3763044812768572</c:v>
                </c:pt>
                <c:pt idx="1">
                  <c:v>6.7526089625537145</c:v>
                </c:pt>
                <c:pt idx="2">
                  <c:v>13.505217925107429</c:v>
                </c:pt>
                <c:pt idx="3">
                  <c:v>27.010435850214858</c:v>
                </c:pt>
                <c:pt idx="4">
                  <c:v>54.020871700429716</c:v>
                </c:pt>
                <c:pt idx="5">
                  <c:v>108.04174340085943</c:v>
                </c:pt>
                <c:pt idx="6">
                  <c:v>216.08348680171886</c:v>
                </c:pt>
                <c:pt idx="7">
                  <c:v>432.16697360343773</c:v>
                </c:pt>
                <c:pt idx="8">
                  <c:v>864.33394720687545</c:v>
                </c:pt>
                <c:pt idx="9">
                  <c:v>1728.6678944137509</c:v>
                </c:pt>
                <c:pt idx="10">
                  <c:v>3457.3357888275018</c:v>
                </c:pt>
                <c:pt idx="11">
                  <c:v>6914.6715776550036</c:v>
                </c:pt>
                <c:pt idx="12">
                  <c:v>13829.343155310007</c:v>
                </c:pt>
                <c:pt idx="13">
                  <c:v>27658.686310620014</c:v>
                </c:pt>
                <c:pt idx="14">
                  <c:v>55317.372621240029</c:v>
                </c:pt>
                <c:pt idx="15">
                  <c:v>110634.74524248006</c:v>
                </c:pt>
                <c:pt idx="16">
                  <c:v>221269.49048496012</c:v>
                </c:pt>
                <c:pt idx="17">
                  <c:v>442538.98096992023</c:v>
                </c:pt>
                <c:pt idx="18">
                  <c:v>885077.96193984046</c:v>
                </c:pt>
                <c:pt idx="19">
                  <c:v>1770155.9238796809</c:v>
                </c:pt>
              </c:numCache>
            </c:numRef>
          </c:val>
          <c:smooth val="0"/>
          <c:extLst>
            <c:ext xmlns:c16="http://schemas.microsoft.com/office/drawing/2014/chart" uri="{C3380CC4-5D6E-409C-BE32-E72D297353CC}">
              <c16:uniqueId val="{00000001-7972-43AB-83E8-C2C99B4277B0}"/>
            </c:ext>
          </c:extLst>
        </c:ser>
        <c:ser>
          <c:idx val="4"/>
          <c:order val="2"/>
          <c:tx>
            <c:strRef>
              <c:f>Projections!$A$52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Projections!$G$52:$AA$52</c15:sqref>
                  </c15:fullRef>
                </c:ext>
              </c:extLst>
              <c:f>Projections!$G$52:$Z$52</c:f>
              <c:numCache>
                <c:formatCode>#,##0</c:formatCode>
                <c:ptCount val="20"/>
                <c:pt idx="0">
                  <c:v>5.2562922038060158</c:v>
                </c:pt>
                <c:pt idx="1">
                  <c:v>10.512584407612032</c:v>
                </c:pt>
                <c:pt idx="2">
                  <c:v>21.025168815224063</c:v>
                </c:pt>
                <c:pt idx="3">
                  <c:v>42.050337630448126</c:v>
                </c:pt>
                <c:pt idx="4">
                  <c:v>84.100675260896253</c:v>
                </c:pt>
                <c:pt idx="5">
                  <c:v>168.20135052179251</c:v>
                </c:pt>
                <c:pt idx="6">
                  <c:v>336.40270104358501</c:v>
                </c:pt>
                <c:pt idx="7">
                  <c:v>672.80540208717002</c:v>
                </c:pt>
                <c:pt idx="8">
                  <c:v>1345.61080417434</c:v>
                </c:pt>
                <c:pt idx="9">
                  <c:v>2691.2216083486801</c:v>
                </c:pt>
                <c:pt idx="10">
                  <c:v>5382.4432166973602</c:v>
                </c:pt>
                <c:pt idx="11">
                  <c:v>10764.88643339472</c:v>
                </c:pt>
                <c:pt idx="12">
                  <c:v>21529.772866789441</c:v>
                </c:pt>
                <c:pt idx="13">
                  <c:v>43059.545733578881</c:v>
                </c:pt>
                <c:pt idx="14">
                  <c:v>86119.091467157763</c:v>
                </c:pt>
                <c:pt idx="15">
                  <c:v>172238.18293431553</c:v>
                </c:pt>
                <c:pt idx="16">
                  <c:v>344476.36586863105</c:v>
                </c:pt>
                <c:pt idx="17">
                  <c:v>688952.7317372621</c:v>
                </c:pt>
                <c:pt idx="18">
                  <c:v>1377905.4634745242</c:v>
                </c:pt>
                <c:pt idx="19">
                  <c:v>2755810.9269490484</c:v>
                </c:pt>
              </c:numCache>
            </c:numRef>
          </c:val>
          <c:smooth val="0"/>
          <c:extLst>
            <c:ext xmlns:c16="http://schemas.microsoft.com/office/drawing/2014/chart" uri="{C3380CC4-5D6E-409C-BE32-E72D297353CC}">
              <c16:uniqueId val="{00000002-7972-43AB-83E8-C2C99B4277B0}"/>
            </c:ext>
          </c:extLst>
        </c:ser>
        <c:ser>
          <c:idx val="6"/>
          <c:order val="3"/>
          <c:tx>
            <c:strRef>
              <c:f>Projections!$A$54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Projections!$G$54:$AA$54</c15:sqref>
                  </c15:fullRef>
                </c:ext>
              </c:extLst>
              <c:f>Projections!$G$54:$Z$54</c:f>
              <c:numCache>
                <c:formatCode>#,##0</c:formatCode>
                <c:ptCount val="20"/>
                <c:pt idx="0">
                  <c:v>4.8598322078985063</c:v>
                </c:pt>
                <c:pt idx="1">
                  <c:v>9.7196644157970127</c:v>
                </c:pt>
                <c:pt idx="2">
                  <c:v>19.439328831594025</c:v>
                </c:pt>
                <c:pt idx="3">
                  <c:v>38.878657663188051</c:v>
                </c:pt>
                <c:pt idx="4">
                  <c:v>77.757315326376101</c:v>
                </c:pt>
                <c:pt idx="5">
                  <c:v>155.5146306527522</c:v>
                </c:pt>
                <c:pt idx="6">
                  <c:v>311.02926130550441</c:v>
                </c:pt>
                <c:pt idx="7">
                  <c:v>622.05852261100881</c:v>
                </c:pt>
                <c:pt idx="8">
                  <c:v>1244.1170452220176</c:v>
                </c:pt>
                <c:pt idx="9">
                  <c:v>2488.2340904440352</c:v>
                </c:pt>
                <c:pt idx="10">
                  <c:v>4976.4681808880705</c:v>
                </c:pt>
                <c:pt idx="11">
                  <c:v>9952.936361776141</c:v>
                </c:pt>
                <c:pt idx="12">
                  <c:v>19905.872723552282</c:v>
                </c:pt>
                <c:pt idx="13">
                  <c:v>39811.745447104564</c:v>
                </c:pt>
                <c:pt idx="14">
                  <c:v>79623.490894209128</c:v>
                </c:pt>
                <c:pt idx="15">
                  <c:v>159246.98178841826</c:v>
                </c:pt>
                <c:pt idx="16">
                  <c:v>318493.96357683651</c:v>
                </c:pt>
                <c:pt idx="17">
                  <c:v>636987.92715367302</c:v>
                </c:pt>
                <c:pt idx="18">
                  <c:v>1273975.854307346</c:v>
                </c:pt>
                <c:pt idx="19">
                  <c:v>2547951.7086146921</c:v>
                </c:pt>
              </c:numCache>
            </c:numRef>
          </c:val>
          <c:smooth val="0"/>
          <c:extLst>
            <c:ext xmlns:c16="http://schemas.microsoft.com/office/drawing/2014/chart" uri="{C3380CC4-5D6E-409C-BE32-E72D297353CC}">
              <c16:uniqueId val="{00000003-7972-43AB-83E8-C2C99B4277B0}"/>
            </c:ext>
          </c:extLst>
        </c:ser>
        <c:ser>
          <c:idx val="8"/>
          <c:order val="4"/>
          <c:tx>
            <c:strRef>
              <c:f>Projections!$A$56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Projections!$G$56:$AA$56</c15:sqref>
                  </c15:fullRef>
                </c:ext>
              </c:extLst>
              <c:f>Projections!$G$56:$Z$56</c:f>
              <c:numCache>
                <c:formatCode>#,##0</c:formatCode>
                <c:ptCount val="20"/>
                <c:pt idx="0">
                  <c:v>4.0860957642725602</c:v>
                </c:pt>
                <c:pt idx="1">
                  <c:v>8.1721915285451203</c:v>
                </c:pt>
                <c:pt idx="2">
                  <c:v>16.344383057090241</c:v>
                </c:pt>
                <c:pt idx="3">
                  <c:v>32.688766114180481</c:v>
                </c:pt>
                <c:pt idx="4">
                  <c:v>65.377532228360963</c:v>
                </c:pt>
                <c:pt idx="5">
                  <c:v>130.75506445672193</c:v>
                </c:pt>
                <c:pt idx="6">
                  <c:v>261.51012891344385</c:v>
                </c:pt>
                <c:pt idx="7">
                  <c:v>523.0202578268877</c:v>
                </c:pt>
                <c:pt idx="8">
                  <c:v>1046.0405156537754</c:v>
                </c:pt>
                <c:pt idx="9">
                  <c:v>2092.0810313075508</c:v>
                </c:pt>
                <c:pt idx="10">
                  <c:v>4184.1620626151016</c:v>
                </c:pt>
                <c:pt idx="11">
                  <c:v>8368.3241252302032</c:v>
                </c:pt>
                <c:pt idx="12">
                  <c:v>16736.648250460406</c:v>
                </c:pt>
                <c:pt idx="13">
                  <c:v>33473.296500920813</c:v>
                </c:pt>
                <c:pt idx="14">
                  <c:v>66946.593001841626</c:v>
                </c:pt>
                <c:pt idx="15">
                  <c:v>133893.18600368325</c:v>
                </c:pt>
                <c:pt idx="16">
                  <c:v>267786.3720073665</c:v>
                </c:pt>
                <c:pt idx="17">
                  <c:v>535572.74401473301</c:v>
                </c:pt>
                <c:pt idx="18">
                  <c:v>1071145.488029466</c:v>
                </c:pt>
                <c:pt idx="19">
                  <c:v>2142290.976058932</c:v>
                </c:pt>
              </c:numCache>
            </c:numRef>
          </c:val>
          <c:smooth val="0"/>
          <c:extLst>
            <c:ext xmlns:c16="http://schemas.microsoft.com/office/drawing/2014/chart" uri="{C3380CC4-5D6E-409C-BE32-E72D297353CC}">
              <c16:uniqueId val="{00000004-7972-43AB-83E8-C2C99B4277B0}"/>
            </c:ext>
          </c:extLst>
        </c:ser>
        <c:ser>
          <c:idx val="10"/>
          <c:order val="5"/>
          <c:tx>
            <c:strRef>
              <c:f>Projections!$A$58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Projections!$G$58:$AA$58</c15:sqref>
                  </c15:fullRef>
                </c:ext>
              </c:extLst>
              <c:f>Projections!$G$58:$Z$58</c:f>
              <c:numCache>
                <c:formatCode>#,##0</c:formatCode>
                <c:ptCount val="20"/>
                <c:pt idx="0">
                  <c:v>4.8662267239615309</c:v>
                </c:pt>
                <c:pt idx="1">
                  <c:v>9.7324534479230618</c:v>
                </c:pt>
                <c:pt idx="2">
                  <c:v>19.464906895846124</c:v>
                </c:pt>
                <c:pt idx="3">
                  <c:v>38.929813791692247</c:v>
                </c:pt>
                <c:pt idx="4">
                  <c:v>77.859627583384494</c:v>
                </c:pt>
                <c:pt idx="5">
                  <c:v>155.71925516676899</c:v>
                </c:pt>
                <c:pt idx="6">
                  <c:v>311.43851033353798</c:v>
                </c:pt>
                <c:pt idx="7">
                  <c:v>622.87702066707595</c:v>
                </c:pt>
                <c:pt idx="8">
                  <c:v>1245.7540413341519</c:v>
                </c:pt>
                <c:pt idx="9">
                  <c:v>2491.5080826683038</c:v>
                </c:pt>
                <c:pt idx="10">
                  <c:v>4983.0161653366076</c:v>
                </c:pt>
                <c:pt idx="11">
                  <c:v>9966.0323306732153</c:v>
                </c:pt>
                <c:pt idx="12">
                  <c:v>19932.064661346431</c:v>
                </c:pt>
                <c:pt idx="13">
                  <c:v>39864.129322692861</c:v>
                </c:pt>
                <c:pt idx="14">
                  <c:v>79728.258645385722</c:v>
                </c:pt>
                <c:pt idx="15">
                  <c:v>159456.51729077144</c:v>
                </c:pt>
                <c:pt idx="16">
                  <c:v>318913.03458154289</c:v>
                </c:pt>
                <c:pt idx="17">
                  <c:v>637826.06916308578</c:v>
                </c:pt>
                <c:pt idx="18">
                  <c:v>1275652.1383261716</c:v>
                </c:pt>
                <c:pt idx="19">
                  <c:v>2551304.2766523431</c:v>
                </c:pt>
              </c:numCache>
            </c:numRef>
          </c:val>
          <c:smooth val="0"/>
          <c:extLst>
            <c:ext xmlns:c16="http://schemas.microsoft.com/office/drawing/2014/chart" uri="{C3380CC4-5D6E-409C-BE32-E72D297353CC}">
              <c16:uniqueId val="{00000005-7972-43AB-83E8-C2C99B4277B0}"/>
            </c:ext>
          </c:extLst>
        </c:ser>
        <c:ser>
          <c:idx val="12"/>
          <c:order val="6"/>
          <c:tx>
            <c:strRef>
              <c:f>Projections!$A$60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Projections!$G$60:$AA$60</c15:sqref>
                  </c15:fullRef>
                </c:ext>
              </c:extLst>
              <c:f>Projections!$G$60:$Z$60</c:f>
              <c:numCache>
                <c:formatCode>#,##0</c:formatCode>
                <c:ptCount val="20"/>
                <c:pt idx="0">
                  <c:v>6.8101596071209327</c:v>
                </c:pt>
                <c:pt idx="1">
                  <c:v>13.620319214241865</c:v>
                </c:pt>
                <c:pt idx="2">
                  <c:v>27.240638428483731</c:v>
                </c:pt>
                <c:pt idx="3">
                  <c:v>54.481276856967462</c:v>
                </c:pt>
                <c:pt idx="4">
                  <c:v>108.96255371393492</c:v>
                </c:pt>
                <c:pt idx="5">
                  <c:v>217.92510742786985</c:v>
                </c:pt>
                <c:pt idx="6">
                  <c:v>435.85021485573969</c:v>
                </c:pt>
                <c:pt idx="7">
                  <c:v>871.70042971147939</c:v>
                </c:pt>
                <c:pt idx="8">
                  <c:v>1743.4008594229588</c:v>
                </c:pt>
                <c:pt idx="9">
                  <c:v>3486.8017188459175</c:v>
                </c:pt>
                <c:pt idx="10">
                  <c:v>6973.6034376918351</c:v>
                </c:pt>
                <c:pt idx="11">
                  <c:v>13947.20687538367</c:v>
                </c:pt>
                <c:pt idx="12">
                  <c:v>27894.41375076734</c:v>
                </c:pt>
                <c:pt idx="13">
                  <c:v>55788.827501534681</c:v>
                </c:pt>
                <c:pt idx="14">
                  <c:v>111577.65500306936</c:v>
                </c:pt>
                <c:pt idx="15">
                  <c:v>223155.31000613872</c:v>
                </c:pt>
                <c:pt idx="16">
                  <c:v>446310.62001227745</c:v>
                </c:pt>
                <c:pt idx="17">
                  <c:v>892621.24002455489</c:v>
                </c:pt>
                <c:pt idx="18">
                  <c:v>1785242.4800491098</c:v>
                </c:pt>
                <c:pt idx="19">
                  <c:v>3570484.9600982196</c:v>
                </c:pt>
              </c:numCache>
            </c:numRef>
          </c:val>
          <c:smooth val="0"/>
          <c:extLst>
            <c:ext xmlns:c16="http://schemas.microsoft.com/office/drawing/2014/chart" uri="{C3380CC4-5D6E-409C-BE32-E72D297353CC}">
              <c16:uniqueId val="{00000006-7972-43AB-83E8-C2C99B4277B0}"/>
            </c:ext>
          </c:extLst>
        </c:ser>
        <c:ser>
          <c:idx val="14"/>
          <c:order val="7"/>
          <c:tx>
            <c:strRef>
              <c:f>Projections!$A$62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Projections!$G$62:$AA$62</c15:sqref>
                  </c15:fullRef>
                </c:ext>
              </c:extLst>
              <c:f>Projections!$G$62:$Z$62</c:f>
              <c:numCache>
                <c:formatCode>#,##0</c:formatCode>
                <c:ptCount val="20"/>
                <c:pt idx="0">
                  <c:v>0.86325966850828728</c:v>
                </c:pt>
                <c:pt idx="1">
                  <c:v>1.7265193370165746</c:v>
                </c:pt>
                <c:pt idx="2">
                  <c:v>3.4530386740331491</c:v>
                </c:pt>
                <c:pt idx="3">
                  <c:v>6.9060773480662982</c:v>
                </c:pt>
                <c:pt idx="4">
                  <c:v>13.812154696132596</c:v>
                </c:pt>
                <c:pt idx="5">
                  <c:v>27.624309392265193</c:v>
                </c:pt>
                <c:pt idx="6">
                  <c:v>55.248618784530386</c:v>
                </c:pt>
                <c:pt idx="7">
                  <c:v>110.49723756906077</c:v>
                </c:pt>
                <c:pt idx="8">
                  <c:v>220.99447513812154</c:v>
                </c:pt>
                <c:pt idx="9">
                  <c:v>441.98895027624309</c:v>
                </c:pt>
                <c:pt idx="10">
                  <c:v>883.97790055248618</c:v>
                </c:pt>
                <c:pt idx="11">
                  <c:v>1767.9558011049724</c:v>
                </c:pt>
                <c:pt idx="12">
                  <c:v>3535.9116022099447</c:v>
                </c:pt>
                <c:pt idx="13">
                  <c:v>7071.8232044198894</c:v>
                </c:pt>
                <c:pt idx="14">
                  <c:v>14143.646408839779</c:v>
                </c:pt>
                <c:pt idx="15">
                  <c:v>28287.292817679558</c:v>
                </c:pt>
                <c:pt idx="16">
                  <c:v>56574.585635359115</c:v>
                </c:pt>
                <c:pt idx="17">
                  <c:v>113149.17127071823</c:v>
                </c:pt>
                <c:pt idx="18">
                  <c:v>226298.34254143646</c:v>
                </c:pt>
                <c:pt idx="19">
                  <c:v>452596.68508287292</c:v>
                </c:pt>
              </c:numCache>
            </c:numRef>
          </c:val>
          <c:smooth val="0"/>
          <c:extLst>
            <c:ext xmlns:c16="http://schemas.microsoft.com/office/drawing/2014/chart" uri="{C3380CC4-5D6E-409C-BE32-E72D297353CC}">
              <c16:uniqueId val="{00000007-7972-43AB-83E8-C2C99B4277B0}"/>
            </c:ext>
          </c:extLst>
        </c:ser>
        <c:ser>
          <c:idx val="16"/>
          <c:order val="8"/>
          <c:tx>
            <c:strRef>
              <c:f>Projections!$A$64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Projections!$G$64:$AA$64</c15:sqref>
                  </c15:fullRef>
                </c:ext>
              </c:extLst>
              <c:f>Projections!$G$64:$Z$64</c:f>
              <c:numCache>
                <c:formatCode>#,##0</c:formatCode>
                <c:ptCount val="20"/>
                <c:pt idx="0">
                  <c:v>0.27496419071004707</c:v>
                </c:pt>
                <c:pt idx="1">
                  <c:v>0.54992838142009415</c:v>
                </c:pt>
                <c:pt idx="2">
                  <c:v>1.0998567628401883</c:v>
                </c:pt>
                <c:pt idx="3">
                  <c:v>2.1997135256803766</c:v>
                </c:pt>
                <c:pt idx="4">
                  <c:v>4.3994270513607532</c:v>
                </c:pt>
                <c:pt idx="5">
                  <c:v>8.7988541027215064</c:v>
                </c:pt>
                <c:pt idx="6">
                  <c:v>17.597708205443013</c:v>
                </c:pt>
                <c:pt idx="7">
                  <c:v>35.195416410886025</c:v>
                </c:pt>
                <c:pt idx="8">
                  <c:v>70.390832821772051</c:v>
                </c:pt>
                <c:pt idx="9">
                  <c:v>140.7816656435441</c:v>
                </c:pt>
                <c:pt idx="10">
                  <c:v>281.5633312870882</c:v>
                </c:pt>
                <c:pt idx="11">
                  <c:v>563.12666257417641</c:v>
                </c:pt>
                <c:pt idx="12">
                  <c:v>1126.2533251483528</c:v>
                </c:pt>
                <c:pt idx="13">
                  <c:v>2252.5066502967056</c:v>
                </c:pt>
                <c:pt idx="14">
                  <c:v>4505.0133005934113</c:v>
                </c:pt>
                <c:pt idx="15">
                  <c:v>9010.0266011868225</c:v>
                </c:pt>
                <c:pt idx="16">
                  <c:v>18020.053202373645</c:v>
                </c:pt>
                <c:pt idx="17">
                  <c:v>36040.10640474729</c:v>
                </c:pt>
                <c:pt idx="18">
                  <c:v>72080.21280949458</c:v>
                </c:pt>
                <c:pt idx="19">
                  <c:v>144160.42561898916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Projections!$G$49:$AA$49</c15:sqref>
                  </c15:fullRef>
                </c:ext>
              </c:extLst>
              <c:f>Projections!$G$49:$Z$49</c:f>
              <c:numCache>
                <c:formatCode>#,##0</c:formatCode>
                <c:ptCount val="20"/>
                <c:pt idx="0">
                  <c:v>0.12681604256189891</c:v>
                </c:pt>
                <c:pt idx="1">
                  <c:v>0.25363208512379781</c:v>
                </c:pt>
                <c:pt idx="2">
                  <c:v>0.50726417024759562</c:v>
                </c:pt>
                <c:pt idx="3">
                  <c:v>1.0145283404951912</c:v>
                </c:pt>
                <c:pt idx="4">
                  <c:v>2.0290566809903825</c:v>
                </c:pt>
                <c:pt idx="5">
                  <c:v>4.058113361980765</c:v>
                </c:pt>
                <c:pt idx="6">
                  <c:v>8.11622672396153</c:v>
                </c:pt>
                <c:pt idx="7">
                  <c:v>16.23245344792306</c:v>
                </c:pt>
                <c:pt idx="8">
                  <c:v>32.46490689584612</c:v>
                </c:pt>
                <c:pt idx="9">
                  <c:v>64.92981379169224</c:v>
                </c:pt>
                <c:pt idx="10">
                  <c:v>129.85962758338448</c:v>
                </c:pt>
                <c:pt idx="11">
                  <c:v>259.71925516676896</c:v>
                </c:pt>
                <c:pt idx="12">
                  <c:v>519.43851033353792</c:v>
                </c:pt>
                <c:pt idx="13">
                  <c:v>1038.8770206670758</c:v>
                </c:pt>
                <c:pt idx="14">
                  <c:v>2077.7540413341517</c:v>
                </c:pt>
                <c:pt idx="15">
                  <c:v>4155.5080826683034</c:v>
                </c:pt>
                <c:pt idx="16">
                  <c:v>8311.0161653366067</c:v>
                </c:pt>
                <c:pt idx="17">
                  <c:v>16622.032330673213</c:v>
                </c:pt>
                <c:pt idx="18">
                  <c:v>33244.064661346427</c:v>
                </c:pt>
                <c:pt idx="19">
                  <c:v>66488.129322692854</c:v>
                </c:pt>
              </c:numCache>
            </c:numRef>
          </c:val>
          <c:smooth val="0"/>
          <c:extLst>
            <c:ext xmlns:c16="http://schemas.microsoft.com/office/drawing/2014/chart" uri="{C3380CC4-5D6E-409C-BE32-E72D297353CC}">
              <c16:uniqueId val="{00000000-FE50-482D-905D-7C3B099138E4}"/>
            </c:ext>
          </c:extLst>
        </c:ser>
        <c:ser>
          <c:idx val="3"/>
          <c:order val="1"/>
          <c:tx>
            <c:strRef>
              <c:f>Projections!$A$50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Projections!$G$51:$AA$51</c15:sqref>
                  </c15:fullRef>
                </c:ext>
              </c:extLst>
              <c:f>Projections!$G$51:$Z$51</c:f>
              <c:numCache>
                <c:formatCode>#,##0</c:formatCode>
                <c:ptCount val="20"/>
                <c:pt idx="0">
                  <c:v>0.27010435850214859</c:v>
                </c:pt>
                <c:pt idx="1">
                  <c:v>0.54020871700429718</c:v>
                </c:pt>
                <c:pt idx="2">
                  <c:v>1.0804174340085944</c:v>
                </c:pt>
                <c:pt idx="3">
                  <c:v>2.1608348680171887</c:v>
                </c:pt>
                <c:pt idx="4">
                  <c:v>4.3216697360343774</c:v>
                </c:pt>
                <c:pt idx="5">
                  <c:v>8.6433394720687549</c:v>
                </c:pt>
                <c:pt idx="6">
                  <c:v>17.28667894413751</c:v>
                </c:pt>
                <c:pt idx="7">
                  <c:v>34.573357888275019</c:v>
                </c:pt>
                <c:pt idx="8">
                  <c:v>69.146715776550039</c:v>
                </c:pt>
                <c:pt idx="9">
                  <c:v>138.29343155310008</c:v>
                </c:pt>
                <c:pt idx="10">
                  <c:v>276.58686310620016</c:v>
                </c:pt>
                <c:pt idx="11">
                  <c:v>553.17372621240031</c:v>
                </c:pt>
                <c:pt idx="12">
                  <c:v>1106.3474524248006</c:v>
                </c:pt>
                <c:pt idx="13">
                  <c:v>2212.6949048496012</c:v>
                </c:pt>
                <c:pt idx="14">
                  <c:v>4425.3898096992025</c:v>
                </c:pt>
                <c:pt idx="15">
                  <c:v>8850.779619398405</c:v>
                </c:pt>
                <c:pt idx="16">
                  <c:v>17701.55923879681</c:v>
                </c:pt>
                <c:pt idx="17">
                  <c:v>35403.11847759362</c:v>
                </c:pt>
                <c:pt idx="18">
                  <c:v>70806.23695518724</c:v>
                </c:pt>
                <c:pt idx="19">
                  <c:v>141612.47391037448</c:v>
                </c:pt>
              </c:numCache>
            </c:numRef>
          </c:val>
          <c:smooth val="0"/>
          <c:extLst>
            <c:ext xmlns:c16="http://schemas.microsoft.com/office/drawing/2014/chart" uri="{C3380CC4-5D6E-409C-BE32-E72D297353CC}">
              <c16:uniqueId val="{00000001-FE50-482D-905D-7C3B099138E4}"/>
            </c:ext>
          </c:extLst>
        </c:ser>
        <c:ser>
          <c:idx val="5"/>
          <c:order val="2"/>
          <c:tx>
            <c:strRef>
              <c:f>Projections!$A$52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Projections!$G$53:$AA$53</c15:sqref>
                  </c15:fullRef>
                </c:ext>
              </c:extLst>
              <c:f>Projections!$G$53:$Z$53</c:f>
              <c:numCache>
                <c:formatCode>#,##0</c:formatCode>
                <c:ptCount val="20"/>
                <c:pt idx="0">
                  <c:v>0.18922651933701656</c:v>
                </c:pt>
                <c:pt idx="1">
                  <c:v>0.37845303867403313</c:v>
                </c:pt>
                <c:pt idx="2">
                  <c:v>0.75690607734806625</c:v>
                </c:pt>
                <c:pt idx="3">
                  <c:v>1.5138121546961325</c:v>
                </c:pt>
                <c:pt idx="4">
                  <c:v>3.027624309392265</c:v>
                </c:pt>
                <c:pt idx="5">
                  <c:v>6.05524861878453</c:v>
                </c:pt>
                <c:pt idx="6">
                  <c:v>12.11049723756906</c:v>
                </c:pt>
                <c:pt idx="7">
                  <c:v>24.22099447513812</c:v>
                </c:pt>
                <c:pt idx="8">
                  <c:v>48.44198895027624</c:v>
                </c:pt>
                <c:pt idx="9">
                  <c:v>96.88397790055248</c:v>
                </c:pt>
                <c:pt idx="10">
                  <c:v>193.76795580110496</c:v>
                </c:pt>
                <c:pt idx="11">
                  <c:v>387.53591160220992</c:v>
                </c:pt>
                <c:pt idx="12">
                  <c:v>775.07182320441984</c:v>
                </c:pt>
                <c:pt idx="13">
                  <c:v>1550.1436464088397</c:v>
                </c:pt>
                <c:pt idx="14">
                  <c:v>3100.2872928176794</c:v>
                </c:pt>
                <c:pt idx="15">
                  <c:v>6200.5745856353587</c:v>
                </c:pt>
                <c:pt idx="16">
                  <c:v>12401.149171270717</c:v>
                </c:pt>
                <c:pt idx="17">
                  <c:v>24802.298342541435</c:v>
                </c:pt>
                <c:pt idx="18">
                  <c:v>49604.59668508287</c:v>
                </c:pt>
                <c:pt idx="19">
                  <c:v>99209.19337016574</c:v>
                </c:pt>
              </c:numCache>
            </c:numRef>
          </c:val>
          <c:smooth val="0"/>
          <c:extLst>
            <c:ext xmlns:c16="http://schemas.microsoft.com/office/drawing/2014/chart" uri="{C3380CC4-5D6E-409C-BE32-E72D297353CC}">
              <c16:uniqueId val="{00000002-FE50-482D-905D-7C3B099138E4}"/>
            </c:ext>
          </c:extLst>
        </c:ser>
        <c:ser>
          <c:idx val="7"/>
          <c:order val="3"/>
          <c:tx>
            <c:strRef>
              <c:f>Projections!$A$54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Projections!$G$55:$AA$55</c15:sqref>
                  </c15:fullRef>
                </c:ext>
              </c:extLst>
              <c:f>Projections!$G$55:$Z$55</c:f>
              <c:numCache>
                <c:formatCode>#,##0</c:formatCode>
                <c:ptCount val="20"/>
                <c:pt idx="0">
                  <c:v>6.3177818702680577E-2</c:v>
                </c:pt>
                <c:pt idx="1">
                  <c:v>0.12635563740536115</c:v>
                </c:pt>
                <c:pt idx="2">
                  <c:v>0.25271127481072231</c:v>
                </c:pt>
                <c:pt idx="3">
                  <c:v>0.50542254962144462</c:v>
                </c:pt>
                <c:pt idx="4">
                  <c:v>1.0108450992428892</c:v>
                </c:pt>
                <c:pt idx="5">
                  <c:v>2.0216901984857785</c:v>
                </c:pt>
                <c:pt idx="6">
                  <c:v>4.0433803969715569</c:v>
                </c:pt>
                <c:pt idx="7">
                  <c:v>8.0867607939431139</c:v>
                </c:pt>
                <c:pt idx="8">
                  <c:v>16.173521587886228</c:v>
                </c:pt>
                <c:pt idx="9">
                  <c:v>32.347043175772455</c:v>
                </c:pt>
                <c:pt idx="10">
                  <c:v>64.694086351544911</c:v>
                </c:pt>
                <c:pt idx="11">
                  <c:v>129.38817270308982</c:v>
                </c:pt>
                <c:pt idx="12">
                  <c:v>258.77634540617964</c:v>
                </c:pt>
                <c:pt idx="13">
                  <c:v>517.55269081235929</c:v>
                </c:pt>
                <c:pt idx="14">
                  <c:v>1035.1053816247186</c:v>
                </c:pt>
                <c:pt idx="15">
                  <c:v>2070.2107632494372</c:v>
                </c:pt>
                <c:pt idx="16">
                  <c:v>4140.4215264988743</c:v>
                </c:pt>
                <c:pt idx="17">
                  <c:v>8280.8430529977486</c:v>
                </c:pt>
                <c:pt idx="18">
                  <c:v>16561.686105995497</c:v>
                </c:pt>
                <c:pt idx="19">
                  <c:v>33123.372211990994</c:v>
                </c:pt>
              </c:numCache>
            </c:numRef>
          </c:val>
          <c:smooth val="0"/>
          <c:extLst>
            <c:ext xmlns:c16="http://schemas.microsoft.com/office/drawing/2014/chart" uri="{C3380CC4-5D6E-409C-BE32-E72D297353CC}">
              <c16:uniqueId val="{00000003-FE50-482D-905D-7C3B099138E4}"/>
            </c:ext>
          </c:extLst>
        </c:ser>
        <c:ser>
          <c:idx val="9"/>
          <c:order val="4"/>
          <c:tx>
            <c:strRef>
              <c:f>Projections!$A$56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Projections!$G$57:$AA$57</c15:sqref>
                  </c15:fullRef>
                </c:ext>
              </c:extLst>
              <c:f>Projections!$G$57:$Z$57</c:f>
              <c:numCache>
                <c:formatCode>#,##0</c:formatCode>
                <c:ptCount val="20"/>
                <c:pt idx="0">
                  <c:v>1.6344383057090239E-2</c:v>
                </c:pt>
                <c:pt idx="1">
                  <c:v>3.2688766114180479E-2</c:v>
                </c:pt>
                <c:pt idx="2">
                  <c:v>6.5377532228360957E-2</c:v>
                </c:pt>
                <c:pt idx="3">
                  <c:v>0.13075506445672191</c:v>
                </c:pt>
                <c:pt idx="4">
                  <c:v>0.26151012891344383</c:v>
                </c:pt>
                <c:pt idx="5">
                  <c:v>0.52302025782688766</c:v>
                </c:pt>
                <c:pt idx="6">
                  <c:v>1.0460405156537753</c:v>
                </c:pt>
                <c:pt idx="7">
                  <c:v>2.0920810313075506</c:v>
                </c:pt>
                <c:pt idx="8">
                  <c:v>4.1841620626151013</c:v>
                </c:pt>
                <c:pt idx="9">
                  <c:v>8.3683241252302025</c:v>
                </c:pt>
                <c:pt idx="10">
                  <c:v>16.736648250460405</c:v>
                </c:pt>
                <c:pt idx="11">
                  <c:v>33.47329650092081</c:v>
                </c:pt>
                <c:pt idx="12">
                  <c:v>66.94659300184162</c:v>
                </c:pt>
                <c:pt idx="13">
                  <c:v>133.89318600368324</c:v>
                </c:pt>
                <c:pt idx="14">
                  <c:v>267.78637200736648</c:v>
                </c:pt>
                <c:pt idx="15">
                  <c:v>535.57274401473296</c:v>
                </c:pt>
                <c:pt idx="16">
                  <c:v>1071.1454880294659</c:v>
                </c:pt>
                <c:pt idx="17">
                  <c:v>2142.2909760589318</c:v>
                </c:pt>
                <c:pt idx="18">
                  <c:v>4284.5819521178637</c:v>
                </c:pt>
                <c:pt idx="19">
                  <c:v>8569.1639042357274</c:v>
                </c:pt>
              </c:numCache>
            </c:numRef>
          </c:val>
          <c:smooth val="0"/>
          <c:extLst>
            <c:ext xmlns:c16="http://schemas.microsoft.com/office/drawing/2014/chart" uri="{C3380CC4-5D6E-409C-BE32-E72D297353CC}">
              <c16:uniqueId val="{00000004-FE50-482D-905D-7C3B099138E4}"/>
            </c:ext>
          </c:extLst>
        </c:ser>
        <c:ser>
          <c:idx val="11"/>
          <c:order val="5"/>
          <c:tx>
            <c:strRef>
              <c:f>Projections!$A$58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Projections!$G$59:$AA$59</c15:sqref>
                  </c15:fullRef>
                </c:ext>
              </c:extLst>
              <c:f>Projections!$G$59:$Z$59</c:f>
              <c:numCache>
                <c:formatCode>#,##0</c:formatCode>
                <c:ptCount val="20"/>
                <c:pt idx="0">
                  <c:v>9.7324534479230618E-3</c:v>
                </c:pt>
                <c:pt idx="1">
                  <c:v>1.9464906895846124E-2</c:v>
                </c:pt>
                <c:pt idx="2">
                  <c:v>3.8929813791692247E-2</c:v>
                </c:pt>
                <c:pt idx="3">
                  <c:v>7.7859627583384494E-2</c:v>
                </c:pt>
                <c:pt idx="4">
                  <c:v>0.15571925516676899</c:v>
                </c:pt>
                <c:pt idx="5">
                  <c:v>0.31143851033353798</c:v>
                </c:pt>
                <c:pt idx="6">
                  <c:v>0.62287702066707595</c:v>
                </c:pt>
                <c:pt idx="7">
                  <c:v>1.2457540413341519</c:v>
                </c:pt>
                <c:pt idx="8">
                  <c:v>2.4915080826683038</c:v>
                </c:pt>
                <c:pt idx="9">
                  <c:v>4.9830161653366076</c:v>
                </c:pt>
                <c:pt idx="10">
                  <c:v>9.9660323306732153</c:v>
                </c:pt>
                <c:pt idx="11">
                  <c:v>19.932064661346431</c:v>
                </c:pt>
                <c:pt idx="12">
                  <c:v>39.864129322692861</c:v>
                </c:pt>
                <c:pt idx="13">
                  <c:v>79.728258645385722</c:v>
                </c:pt>
                <c:pt idx="14">
                  <c:v>159.45651729077144</c:v>
                </c:pt>
                <c:pt idx="15">
                  <c:v>318.91303458154289</c:v>
                </c:pt>
                <c:pt idx="16">
                  <c:v>637.82606916308578</c:v>
                </c:pt>
                <c:pt idx="17">
                  <c:v>1275.6521383261716</c:v>
                </c:pt>
                <c:pt idx="18">
                  <c:v>2551.3042766523431</c:v>
                </c:pt>
                <c:pt idx="19">
                  <c:v>5102.6085533046862</c:v>
                </c:pt>
              </c:numCache>
            </c:numRef>
          </c:val>
          <c:smooth val="0"/>
          <c:extLst>
            <c:ext xmlns:c16="http://schemas.microsoft.com/office/drawing/2014/chart" uri="{C3380CC4-5D6E-409C-BE32-E72D297353CC}">
              <c16:uniqueId val="{00000005-FE50-482D-905D-7C3B099138E4}"/>
            </c:ext>
          </c:extLst>
        </c:ser>
        <c:ser>
          <c:idx val="13"/>
          <c:order val="6"/>
          <c:tx>
            <c:strRef>
              <c:f>Projections!$A$60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Projections!$G$61:$AA$61</c15:sqref>
                  </c15:fullRef>
                </c:ext>
              </c:extLst>
              <c:f>Projections!$G$61:$Z$61</c:f>
              <c:numCache>
                <c:formatCode>#,##0</c:formatCode>
                <c:ptCount val="20"/>
                <c:pt idx="0">
                  <c:v>1.3620319214241866E-2</c:v>
                </c:pt>
                <c:pt idx="1">
                  <c:v>2.7240638428483732E-2</c:v>
                </c:pt>
                <c:pt idx="2">
                  <c:v>5.4481276856967464E-2</c:v>
                </c:pt>
                <c:pt idx="3">
                  <c:v>0.10896255371393493</c:v>
                </c:pt>
                <c:pt idx="4">
                  <c:v>0.21792510742786986</c:v>
                </c:pt>
                <c:pt idx="5">
                  <c:v>0.43585021485573971</c:v>
                </c:pt>
                <c:pt idx="6">
                  <c:v>0.87170042971147943</c:v>
                </c:pt>
                <c:pt idx="7">
                  <c:v>1.7434008594229589</c:v>
                </c:pt>
                <c:pt idx="8">
                  <c:v>3.4868017188459177</c:v>
                </c:pt>
                <c:pt idx="9">
                  <c:v>6.9736034376918354</c:v>
                </c:pt>
                <c:pt idx="10">
                  <c:v>13.947206875383671</c:v>
                </c:pt>
                <c:pt idx="11">
                  <c:v>27.894413750767342</c:v>
                </c:pt>
                <c:pt idx="12">
                  <c:v>55.788827501534684</c:v>
                </c:pt>
                <c:pt idx="13">
                  <c:v>111.57765500306937</c:v>
                </c:pt>
                <c:pt idx="14">
                  <c:v>223.15531000613873</c:v>
                </c:pt>
                <c:pt idx="15">
                  <c:v>446.31062001227747</c:v>
                </c:pt>
                <c:pt idx="16">
                  <c:v>892.62124002455494</c:v>
                </c:pt>
                <c:pt idx="17">
                  <c:v>1785.2424800491099</c:v>
                </c:pt>
                <c:pt idx="18">
                  <c:v>3570.4849600982197</c:v>
                </c:pt>
                <c:pt idx="19">
                  <c:v>7140.9699201964395</c:v>
                </c:pt>
              </c:numCache>
            </c:numRef>
          </c:val>
          <c:smooth val="0"/>
          <c:extLst>
            <c:ext xmlns:c16="http://schemas.microsoft.com/office/drawing/2014/chart" uri="{C3380CC4-5D6E-409C-BE32-E72D297353CC}">
              <c16:uniqueId val="{00000006-FE50-482D-905D-7C3B099138E4}"/>
            </c:ext>
          </c:extLst>
        </c:ser>
        <c:ser>
          <c:idx val="15"/>
          <c:order val="7"/>
          <c:tx>
            <c:strRef>
              <c:f>Projections!$A$62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Projections!$G$63:$AA$63</c15:sqref>
                  </c15:fullRef>
                </c:ext>
              </c:extLst>
              <c:f>Projections!$G$63:$Z$63</c:f>
              <c:numCache>
                <c:formatCode>#,##0</c:formatCode>
                <c:ptCount val="20"/>
                <c:pt idx="0">
                  <c:v>1.7265193370165745E-3</c:v>
                </c:pt>
                <c:pt idx="1">
                  <c:v>3.453038674033149E-3</c:v>
                </c:pt>
                <c:pt idx="2">
                  <c:v>6.9060773480662981E-3</c:v>
                </c:pt>
                <c:pt idx="3">
                  <c:v>1.3812154696132596E-2</c:v>
                </c:pt>
                <c:pt idx="4">
                  <c:v>2.7624309392265192E-2</c:v>
                </c:pt>
                <c:pt idx="5">
                  <c:v>5.5248618784530384E-2</c:v>
                </c:pt>
                <c:pt idx="6">
                  <c:v>0.11049723756906077</c:v>
                </c:pt>
                <c:pt idx="7">
                  <c:v>0.22099447513812154</c:v>
                </c:pt>
                <c:pt idx="8">
                  <c:v>0.44198895027624308</c:v>
                </c:pt>
                <c:pt idx="9">
                  <c:v>0.88397790055248615</c:v>
                </c:pt>
                <c:pt idx="10">
                  <c:v>1.7679558011049723</c:v>
                </c:pt>
                <c:pt idx="11">
                  <c:v>3.5359116022099446</c:v>
                </c:pt>
                <c:pt idx="12">
                  <c:v>7.0718232044198892</c:v>
                </c:pt>
                <c:pt idx="13">
                  <c:v>14.143646408839778</c:v>
                </c:pt>
                <c:pt idx="14">
                  <c:v>28.287292817679557</c:v>
                </c:pt>
                <c:pt idx="15">
                  <c:v>56.574585635359114</c:v>
                </c:pt>
                <c:pt idx="16">
                  <c:v>113.14917127071823</c:v>
                </c:pt>
                <c:pt idx="17">
                  <c:v>226.29834254143645</c:v>
                </c:pt>
                <c:pt idx="18">
                  <c:v>452.59668508287291</c:v>
                </c:pt>
                <c:pt idx="19">
                  <c:v>905.19337016574582</c:v>
                </c:pt>
              </c:numCache>
            </c:numRef>
          </c:val>
          <c:smooth val="0"/>
          <c:extLst>
            <c:ext xmlns:c16="http://schemas.microsoft.com/office/drawing/2014/chart" uri="{C3380CC4-5D6E-409C-BE32-E72D297353CC}">
              <c16:uniqueId val="{00000007-FE50-482D-905D-7C3B099138E4}"/>
            </c:ext>
          </c:extLst>
        </c:ser>
        <c:ser>
          <c:idx val="17"/>
          <c:order val="8"/>
          <c:tx>
            <c:strRef>
              <c:f>Projections!$A$64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Projections!$G$65:$AA$65</c15:sqref>
                  </c15:fullRef>
                </c:ext>
              </c:extLst>
              <c:f>Projections!$G$65:$Z$65</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Projections!$G$77:$AA$77</c15:sqref>
                  </c15:fullRef>
                </c:ext>
              </c:extLst>
              <c:f>Projections!$G$77:$Z$77</c:f>
              <c:numCache>
                <c:formatCode>#,##0</c:formatCode>
                <c:ptCount val="20"/>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pt idx="18">
                  <c:v>2760704</c:v>
                </c:pt>
                <c:pt idx="19">
                  <c:v>5521408</c:v>
                </c:pt>
              </c:numCache>
            </c:numRef>
          </c:val>
          <c:smooth val="0"/>
          <c:extLst>
            <c:ext xmlns:c16="http://schemas.microsoft.com/office/drawing/2014/chart" uri="{C3380CC4-5D6E-409C-BE32-E72D297353CC}">
              <c16:uniqueId val="{00000000-C5BA-4495-93D4-AC4CA8674604}"/>
            </c:ext>
          </c:extLst>
        </c:ser>
        <c:ser>
          <c:idx val="4"/>
          <c:order val="1"/>
          <c:tx>
            <c:strRef>
              <c:f>Projections!$A$75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Projections!$G$75:$AA$75</c15:sqref>
                  </c15:fullRef>
                </c:ext>
              </c:extLst>
              <c:f>Projections!$G$75:$Z$75</c:f>
              <c:numCache>
                <c:formatCode>#,##0</c:formatCode>
                <c:ptCount val="20"/>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pt idx="18">
                  <c:v>2539520</c:v>
                </c:pt>
                <c:pt idx="19">
                  <c:v>5079040</c:v>
                </c:pt>
              </c:numCache>
            </c:numRef>
          </c:val>
          <c:smooth val="0"/>
          <c:extLst>
            <c:ext xmlns:c16="http://schemas.microsoft.com/office/drawing/2014/chart" uri="{C3380CC4-5D6E-409C-BE32-E72D297353CC}">
              <c16:uniqueId val="{00000001-C5BA-4495-93D4-AC4CA8674604}"/>
            </c:ext>
          </c:extLst>
        </c:ser>
        <c:ser>
          <c:idx val="10"/>
          <c:order val="2"/>
          <c:tx>
            <c:strRef>
              <c:f>Projections!$A$81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Projections!$G$81:$AA$81</c15:sqref>
                  </c15:fullRef>
                </c:ext>
              </c:extLst>
              <c:f>Projections!$G$81:$Z$81</c:f>
              <c:numCache>
                <c:formatCode>#,##0</c:formatCode>
                <c:ptCount val="20"/>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pt idx="18">
                  <c:v>1318912</c:v>
                </c:pt>
                <c:pt idx="19">
                  <c:v>2637824</c:v>
                </c:pt>
              </c:numCache>
            </c:numRef>
          </c:val>
          <c:smooth val="0"/>
          <c:extLst>
            <c:ext xmlns:c16="http://schemas.microsoft.com/office/drawing/2014/chart" uri="{C3380CC4-5D6E-409C-BE32-E72D297353CC}">
              <c16:uniqueId val="{00000002-C5BA-4495-93D4-AC4CA8674604}"/>
            </c:ext>
          </c:extLst>
        </c:ser>
        <c:ser>
          <c:idx val="0"/>
          <c:order val="3"/>
          <c:tx>
            <c:strRef>
              <c:f>Projections!$A$71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Projections!$G$71:$AA$71</c15:sqref>
                  </c15:fullRef>
                </c:ext>
              </c:extLst>
              <c:f>Projections!$G$71:$Z$71</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03-C5BA-4495-93D4-AC4CA8674604}"/>
            </c:ext>
          </c:extLst>
        </c:ser>
        <c:ser>
          <c:idx val="2"/>
          <c:order val="4"/>
          <c:tx>
            <c:strRef>
              <c:f>Projections!$A$73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Projections!$G$73:$AA$73</c15:sqref>
                  </c15:fullRef>
                </c:ext>
              </c:extLst>
              <c:f>Projections!$G$73:$Z$73</c:f>
              <c:numCache>
                <c:formatCode>#,##0</c:formatCode>
                <c:ptCount val="20"/>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pt idx="19">
                  <c:v>753664</c:v>
                </c:pt>
              </c:numCache>
            </c:numRef>
          </c:val>
          <c:smooth val="0"/>
          <c:extLst>
            <c:ext xmlns:c16="http://schemas.microsoft.com/office/drawing/2014/chart" uri="{C3380CC4-5D6E-409C-BE32-E72D297353CC}">
              <c16:uniqueId val="{00000004-C5BA-4495-93D4-AC4CA8674604}"/>
            </c:ext>
          </c:extLst>
        </c:ser>
        <c:ser>
          <c:idx val="8"/>
          <c:order val="5"/>
          <c:tx>
            <c:strRef>
              <c:f>Projections!$A$79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Projections!$G$79:$AA$79</c15:sqref>
                  </c15:fullRef>
                </c:ext>
              </c:extLst>
              <c:f>Projections!$G$79:$Z$79</c:f>
              <c:numCache>
                <c:formatCode>#,##0</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Projections!$G$78:$AA$78</c15:sqref>
                  </c15:fullRef>
                </c:ext>
              </c:extLst>
              <c:f>Projections!$G$78:$Z$78</c:f>
              <c:numCache>
                <c:formatCode>#,##0</c:formatCode>
                <c:ptCount val="20"/>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pt idx="18">
                  <c:v>165642.23999999999</c:v>
                </c:pt>
                <c:pt idx="19">
                  <c:v>331284.47999999998</c:v>
                </c:pt>
              </c:numCache>
            </c:numRef>
          </c:val>
          <c:smooth val="0"/>
          <c:extLst>
            <c:ext xmlns:c16="http://schemas.microsoft.com/office/drawing/2014/chart" uri="{C3380CC4-5D6E-409C-BE32-E72D297353CC}">
              <c16:uniqueId val="{00000000-5E66-4AF0-A3CA-7CF12153AA8E}"/>
            </c:ext>
          </c:extLst>
        </c:ser>
        <c:ser>
          <c:idx val="5"/>
          <c:order val="1"/>
          <c:tx>
            <c:strRef>
              <c:f>Projections!$A$75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Projections!$G$76:$AA$76</c15:sqref>
                  </c15:fullRef>
                </c:ext>
              </c:extLst>
              <c:f>Projections!$G$76:$Z$76</c:f>
              <c:numCache>
                <c:formatCode>#,##0</c:formatCode>
                <c:ptCount val="20"/>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pt idx="18">
                  <c:v>159989.76000000001</c:v>
                </c:pt>
                <c:pt idx="19">
                  <c:v>319979.52000000002</c:v>
                </c:pt>
              </c:numCache>
            </c:numRef>
          </c:val>
          <c:smooth val="0"/>
          <c:extLst>
            <c:ext xmlns:c16="http://schemas.microsoft.com/office/drawing/2014/chart" uri="{C3380CC4-5D6E-409C-BE32-E72D297353CC}">
              <c16:uniqueId val="{00000001-5E66-4AF0-A3CA-7CF12153AA8E}"/>
            </c:ext>
          </c:extLst>
        </c:ser>
        <c:ser>
          <c:idx val="1"/>
          <c:order val="2"/>
          <c:tx>
            <c:strRef>
              <c:f>Projections!$A$71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Projections!$G$72:$AA$72</c15:sqref>
                  </c15:fullRef>
                </c:ext>
              </c:extLst>
              <c:f>Projections!$G$72:$Z$72</c:f>
              <c:numCache>
                <c:formatCode>#,##0</c:formatCode>
                <c:ptCount val="20"/>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pt idx="18">
                  <c:v>43008</c:v>
                </c:pt>
                <c:pt idx="19">
                  <c:v>86016</c:v>
                </c:pt>
              </c:numCache>
            </c:numRef>
          </c:val>
          <c:smooth val="0"/>
          <c:extLst>
            <c:ext xmlns:c16="http://schemas.microsoft.com/office/drawing/2014/chart" uri="{C3380CC4-5D6E-409C-BE32-E72D297353CC}">
              <c16:uniqueId val="{00000002-5E66-4AF0-A3CA-7CF12153AA8E}"/>
            </c:ext>
          </c:extLst>
        </c:ser>
        <c:ser>
          <c:idx val="3"/>
          <c:order val="3"/>
          <c:tx>
            <c:strRef>
              <c:f>Projections!$A$73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Projections!$G$74:$AA$74</c15:sqref>
                  </c15:fullRef>
                </c:ext>
              </c:extLst>
              <c:f>Projections!$G$74:$Z$74</c:f>
              <c:numCache>
                <c:formatCode>#,##0</c:formatCode>
                <c:ptCount val="20"/>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pt idx="18">
                  <c:v>27508.735999999997</c:v>
                </c:pt>
                <c:pt idx="19">
                  <c:v>55017.471999999994</c:v>
                </c:pt>
              </c:numCache>
            </c:numRef>
          </c:val>
          <c:smooth val="0"/>
          <c:extLst>
            <c:ext xmlns:c16="http://schemas.microsoft.com/office/drawing/2014/chart" uri="{C3380CC4-5D6E-409C-BE32-E72D297353CC}">
              <c16:uniqueId val="{00000003-5E66-4AF0-A3CA-7CF12153AA8E}"/>
            </c:ext>
          </c:extLst>
        </c:ser>
        <c:ser>
          <c:idx val="9"/>
          <c:order val="4"/>
          <c:tx>
            <c:strRef>
              <c:f>Projections!$A$79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Projections!$G$80:$AA$80</c15:sqref>
                  </c15:fullRef>
                </c:ext>
              </c:extLst>
              <c:f>Projections!$G$80:$Z$80</c:f>
              <c:numCache>
                <c:formatCode>#,##0</c:formatCode>
                <c:ptCount val="20"/>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pt idx="18">
                  <c:v>6881.28</c:v>
                </c:pt>
                <c:pt idx="19">
                  <c:v>13762.56</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d\-mmm</c:formatCode>
                <c:ptCount val="9"/>
                <c:pt idx="0">
                  <c:v>43892</c:v>
                </c:pt>
                <c:pt idx="1">
                  <c:v>43896</c:v>
                </c:pt>
                <c:pt idx="2">
                  <c:v>43900</c:v>
                </c:pt>
                <c:pt idx="3">
                  <c:v>43904</c:v>
                </c:pt>
                <c:pt idx="4">
                  <c:v>43908</c:v>
                </c:pt>
                <c:pt idx="5">
                  <c:v>43911</c:v>
                </c:pt>
                <c:pt idx="6">
                  <c:v>43914</c:v>
                </c:pt>
                <c:pt idx="7">
                  <c:v>43919</c:v>
                </c:pt>
                <c:pt idx="8">
                  <c:v>43934</c:v>
                </c:pt>
              </c:numCache>
            </c:numRef>
          </c:cat>
          <c:val>
            <c:numRef>
              <c:extLst>
                <c:ext xmlns:c15="http://schemas.microsoft.com/office/drawing/2012/chart" uri="{02D57815-91ED-43cb-92C2-25804820EDAC}">
                  <c15:fullRef>
                    <c15:sqref>Projections!$G$18:$AA$18</c15:sqref>
                  </c15:fullRef>
                </c:ext>
              </c:extLst>
              <c:f>Projections!$G$18:$O$18</c:f>
              <c:numCache>
                <c:formatCode>#,##0_ ;[Red]\-#,##0\ </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0-9DE3-43B6-B60B-9B4AA4851702}"/>
            </c:ext>
          </c:extLst>
        </c:ser>
        <c:ser>
          <c:idx val="1"/>
          <c:order val="1"/>
          <c:tx>
            <c:strRef>
              <c:f>Projections!$A$41</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d\-mmm</c:formatCode>
                <c:ptCount val="9"/>
                <c:pt idx="0">
                  <c:v>43892</c:v>
                </c:pt>
                <c:pt idx="1">
                  <c:v>43896</c:v>
                </c:pt>
                <c:pt idx="2">
                  <c:v>43900</c:v>
                </c:pt>
                <c:pt idx="3">
                  <c:v>43904</c:v>
                </c:pt>
                <c:pt idx="4">
                  <c:v>43908</c:v>
                </c:pt>
                <c:pt idx="5">
                  <c:v>43911</c:v>
                </c:pt>
                <c:pt idx="6">
                  <c:v>43914</c:v>
                </c:pt>
                <c:pt idx="7">
                  <c:v>43919</c:v>
                </c:pt>
                <c:pt idx="8">
                  <c:v>43934</c:v>
                </c:pt>
              </c:numCache>
            </c:numRef>
          </c:cat>
          <c:val>
            <c:numRef>
              <c:extLst>
                <c:ext xmlns:c15="http://schemas.microsoft.com/office/drawing/2012/chart" uri="{02D57815-91ED-43cb-92C2-25804820EDAC}">
                  <c15:fullRef>
                    <c15:sqref>Projections!$G$41:$AA$41</c15:sqref>
                  </c15:fullRef>
                </c:ext>
              </c:extLst>
              <c:f>Projections!$G$41:$O$41</c:f>
              <c:numCache>
                <c:formatCode>General</c:formatCode>
                <c:ptCount val="9"/>
                <c:pt idx="0">
                  <c:v>32</c:v>
                </c:pt>
                <c:pt idx="1">
                  <c:v>63</c:v>
                </c:pt>
                <c:pt idx="2" formatCode="#,##0">
                  <c:v>112</c:v>
                </c:pt>
                <c:pt idx="3" formatCode="#,##0">
                  <c:v>249</c:v>
                </c:pt>
                <c:pt idx="4" formatCode="#,##0">
                  <c:v>567</c:v>
                </c:pt>
                <c:pt idx="5" formatCode="#,##0">
                  <c:v>1072</c:v>
                </c:pt>
                <c:pt idx="6" formatCode="#,##0">
                  <c:v>2050</c:v>
                </c:pt>
                <c:pt idx="7" formatCode="#,##0">
                  <c:v>3984</c:v>
                </c:pt>
                <c:pt idx="8" formatCode="#,##0">
                  <c:v>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d\-mmm</c:formatCode>
                <c:ptCount val="9"/>
                <c:pt idx="0">
                  <c:v>43892</c:v>
                </c:pt>
                <c:pt idx="1">
                  <c:v>43896</c:v>
                </c:pt>
                <c:pt idx="2">
                  <c:v>43900</c:v>
                </c:pt>
                <c:pt idx="3">
                  <c:v>43904</c:v>
                </c:pt>
                <c:pt idx="4">
                  <c:v>43908</c:v>
                </c:pt>
                <c:pt idx="5">
                  <c:v>43911</c:v>
                </c:pt>
                <c:pt idx="6">
                  <c:v>43914</c:v>
                </c:pt>
                <c:pt idx="7">
                  <c:v>43919</c:v>
                </c:pt>
                <c:pt idx="8">
                  <c:v>43934</c:v>
                </c:pt>
              </c:numCache>
            </c:numRef>
          </c:cat>
          <c:val>
            <c:numRef>
              <c:extLst>
                <c:ext xmlns:c15="http://schemas.microsoft.com/office/drawing/2012/chart" uri="{02D57815-91ED-43cb-92C2-25804820EDAC}">
                  <c15:fullRef>
                    <c15:sqref>Projections!$G$31:$AA$31</c15:sqref>
                  </c15:fullRef>
                </c:ext>
              </c:extLst>
              <c:f>Projections!$G$31:$O$31</c:f>
              <c:numCache>
                <c:formatCode>#,##0_ ;[Red]\-#,##0\ </c:formatCode>
                <c:ptCount val="9"/>
                <c:pt idx="0">
                  <c:v>1.09375</c:v>
                </c:pt>
                <c:pt idx="1">
                  <c:v>2.1875</c:v>
                </c:pt>
                <c:pt idx="2">
                  <c:v>4.375</c:v>
                </c:pt>
                <c:pt idx="3">
                  <c:v>8.75</c:v>
                </c:pt>
                <c:pt idx="4">
                  <c:v>17.5</c:v>
                </c:pt>
                <c:pt idx="5">
                  <c:v>35</c:v>
                </c:pt>
                <c:pt idx="6">
                  <c:v>70</c:v>
                </c:pt>
                <c:pt idx="7">
                  <c:v>140</c:v>
                </c:pt>
                <c:pt idx="8">
                  <c:v>280</c:v>
                </c:pt>
              </c:numCache>
            </c:numRef>
          </c:val>
          <c:smooth val="0"/>
          <c:extLst>
            <c:ext xmlns:c16="http://schemas.microsoft.com/office/drawing/2014/chart" uri="{C3380CC4-5D6E-409C-BE32-E72D297353CC}">
              <c16:uniqueId val="{00000000-FE1B-4946-A476-7952C5C71231}"/>
            </c:ext>
          </c:extLst>
        </c:ser>
        <c:ser>
          <c:idx val="1"/>
          <c:order val="1"/>
          <c:tx>
            <c:strRef>
              <c:f>Projections!$A$44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d\-mmm</c:formatCode>
                <c:ptCount val="9"/>
                <c:pt idx="0">
                  <c:v>43892</c:v>
                </c:pt>
                <c:pt idx="1">
                  <c:v>43896</c:v>
                </c:pt>
                <c:pt idx="2">
                  <c:v>43900</c:v>
                </c:pt>
                <c:pt idx="3">
                  <c:v>43904</c:v>
                </c:pt>
                <c:pt idx="4">
                  <c:v>43908</c:v>
                </c:pt>
                <c:pt idx="5">
                  <c:v>43911</c:v>
                </c:pt>
                <c:pt idx="6">
                  <c:v>43914</c:v>
                </c:pt>
                <c:pt idx="7">
                  <c:v>43919</c:v>
                </c:pt>
                <c:pt idx="8">
                  <c:v>43934</c:v>
                </c:pt>
              </c:numCache>
            </c:numRef>
          </c:cat>
          <c:val>
            <c:numRef>
              <c:extLst>
                <c:ext xmlns:c15="http://schemas.microsoft.com/office/drawing/2012/chart" uri="{02D57815-91ED-43cb-92C2-25804820EDAC}">
                  <c15:fullRef>
                    <c15:sqref>Projections!$G$44:$AA$44</c15:sqref>
                  </c15:fullRef>
                </c:ext>
              </c:extLst>
              <c:f>Projections!$G$44:$O$44</c:f>
              <c:numCache>
                <c:formatCode>General</c:formatCode>
                <c:ptCount val="9"/>
                <c:pt idx="0">
                  <c:v>1</c:v>
                </c:pt>
                <c:pt idx="1">
                  <c:v>2</c:v>
                </c:pt>
                <c:pt idx="2" formatCode="#,##0">
                  <c:v>3</c:v>
                </c:pt>
                <c:pt idx="3" formatCode="#,##0">
                  <c:v>5</c:v>
                </c:pt>
                <c:pt idx="4" formatCode="#,##0">
                  <c:v>6</c:v>
                </c:pt>
                <c:pt idx="5" formatCode="#,##0">
                  <c:v>7</c:v>
                </c:pt>
                <c:pt idx="6" formatCode="#,##0">
                  <c:v>8</c:v>
                </c:pt>
                <c:pt idx="7" formatCode="#,##0">
                  <c:v>16</c:v>
                </c:pt>
                <c:pt idx="8" formatCode="#,##0">
                  <c:v>29</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43885.653722106479</c:v>
                </c:pt>
                <c:pt idx="1">
                  <c:v>43888.653722106479</c:v>
                </c:pt>
                <c:pt idx="2">
                  <c:v>43891.653722106479</c:v>
                </c:pt>
                <c:pt idx="3">
                  <c:v>43894.653722106479</c:v>
                </c:pt>
                <c:pt idx="4">
                  <c:v>43897.653722106479</c:v>
                </c:pt>
                <c:pt idx="5">
                  <c:v>43900.653722106479</c:v>
                </c:pt>
                <c:pt idx="6">
                  <c:v>43903.653722106479</c:v>
                </c:pt>
                <c:pt idx="7">
                  <c:v>43906.653722106479</c:v>
                </c:pt>
                <c:pt idx="8">
                  <c:v>43909.653722106479</c:v>
                </c:pt>
                <c:pt idx="9">
                  <c:v>43912.653722106479</c:v>
                </c:pt>
                <c:pt idx="10">
                  <c:v>43915.653722106479</c:v>
                </c:pt>
                <c:pt idx="11">
                  <c:v>43918.653722106479</c:v>
                </c:pt>
                <c:pt idx="12">
                  <c:v>43921.653722106479</c:v>
                </c:pt>
                <c:pt idx="13">
                  <c:v>43924.653722106479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43885.653722106479</c:v>
                </c:pt>
                <c:pt idx="1">
                  <c:v>43888.653722106479</c:v>
                </c:pt>
                <c:pt idx="2">
                  <c:v>43891.653722106479</c:v>
                </c:pt>
                <c:pt idx="3">
                  <c:v>43894.653722106479</c:v>
                </c:pt>
                <c:pt idx="4">
                  <c:v>43897.653722106479</c:v>
                </c:pt>
                <c:pt idx="5">
                  <c:v>43900.653722106479</c:v>
                </c:pt>
                <c:pt idx="6">
                  <c:v>43903.653722106479</c:v>
                </c:pt>
                <c:pt idx="7">
                  <c:v>43906.653722106479</c:v>
                </c:pt>
                <c:pt idx="8">
                  <c:v>43909.653722106479</c:v>
                </c:pt>
                <c:pt idx="9">
                  <c:v>43912.653722106479</c:v>
                </c:pt>
                <c:pt idx="10">
                  <c:v>43915.653722106479</c:v>
                </c:pt>
                <c:pt idx="11">
                  <c:v>43918.653722106479</c:v>
                </c:pt>
                <c:pt idx="12">
                  <c:v>43921.653722106479</c:v>
                </c:pt>
                <c:pt idx="13">
                  <c:v>43924.653722106479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60.606060606060602</c:v>
                </c:pt>
                <c:pt idx="3">
                  <c:v>121.2121212121212</c:v>
                </c:pt>
                <c:pt idx="4">
                  <c:v>196.36363636363637</c:v>
                </c:pt>
                <c:pt idx="5">
                  <c:v>392.72727272727275</c:v>
                </c:pt>
                <c:pt idx="6">
                  <c:v>785.4545454545455</c:v>
                </c:pt>
                <c:pt idx="7">
                  <c:v>1521.818181818182</c:v>
                </c:pt>
                <c:pt idx="8">
                  <c:v>3043.636363636364</c:v>
                </c:pt>
                <c:pt idx="9">
                  <c:v>6087.2727272727279</c:v>
                </c:pt>
                <c:pt idx="10">
                  <c:v>12174.545454545456</c:v>
                </c:pt>
                <c:pt idx="11">
                  <c:v>24349.090909090912</c:v>
                </c:pt>
                <c:pt idx="12">
                  <c:v>48747.272727272728</c:v>
                </c:pt>
                <c:pt idx="13">
                  <c:v>97494.545454545456</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43885.653722106479</c:v>
                </c:pt>
                <c:pt idx="1">
                  <c:v>43888.653722106479</c:v>
                </c:pt>
                <c:pt idx="2">
                  <c:v>43891.653722106479</c:v>
                </c:pt>
                <c:pt idx="3">
                  <c:v>43894.653722106479</c:v>
                </c:pt>
                <c:pt idx="4">
                  <c:v>43897.653722106479</c:v>
                </c:pt>
                <c:pt idx="5">
                  <c:v>43900.653722106479</c:v>
                </c:pt>
                <c:pt idx="6">
                  <c:v>43903.653722106479</c:v>
                </c:pt>
                <c:pt idx="7">
                  <c:v>43906.653722106479</c:v>
                </c:pt>
                <c:pt idx="8">
                  <c:v>43909.653722106479</c:v>
                </c:pt>
                <c:pt idx="9">
                  <c:v>43912.653722106479</c:v>
                </c:pt>
                <c:pt idx="10">
                  <c:v>43915.653722106479</c:v>
                </c:pt>
                <c:pt idx="11">
                  <c:v>43918.653722106479</c:v>
                </c:pt>
                <c:pt idx="12">
                  <c:v>43921.653722106479</c:v>
                </c:pt>
                <c:pt idx="13">
                  <c:v>43924.653722106479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46.060606060606055</c:v>
                </c:pt>
                <c:pt idx="5">
                  <c:v>92.12121212121211</c:v>
                </c:pt>
                <c:pt idx="6">
                  <c:v>135.75757575757575</c:v>
                </c:pt>
                <c:pt idx="7">
                  <c:v>271.5151515151515</c:v>
                </c:pt>
                <c:pt idx="8">
                  <c:v>543.030303030303</c:v>
                </c:pt>
                <c:pt idx="9">
                  <c:v>1086.060606060606</c:v>
                </c:pt>
                <c:pt idx="10">
                  <c:v>2172.121212121212</c:v>
                </c:pt>
                <c:pt idx="11">
                  <c:v>4344.242424242424</c:v>
                </c:pt>
                <c:pt idx="12">
                  <c:v>8688.484848484848</c:v>
                </c:pt>
                <c:pt idx="13">
                  <c:v>17376.969696969696</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43885.653722106479</c:v>
                </c:pt>
                <c:pt idx="1">
                  <c:v>43888.653722106479</c:v>
                </c:pt>
                <c:pt idx="2">
                  <c:v>43891.653722106479</c:v>
                </c:pt>
                <c:pt idx="3">
                  <c:v>43894.653722106479</c:v>
                </c:pt>
                <c:pt idx="4">
                  <c:v>43897.653722106479</c:v>
                </c:pt>
                <c:pt idx="5">
                  <c:v>43900.653722106479</c:v>
                </c:pt>
                <c:pt idx="6">
                  <c:v>43903.653722106479</c:v>
                </c:pt>
                <c:pt idx="7">
                  <c:v>43906.653722106479</c:v>
                </c:pt>
                <c:pt idx="8">
                  <c:v>43909.653722106479</c:v>
                </c:pt>
                <c:pt idx="9">
                  <c:v>43912.653722106479</c:v>
                </c:pt>
                <c:pt idx="10">
                  <c:v>43915.653722106479</c:v>
                </c:pt>
                <c:pt idx="11">
                  <c:v>43918.653722106479</c:v>
                </c:pt>
                <c:pt idx="12">
                  <c:v>43921.653722106479</c:v>
                </c:pt>
                <c:pt idx="13">
                  <c:v>43924.653722106479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48.484848484848484</c:v>
                </c:pt>
                <c:pt idx="7">
                  <c:v>96.969696969696969</c:v>
                </c:pt>
                <c:pt idx="8">
                  <c:v>193.93939393939394</c:v>
                </c:pt>
                <c:pt idx="9">
                  <c:v>387.87878787878788</c:v>
                </c:pt>
                <c:pt idx="10">
                  <c:v>775.75757575757575</c:v>
                </c:pt>
                <c:pt idx="11">
                  <c:v>1551.5151515151515</c:v>
                </c:pt>
                <c:pt idx="12">
                  <c:v>3103.030303030303</c:v>
                </c:pt>
                <c:pt idx="13">
                  <c:v>6206.060606060606</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43885.653722106479</c:v>
                </c:pt>
                <c:pt idx="1">
                  <c:v>43888.653722106479</c:v>
                </c:pt>
                <c:pt idx="2">
                  <c:v>43891.653722106479</c:v>
                </c:pt>
                <c:pt idx="3">
                  <c:v>43894.653722106479</c:v>
                </c:pt>
                <c:pt idx="4">
                  <c:v>43897.653722106479</c:v>
                </c:pt>
                <c:pt idx="5">
                  <c:v>43900.653722106479</c:v>
                </c:pt>
                <c:pt idx="6">
                  <c:v>43903.653722106479</c:v>
                </c:pt>
                <c:pt idx="7">
                  <c:v>43906.653722106479</c:v>
                </c:pt>
                <c:pt idx="8">
                  <c:v>43909.653722106479</c:v>
                </c:pt>
                <c:pt idx="9">
                  <c:v>43912.653722106479</c:v>
                </c:pt>
                <c:pt idx="10">
                  <c:v>43915.653722106479</c:v>
                </c:pt>
                <c:pt idx="11">
                  <c:v>43918.653722106479</c:v>
                </c:pt>
                <c:pt idx="12">
                  <c:v>43921.653722106479</c:v>
                </c:pt>
                <c:pt idx="13">
                  <c:v>43924.653722106479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86.580086580086572</c:v>
                </c:pt>
                <c:pt idx="1">
                  <c:v>173.16017316017314</c:v>
                </c:pt>
                <c:pt idx="2">
                  <c:v>346.32034632034629</c:v>
                </c:pt>
                <c:pt idx="3">
                  <c:v>692.64069264069258</c:v>
                </c:pt>
                <c:pt idx="4">
                  <c:v>1385.2813852813852</c:v>
                </c:pt>
                <c:pt idx="5">
                  <c:v>2770.5627705627703</c:v>
                </c:pt>
                <c:pt idx="6">
                  <c:v>5541.1255411255406</c:v>
                </c:pt>
                <c:pt idx="7">
                  <c:v>11082.251082251081</c:v>
                </c:pt>
                <c:pt idx="8">
                  <c:v>22164.502164502162</c:v>
                </c:pt>
                <c:pt idx="9">
                  <c:v>44329.004329004325</c:v>
                </c:pt>
                <c:pt idx="10">
                  <c:v>88658.00865800865</c:v>
                </c:pt>
                <c:pt idx="11">
                  <c:v>177316.0173160173</c:v>
                </c:pt>
                <c:pt idx="12">
                  <c:v>354632.0346320346</c:v>
                </c:pt>
                <c:pt idx="13">
                  <c:v>709264.0692640692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Asymptomatic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43885.653722106479</c:v>
                </c:pt>
                <c:pt idx="1">
                  <c:v>43888.653722106479</c:v>
                </c:pt>
                <c:pt idx="2">
                  <c:v>43891.653722106479</c:v>
                </c:pt>
                <c:pt idx="3">
                  <c:v>43894.653722106479</c:v>
                </c:pt>
                <c:pt idx="4">
                  <c:v>43897.653722106479</c:v>
                </c:pt>
                <c:pt idx="5">
                  <c:v>43900.653722106479</c:v>
                </c:pt>
                <c:pt idx="6">
                  <c:v>43903.653722106479</c:v>
                </c:pt>
                <c:pt idx="7">
                  <c:v>43906.653722106479</c:v>
                </c:pt>
                <c:pt idx="8">
                  <c:v>43909.653722106479</c:v>
                </c:pt>
                <c:pt idx="9">
                  <c:v>43912.653722106479</c:v>
                </c:pt>
                <c:pt idx="10">
                  <c:v>43915.653722106479</c:v>
                </c:pt>
                <c:pt idx="11">
                  <c:v>43918.653722106479</c:v>
                </c:pt>
                <c:pt idx="12">
                  <c:v>43921.653722106479</c:v>
                </c:pt>
                <c:pt idx="13">
                  <c:v>43924.653722106479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25.97402597402597</c:v>
                </c:pt>
                <c:pt idx="1">
                  <c:v>51.94805194805194</c:v>
                </c:pt>
                <c:pt idx="2">
                  <c:v>103.89610389610388</c:v>
                </c:pt>
                <c:pt idx="3">
                  <c:v>207.79220779220776</c:v>
                </c:pt>
                <c:pt idx="4">
                  <c:v>415.58441558441552</c:v>
                </c:pt>
                <c:pt idx="5">
                  <c:v>831.16883116883105</c:v>
                </c:pt>
                <c:pt idx="6">
                  <c:v>1662.3376623376621</c:v>
                </c:pt>
                <c:pt idx="7">
                  <c:v>3324.6753246753242</c:v>
                </c:pt>
                <c:pt idx="8">
                  <c:v>6649.3506493506484</c:v>
                </c:pt>
                <c:pt idx="9">
                  <c:v>13298.701298701297</c:v>
                </c:pt>
                <c:pt idx="10">
                  <c:v>26597.402597402594</c:v>
                </c:pt>
                <c:pt idx="11">
                  <c:v>53194.805194805187</c:v>
                </c:pt>
                <c:pt idx="12">
                  <c:v>106389.61038961037</c:v>
                </c:pt>
                <c:pt idx="13">
                  <c:v>212779.22077922075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43885.653722106479</c:v>
                </c:pt>
                <c:pt idx="1">
                  <c:v>43888.653722106479</c:v>
                </c:pt>
                <c:pt idx="2">
                  <c:v>43891.653722106479</c:v>
                </c:pt>
                <c:pt idx="3">
                  <c:v>43894.653722106479</c:v>
                </c:pt>
                <c:pt idx="4">
                  <c:v>43897.653722106479</c:v>
                </c:pt>
                <c:pt idx="5">
                  <c:v>43900.653722106479</c:v>
                </c:pt>
                <c:pt idx="6">
                  <c:v>43903.653722106479</c:v>
                </c:pt>
                <c:pt idx="7">
                  <c:v>43906.653722106479</c:v>
                </c:pt>
                <c:pt idx="8">
                  <c:v>43909.653722106479</c:v>
                </c:pt>
                <c:pt idx="9">
                  <c:v>43912.653722106479</c:v>
                </c:pt>
                <c:pt idx="10">
                  <c:v>43915.653722106479</c:v>
                </c:pt>
                <c:pt idx="11">
                  <c:v>43918.653722106479</c:v>
                </c:pt>
                <c:pt idx="12">
                  <c:v>43921.653722106479</c:v>
                </c:pt>
                <c:pt idx="13">
                  <c:v>43924.653722106479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43885.653722106479</c:v>
                </c:pt>
                <c:pt idx="1">
                  <c:v>43888.653722106479</c:v>
                </c:pt>
                <c:pt idx="2">
                  <c:v>43891.653722106479</c:v>
                </c:pt>
                <c:pt idx="3">
                  <c:v>43894.653722106479</c:v>
                </c:pt>
                <c:pt idx="4">
                  <c:v>43897.653722106479</c:v>
                </c:pt>
                <c:pt idx="5">
                  <c:v>43900.653722106479</c:v>
                </c:pt>
                <c:pt idx="6">
                  <c:v>43903.653722106479</c:v>
                </c:pt>
                <c:pt idx="7">
                  <c:v>43906.653722106479</c:v>
                </c:pt>
                <c:pt idx="8">
                  <c:v>43909.653722106479</c:v>
                </c:pt>
                <c:pt idx="9">
                  <c:v>43912.653722106479</c:v>
                </c:pt>
                <c:pt idx="10">
                  <c:v>43915.653722106479</c:v>
                </c:pt>
                <c:pt idx="11">
                  <c:v>43918.653722106479</c:v>
                </c:pt>
                <c:pt idx="12">
                  <c:v>43921.653722106479</c:v>
                </c:pt>
                <c:pt idx="13">
                  <c:v>43924.653722106479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43885.653722106479</c:v>
                </c:pt>
                <c:pt idx="1">
                  <c:v>43888.653722106479</c:v>
                </c:pt>
                <c:pt idx="2">
                  <c:v>43891.653722106479</c:v>
                </c:pt>
                <c:pt idx="3">
                  <c:v>43894.653722106479</c:v>
                </c:pt>
                <c:pt idx="4">
                  <c:v>43897.653722106479</c:v>
                </c:pt>
                <c:pt idx="5">
                  <c:v>43900.653722106479</c:v>
                </c:pt>
                <c:pt idx="6">
                  <c:v>43903.653722106479</c:v>
                </c:pt>
                <c:pt idx="7">
                  <c:v>43906.653722106479</c:v>
                </c:pt>
                <c:pt idx="8">
                  <c:v>43909.653722106479</c:v>
                </c:pt>
                <c:pt idx="9">
                  <c:v>43912.653722106479</c:v>
                </c:pt>
                <c:pt idx="10">
                  <c:v>43915.653722106479</c:v>
                </c:pt>
                <c:pt idx="11">
                  <c:v>43918.653722106479</c:v>
                </c:pt>
                <c:pt idx="12">
                  <c:v>43921.653722106479</c:v>
                </c:pt>
                <c:pt idx="13">
                  <c:v>43924.653722106479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60.606060606060602</c:v>
                </c:pt>
                <c:pt idx="3">
                  <c:v>121.2121212121212</c:v>
                </c:pt>
                <c:pt idx="4">
                  <c:v>196.36363636363637</c:v>
                </c:pt>
                <c:pt idx="5">
                  <c:v>392.72727272727275</c:v>
                </c:pt>
                <c:pt idx="6">
                  <c:v>785.4545454545455</c:v>
                </c:pt>
                <c:pt idx="7">
                  <c:v>1521.818181818182</c:v>
                </c:pt>
                <c:pt idx="8">
                  <c:v>3043.636363636364</c:v>
                </c:pt>
                <c:pt idx="9">
                  <c:v>6087.2727272727279</c:v>
                </c:pt>
                <c:pt idx="10">
                  <c:v>12174.545454545456</c:v>
                </c:pt>
                <c:pt idx="11">
                  <c:v>24349.090909090912</c:v>
                </c:pt>
                <c:pt idx="12">
                  <c:v>48747.272727272728</c:v>
                </c:pt>
                <c:pt idx="13">
                  <c:v>97494.545454545456</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43885.653722106479</c:v>
                </c:pt>
                <c:pt idx="1">
                  <c:v>43888.653722106479</c:v>
                </c:pt>
                <c:pt idx="2">
                  <c:v>43891.653722106479</c:v>
                </c:pt>
                <c:pt idx="3">
                  <c:v>43894.653722106479</c:v>
                </c:pt>
                <c:pt idx="4">
                  <c:v>43897.653722106479</c:v>
                </c:pt>
                <c:pt idx="5">
                  <c:v>43900.653722106479</c:v>
                </c:pt>
                <c:pt idx="6">
                  <c:v>43903.653722106479</c:v>
                </c:pt>
                <c:pt idx="7">
                  <c:v>43906.653722106479</c:v>
                </c:pt>
                <c:pt idx="8">
                  <c:v>43909.653722106479</c:v>
                </c:pt>
                <c:pt idx="9">
                  <c:v>43912.653722106479</c:v>
                </c:pt>
                <c:pt idx="10">
                  <c:v>43915.653722106479</c:v>
                </c:pt>
                <c:pt idx="11">
                  <c:v>43918.653722106479</c:v>
                </c:pt>
                <c:pt idx="12">
                  <c:v>43921.653722106479</c:v>
                </c:pt>
                <c:pt idx="13">
                  <c:v>43924.653722106479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46.060606060606055</c:v>
                </c:pt>
                <c:pt idx="5">
                  <c:v>92.12121212121211</c:v>
                </c:pt>
                <c:pt idx="6">
                  <c:v>135.75757575757575</c:v>
                </c:pt>
                <c:pt idx="7">
                  <c:v>271.5151515151515</c:v>
                </c:pt>
                <c:pt idx="8">
                  <c:v>543.030303030303</c:v>
                </c:pt>
                <c:pt idx="9">
                  <c:v>1086.060606060606</c:v>
                </c:pt>
                <c:pt idx="10">
                  <c:v>2172.121212121212</c:v>
                </c:pt>
                <c:pt idx="11">
                  <c:v>4344.242424242424</c:v>
                </c:pt>
                <c:pt idx="12">
                  <c:v>8688.484848484848</c:v>
                </c:pt>
                <c:pt idx="13">
                  <c:v>17376.969696969696</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43885.653722106479</c:v>
                </c:pt>
                <c:pt idx="1">
                  <c:v>43888.653722106479</c:v>
                </c:pt>
                <c:pt idx="2">
                  <c:v>43891.653722106479</c:v>
                </c:pt>
                <c:pt idx="3">
                  <c:v>43894.653722106479</c:v>
                </c:pt>
                <c:pt idx="4">
                  <c:v>43897.653722106479</c:v>
                </c:pt>
                <c:pt idx="5">
                  <c:v>43900.653722106479</c:v>
                </c:pt>
                <c:pt idx="6">
                  <c:v>43903.653722106479</c:v>
                </c:pt>
                <c:pt idx="7">
                  <c:v>43906.653722106479</c:v>
                </c:pt>
                <c:pt idx="8">
                  <c:v>43909.653722106479</c:v>
                </c:pt>
                <c:pt idx="9">
                  <c:v>43912.653722106479</c:v>
                </c:pt>
                <c:pt idx="10">
                  <c:v>43915.653722106479</c:v>
                </c:pt>
                <c:pt idx="11">
                  <c:v>43918.653722106479</c:v>
                </c:pt>
                <c:pt idx="12">
                  <c:v>43921.653722106479</c:v>
                </c:pt>
                <c:pt idx="13">
                  <c:v>43924.653722106479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48.484848484848484</c:v>
                </c:pt>
                <c:pt idx="7">
                  <c:v>96.969696969696969</c:v>
                </c:pt>
                <c:pt idx="8">
                  <c:v>193.93939393939394</c:v>
                </c:pt>
                <c:pt idx="9">
                  <c:v>387.87878787878788</c:v>
                </c:pt>
                <c:pt idx="10">
                  <c:v>775.75757575757575</c:v>
                </c:pt>
                <c:pt idx="11">
                  <c:v>1551.5151515151515</c:v>
                </c:pt>
                <c:pt idx="12">
                  <c:v>3103.030303030303</c:v>
                </c:pt>
                <c:pt idx="13">
                  <c:v>6206.060606060606</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Projections!$G$27:$AA$27</c15:sqref>
                  </c15:fullRef>
                </c:ext>
              </c:extLst>
              <c:f>Projections!$G$27:$Z$27</c:f>
              <c:numCache>
                <c:formatCode>#,##0_ ;[Red]\-#,##0\ </c:formatCode>
                <c:ptCount val="20"/>
                <c:pt idx="0">
                  <c:v>3.1560616297070365</c:v>
                </c:pt>
                <c:pt idx="1">
                  <c:v>4.5905465095103892</c:v>
                </c:pt>
                <c:pt idx="2">
                  <c:v>6.5205368224071405</c:v>
                </c:pt>
                <c:pt idx="3">
                  <c:v>13.846558234822977</c:v>
                </c:pt>
                <c:pt idx="4">
                  <c:v>24.304135205098877</c:v>
                </c:pt>
                <c:pt idx="5">
                  <c:v>46.201171875000007</c:v>
                </c:pt>
                <c:pt idx="6">
                  <c:v>77.164106827176639</c:v>
                </c:pt>
                <c:pt idx="7">
                  <c:v>239.2841574929042</c:v>
                </c:pt>
                <c:pt idx="8">
                  <c:v>3087.1937974069601</c:v>
                </c:pt>
                <c:pt idx="9">
                  <c:v>4249.0721851990547</c:v>
                </c:pt>
                <c:pt idx="10">
                  <c:v>7101.9307722010208</c:v>
                </c:pt>
                <c:pt idx="11">
                  <c:v>12791.955972064306</c:v>
                </c:pt>
                <c:pt idx="12">
                  <c:v>23887.824868684143</c:v>
                </c:pt>
                <c:pt idx="13">
                  <c:v>45517.470884629867</c:v>
                </c:pt>
                <c:pt idx="14">
                  <c:v>87815.576637831749</c:v>
                </c:pt>
                <c:pt idx="15">
                  <c:v>170812.14866259095</c:v>
                </c:pt>
                <c:pt idx="16">
                  <c:v>334142.58729442954</c:v>
                </c:pt>
                <c:pt idx="17">
                  <c:v>656335.38281491096</c:v>
                </c:pt>
                <c:pt idx="18">
                  <c:v>1293147.1327132641</c:v>
                </c:pt>
                <c:pt idx="19">
                  <c:v>2553800.2187601607</c:v>
                </c:pt>
              </c:numCache>
            </c:numRef>
          </c:val>
          <c:smooth val="0"/>
          <c:extLst>
            <c:ext xmlns:c16="http://schemas.microsoft.com/office/drawing/2014/chart" uri="{C3380CC4-5D6E-409C-BE32-E72D297353CC}">
              <c16:uniqueId val="{00000003-5231-4BE2-97ED-54F0C3DB105C}"/>
            </c:ext>
          </c:extLst>
        </c:ser>
        <c:ser>
          <c:idx val="2"/>
          <c:order val="1"/>
          <c:tx>
            <c:strRef>
              <c:f>Projections!$A$28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Projections!$G$28:$AA$28</c15:sqref>
                  </c15:fullRef>
                </c:ext>
              </c:extLst>
              <c:f>Projections!$G$28:$Z$28</c:f>
              <c:numCache>
                <c:formatCode>#,##0_ ;[Red]\-#,##0\ </c:formatCode>
                <c:ptCount val="20"/>
                <c:pt idx="0">
                  <c:v>3.1560616297070365</c:v>
                </c:pt>
                <c:pt idx="1">
                  <c:v>4.5905465095103892</c:v>
                </c:pt>
                <c:pt idx="2">
                  <c:v>6.5205368224071405</c:v>
                </c:pt>
                <c:pt idx="3">
                  <c:v>13.846558234822977</c:v>
                </c:pt>
                <c:pt idx="4">
                  <c:v>22.419707484218328</c:v>
                </c:pt>
                <c:pt idx="5">
                  <c:v>42.557340760572906</c:v>
                </c:pt>
                <c:pt idx="6">
                  <c:v>71.695356827176639</c:v>
                </c:pt>
                <c:pt idx="7">
                  <c:v>224.85890216759663</c:v>
                </c:pt>
                <c:pt idx="8">
                  <c:v>2855.3430328751065</c:v>
                </c:pt>
                <c:pt idx="9">
                  <c:v>3846.8057841136033</c:v>
                </c:pt>
                <c:pt idx="10">
                  <c:v>5502.1352871985555</c:v>
                </c:pt>
                <c:pt idx="11">
                  <c:v>10904.013851146066</c:v>
                </c:pt>
                <c:pt idx="12">
                  <c:v>19767.944700668948</c:v>
                </c:pt>
                <c:pt idx="13">
                  <c:v>36982.23731453628</c:v>
                </c:pt>
                <c:pt idx="14">
                  <c:v>70432.069701661589</c:v>
                </c:pt>
                <c:pt idx="15">
                  <c:v>135668.7440131605</c:v>
                </c:pt>
                <c:pt idx="16">
                  <c:v>263363.09888110583</c:v>
                </c:pt>
                <c:pt idx="17">
                  <c:v>514090.91948759218</c:v>
                </c:pt>
                <c:pt idx="18">
                  <c:v>1007659.5454411795</c:v>
                </c:pt>
                <c:pt idx="19">
                  <c:v>1981316.8979636517</c:v>
                </c:pt>
              </c:numCache>
            </c:numRef>
          </c:val>
          <c:smooth val="0"/>
          <c:extLst>
            <c:ext xmlns:c16="http://schemas.microsoft.com/office/drawing/2014/chart" uri="{C3380CC4-5D6E-409C-BE32-E72D297353CC}">
              <c16:uniqueId val="{00000002-9381-4A4E-BB43-DCD8EC2F4E00}"/>
            </c:ext>
          </c:extLst>
        </c:ser>
        <c:ser>
          <c:idx val="0"/>
          <c:order val="2"/>
          <c:tx>
            <c:strRef>
              <c:f>Projections!$A$29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Projections!$G$29:$AA$29</c15:sqref>
                  </c15:fullRef>
                </c:ext>
              </c:extLst>
              <c:f>Projections!$G$29:$Z$29</c:f>
              <c:numCache>
                <c:formatCode>#,##0_ ;[Red]\-#,##0\ </c:formatCode>
                <c:ptCount val="20"/>
                <c:pt idx="0">
                  <c:v>0.43112556312798839</c:v>
                </c:pt>
                <c:pt idx="1">
                  <c:v>0.627079626820088</c:v>
                </c:pt>
                <c:pt idx="2">
                  <c:v>0.91209821918187373</c:v>
                </c:pt>
                <c:pt idx="3">
                  <c:v>1.3266627169079257</c:v>
                </c:pt>
                <c:pt idx="4">
                  <c:v>1.88442772088055</c:v>
                </c:pt>
                <c:pt idx="5">
                  <c:v>3.6438311144270994</c:v>
                </c:pt>
                <c:pt idx="6">
                  <c:v>5.46875</c:v>
                </c:pt>
                <c:pt idx="7">
                  <c:v>14.425255325307573</c:v>
                </c:pt>
                <c:pt idx="8">
                  <c:v>232.5885023838984</c:v>
                </c:pt>
                <c:pt idx="9">
                  <c:v>445.50629441016395</c:v>
                </c:pt>
                <c:pt idx="10">
                  <c:v>871.24516564659075</c:v>
                </c:pt>
                <c:pt idx="11">
                  <c:v>1719.8346425815785</c:v>
                </c:pt>
                <c:pt idx="12">
                  <c:v>3410.3024355018256</c:v>
                </c:pt>
                <c:pt idx="13">
                  <c:v>6779.4479538830064</c:v>
                </c:pt>
                <c:pt idx="14">
                  <c:v>13498.010339834891</c:v>
                </c:pt>
                <c:pt idx="15">
                  <c:v>26902.299447425212</c:v>
                </c:pt>
                <c:pt idx="16">
                  <c:v>53655.875188440077</c:v>
                </c:pt>
                <c:pt idx="17">
                  <c:v>107069.9938222222</c:v>
                </c:pt>
                <c:pt idx="18">
                  <c:v>213739.25400496283</c:v>
                </c:pt>
                <c:pt idx="19">
                  <c:v>426803.43672768486</c:v>
                </c:pt>
              </c:numCache>
            </c:numRef>
          </c:val>
          <c:smooth val="0"/>
          <c:extLst>
            <c:ext xmlns:c16="http://schemas.microsoft.com/office/drawing/2014/chart" uri="{C3380CC4-5D6E-409C-BE32-E72D297353CC}">
              <c16:uniqueId val="{00000000-9381-4A4E-BB43-DCD8EC2F4E00}"/>
            </c:ext>
          </c:extLst>
        </c:ser>
        <c:ser>
          <c:idx val="4"/>
          <c:order val="3"/>
          <c:tx>
            <c:strRef>
              <c:f>Projections!$A$30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Projections!$G$30:$AA$30</c15:sqref>
                  </c15:fullRef>
                </c:ext>
              </c:extLst>
              <c:f>Projections!$G$30:$Z$30</c:f>
              <c:numCache>
                <c:formatCode>#,##0_ ;[Red]\-#,##0\ </c:formatCode>
                <c:ptCount val="20"/>
                <c:pt idx="0">
                  <c:v>0.43112556312798839</c:v>
                </c:pt>
                <c:pt idx="1">
                  <c:v>0.627079626820088</c:v>
                </c:pt>
                <c:pt idx="2">
                  <c:v>0.91209821918187373</c:v>
                </c:pt>
                <c:pt idx="3">
                  <c:v>1.3266627169079257</c:v>
                </c:pt>
                <c:pt idx="4">
                  <c:v>1.88442772088055</c:v>
                </c:pt>
                <c:pt idx="5">
                  <c:v>3.6438311144270994</c:v>
                </c:pt>
                <c:pt idx="6">
                  <c:v>5.46875</c:v>
                </c:pt>
                <c:pt idx="7">
                  <c:v>14.425255325307573</c:v>
                </c:pt>
                <c:pt idx="8">
                  <c:v>227.47576453185357</c:v>
                </c:pt>
                <c:pt idx="9">
                  <c:v>345.40863816016395</c:v>
                </c:pt>
                <c:pt idx="10">
                  <c:v>668.807656005882</c:v>
                </c:pt>
                <c:pt idx="11">
                  <c:v>265.38686629939752</c:v>
                </c:pt>
                <c:pt idx="12">
                  <c:v>1085.9951693557605</c:v>
                </c:pt>
                <c:pt idx="13">
                  <c:v>2701.0773043790405</c:v>
                </c:pt>
                <c:pt idx="14">
                  <c:v>6011.5115828529588</c:v>
                </c:pt>
                <c:pt idx="15">
                  <c:v>12808.66010232147</c:v>
                </c:pt>
                <c:pt idx="16">
                  <c:v>26709.059753143614</c:v>
                </c:pt>
                <c:pt idx="17">
                  <c:v>55018.410237303346</c:v>
                </c:pt>
                <c:pt idx="18">
                  <c:v>112478.11876094832</c:v>
                </c:pt>
                <c:pt idx="19">
                  <c:v>228797.69857890368</c:v>
                </c:pt>
              </c:numCache>
            </c:numRef>
          </c:val>
          <c:smooth val="0"/>
          <c:extLst>
            <c:ext xmlns:c16="http://schemas.microsoft.com/office/drawing/2014/chart" uri="{C3380CC4-5D6E-409C-BE32-E72D297353CC}">
              <c16:uniqueId val="{00000003-9381-4A4E-BB43-DCD8EC2F4E00}"/>
            </c:ext>
          </c:extLst>
        </c:ser>
        <c:ser>
          <c:idx val="1"/>
          <c:order val="4"/>
          <c:tx>
            <c:strRef>
              <c:f>Projections!$A$31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Projections!$G$31:$AA$31</c15:sqref>
                  </c15:fullRef>
                </c:ext>
              </c:extLst>
              <c:f>Projections!$G$31:$Z$31</c:f>
              <c:numCache>
                <c:formatCode>#,##0_ ;[Red]\-#,##0\ </c:formatCode>
                <c:ptCount val="20"/>
                <c:pt idx="0">
                  <c:v>1.09375</c:v>
                </c:pt>
                <c:pt idx="1">
                  <c:v>2.1875</c:v>
                </c:pt>
                <c:pt idx="2">
                  <c:v>4.375</c:v>
                </c:pt>
                <c:pt idx="3">
                  <c:v>8.75</c:v>
                </c:pt>
                <c:pt idx="4">
                  <c:v>17.5</c:v>
                </c:pt>
                <c:pt idx="5">
                  <c:v>35</c:v>
                </c:pt>
                <c:pt idx="6">
                  <c:v>70</c:v>
                </c:pt>
                <c:pt idx="7">
                  <c:v>140</c:v>
                </c:pt>
                <c:pt idx="8">
                  <c:v>280</c:v>
                </c:pt>
                <c:pt idx="9">
                  <c:v>560</c:v>
                </c:pt>
                <c:pt idx="10">
                  <c:v>1120</c:v>
                </c:pt>
                <c:pt idx="11">
                  <c:v>2240</c:v>
                </c:pt>
                <c:pt idx="12">
                  <c:v>4480</c:v>
                </c:pt>
                <c:pt idx="13">
                  <c:v>8960</c:v>
                </c:pt>
                <c:pt idx="14">
                  <c:v>17920</c:v>
                </c:pt>
                <c:pt idx="15">
                  <c:v>35840</c:v>
                </c:pt>
                <c:pt idx="16">
                  <c:v>71680</c:v>
                </c:pt>
                <c:pt idx="17">
                  <c:v>143360</c:v>
                </c:pt>
                <c:pt idx="18">
                  <c:v>286720</c:v>
                </c:pt>
                <c:pt idx="19">
                  <c:v>573440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Projections!$G$48:$AA$48</c15:sqref>
                  </c15:fullRef>
                </c:ext>
              </c:extLst>
              <c:f>Projections!$G$48:$Z$48</c:f>
              <c:numCache>
                <c:formatCode>#,##0</c:formatCode>
                <c:ptCount val="20"/>
                <c:pt idx="0">
                  <c:v>0.85686515244526296</c:v>
                </c:pt>
                <c:pt idx="1">
                  <c:v>1.7137303048905259</c:v>
                </c:pt>
                <c:pt idx="2">
                  <c:v>3.4274606097810518</c:v>
                </c:pt>
                <c:pt idx="3">
                  <c:v>6.8549212195621037</c:v>
                </c:pt>
                <c:pt idx="4">
                  <c:v>13.709842439124207</c:v>
                </c:pt>
                <c:pt idx="5">
                  <c:v>27.419684878248415</c:v>
                </c:pt>
                <c:pt idx="6">
                  <c:v>54.839369756496829</c:v>
                </c:pt>
                <c:pt idx="7">
                  <c:v>109.67873951299366</c:v>
                </c:pt>
                <c:pt idx="8">
                  <c:v>219.35747902598732</c:v>
                </c:pt>
                <c:pt idx="9">
                  <c:v>438.71495805197463</c:v>
                </c:pt>
                <c:pt idx="10">
                  <c:v>877.42991610394927</c:v>
                </c:pt>
                <c:pt idx="11">
                  <c:v>1754.8598322078985</c:v>
                </c:pt>
                <c:pt idx="12">
                  <c:v>3509.7196644157971</c:v>
                </c:pt>
                <c:pt idx="13">
                  <c:v>7019.4393288315941</c:v>
                </c:pt>
                <c:pt idx="14">
                  <c:v>14038.878657663188</c:v>
                </c:pt>
                <c:pt idx="15">
                  <c:v>28077.757315326377</c:v>
                </c:pt>
                <c:pt idx="16">
                  <c:v>56155.514630652753</c:v>
                </c:pt>
                <c:pt idx="17">
                  <c:v>112311.02926130551</c:v>
                </c:pt>
                <c:pt idx="18">
                  <c:v>224622.05852261101</c:v>
                </c:pt>
                <c:pt idx="19">
                  <c:v>449244.11704522202</c:v>
                </c:pt>
              </c:numCache>
            </c:numRef>
          </c:val>
          <c:smooth val="0"/>
          <c:extLst>
            <c:ext xmlns:c16="http://schemas.microsoft.com/office/drawing/2014/chart" uri="{C3380CC4-5D6E-409C-BE32-E72D297353CC}">
              <c16:uniqueId val="{00000000-04B6-450D-AD81-6BF382C059D1}"/>
            </c:ext>
          </c:extLst>
        </c:ser>
        <c:ser>
          <c:idx val="2"/>
          <c:order val="1"/>
          <c:tx>
            <c:strRef>
              <c:f>Projections!$A$50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Projections!$G$50:$AA$50</c15:sqref>
                  </c15:fullRef>
                </c:ext>
              </c:extLst>
              <c:f>Projections!$G$50:$Z$50</c:f>
              <c:numCache>
                <c:formatCode>#,##0</c:formatCode>
                <c:ptCount val="20"/>
                <c:pt idx="0">
                  <c:v>3.3763044812768572</c:v>
                </c:pt>
                <c:pt idx="1">
                  <c:v>6.7526089625537145</c:v>
                </c:pt>
                <c:pt idx="2">
                  <c:v>13.505217925107429</c:v>
                </c:pt>
                <c:pt idx="3">
                  <c:v>27.010435850214858</c:v>
                </c:pt>
                <c:pt idx="4">
                  <c:v>54.020871700429716</c:v>
                </c:pt>
                <c:pt idx="5">
                  <c:v>108.04174340085943</c:v>
                </c:pt>
                <c:pt idx="6">
                  <c:v>216.08348680171886</c:v>
                </c:pt>
                <c:pt idx="7">
                  <c:v>432.16697360343773</c:v>
                </c:pt>
                <c:pt idx="8">
                  <c:v>864.33394720687545</c:v>
                </c:pt>
                <c:pt idx="9">
                  <c:v>1728.6678944137509</c:v>
                </c:pt>
                <c:pt idx="10">
                  <c:v>3457.3357888275018</c:v>
                </c:pt>
                <c:pt idx="11">
                  <c:v>6914.6715776550036</c:v>
                </c:pt>
                <c:pt idx="12">
                  <c:v>13829.343155310007</c:v>
                </c:pt>
                <c:pt idx="13">
                  <c:v>27658.686310620014</c:v>
                </c:pt>
                <c:pt idx="14">
                  <c:v>55317.372621240029</c:v>
                </c:pt>
                <c:pt idx="15">
                  <c:v>110634.74524248006</c:v>
                </c:pt>
                <c:pt idx="16">
                  <c:v>221269.49048496012</c:v>
                </c:pt>
                <c:pt idx="17">
                  <c:v>442538.98096992023</c:v>
                </c:pt>
                <c:pt idx="18">
                  <c:v>885077.96193984046</c:v>
                </c:pt>
                <c:pt idx="19">
                  <c:v>1770155.9238796809</c:v>
                </c:pt>
              </c:numCache>
            </c:numRef>
          </c:val>
          <c:smooth val="0"/>
          <c:extLst>
            <c:ext xmlns:c16="http://schemas.microsoft.com/office/drawing/2014/chart" uri="{C3380CC4-5D6E-409C-BE32-E72D297353CC}">
              <c16:uniqueId val="{00000002-04B6-450D-AD81-6BF382C059D1}"/>
            </c:ext>
          </c:extLst>
        </c:ser>
        <c:ser>
          <c:idx val="4"/>
          <c:order val="2"/>
          <c:tx>
            <c:strRef>
              <c:f>Projections!$A$52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Projections!$G$52:$AA$52</c15:sqref>
                  </c15:fullRef>
                </c:ext>
              </c:extLst>
              <c:f>Projections!$G$52:$Z$52</c:f>
              <c:numCache>
                <c:formatCode>#,##0</c:formatCode>
                <c:ptCount val="20"/>
                <c:pt idx="0">
                  <c:v>5.2562922038060158</c:v>
                </c:pt>
                <c:pt idx="1">
                  <c:v>10.512584407612032</c:v>
                </c:pt>
                <c:pt idx="2">
                  <c:v>21.025168815224063</c:v>
                </c:pt>
                <c:pt idx="3">
                  <c:v>42.050337630448126</c:v>
                </c:pt>
                <c:pt idx="4">
                  <c:v>84.100675260896253</c:v>
                </c:pt>
                <c:pt idx="5">
                  <c:v>168.20135052179251</c:v>
                </c:pt>
                <c:pt idx="6">
                  <c:v>336.40270104358501</c:v>
                </c:pt>
                <c:pt idx="7">
                  <c:v>672.80540208717002</c:v>
                </c:pt>
                <c:pt idx="8">
                  <c:v>1345.61080417434</c:v>
                </c:pt>
                <c:pt idx="9">
                  <c:v>2691.2216083486801</c:v>
                </c:pt>
                <c:pt idx="10">
                  <c:v>5382.4432166973602</c:v>
                </c:pt>
                <c:pt idx="11">
                  <c:v>10764.88643339472</c:v>
                </c:pt>
                <c:pt idx="12">
                  <c:v>21529.772866789441</c:v>
                </c:pt>
                <c:pt idx="13">
                  <c:v>43059.545733578881</c:v>
                </c:pt>
                <c:pt idx="14">
                  <c:v>86119.091467157763</c:v>
                </c:pt>
                <c:pt idx="15">
                  <c:v>172238.18293431553</c:v>
                </c:pt>
                <c:pt idx="16">
                  <c:v>344476.36586863105</c:v>
                </c:pt>
                <c:pt idx="17">
                  <c:v>688952.7317372621</c:v>
                </c:pt>
                <c:pt idx="18">
                  <c:v>1377905.4634745242</c:v>
                </c:pt>
                <c:pt idx="19">
                  <c:v>2755810.9269490484</c:v>
                </c:pt>
              </c:numCache>
            </c:numRef>
          </c:val>
          <c:smooth val="0"/>
          <c:extLst>
            <c:ext xmlns:c16="http://schemas.microsoft.com/office/drawing/2014/chart" uri="{C3380CC4-5D6E-409C-BE32-E72D297353CC}">
              <c16:uniqueId val="{00000004-04B6-450D-AD81-6BF382C059D1}"/>
            </c:ext>
          </c:extLst>
        </c:ser>
        <c:ser>
          <c:idx val="6"/>
          <c:order val="3"/>
          <c:tx>
            <c:strRef>
              <c:f>Projections!$A$54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Projections!$G$54:$AA$54</c15:sqref>
                  </c15:fullRef>
                </c:ext>
              </c:extLst>
              <c:f>Projections!$G$54:$Z$54</c:f>
              <c:numCache>
                <c:formatCode>#,##0</c:formatCode>
                <c:ptCount val="20"/>
                <c:pt idx="0">
                  <c:v>4.8598322078985063</c:v>
                </c:pt>
                <c:pt idx="1">
                  <c:v>9.7196644157970127</c:v>
                </c:pt>
                <c:pt idx="2">
                  <c:v>19.439328831594025</c:v>
                </c:pt>
                <c:pt idx="3">
                  <c:v>38.878657663188051</c:v>
                </c:pt>
                <c:pt idx="4">
                  <c:v>77.757315326376101</c:v>
                </c:pt>
                <c:pt idx="5">
                  <c:v>155.5146306527522</c:v>
                </c:pt>
                <c:pt idx="6">
                  <c:v>311.02926130550441</c:v>
                </c:pt>
                <c:pt idx="7">
                  <c:v>622.05852261100881</c:v>
                </c:pt>
                <c:pt idx="8">
                  <c:v>1244.1170452220176</c:v>
                </c:pt>
                <c:pt idx="9">
                  <c:v>2488.2340904440352</c:v>
                </c:pt>
                <c:pt idx="10">
                  <c:v>4976.4681808880705</c:v>
                </c:pt>
                <c:pt idx="11">
                  <c:v>9952.936361776141</c:v>
                </c:pt>
                <c:pt idx="12">
                  <c:v>19905.872723552282</c:v>
                </c:pt>
                <c:pt idx="13">
                  <c:v>39811.745447104564</c:v>
                </c:pt>
                <c:pt idx="14">
                  <c:v>79623.490894209128</c:v>
                </c:pt>
                <c:pt idx="15">
                  <c:v>159246.98178841826</c:v>
                </c:pt>
                <c:pt idx="16">
                  <c:v>318493.96357683651</c:v>
                </c:pt>
                <c:pt idx="17">
                  <c:v>636987.92715367302</c:v>
                </c:pt>
                <c:pt idx="18">
                  <c:v>1273975.854307346</c:v>
                </c:pt>
                <c:pt idx="19">
                  <c:v>2547951.7086146921</c:v>
                </c:pt>
              </c:numCache>
            </c:numRef>
          </c:val>
          <c:smooth val="0"/>
          <c:extLst>
            <c:ext xmlns:c16="http://schemas.microsoft.com/office/drawing/2014/chart" uri="{C3380CC4-5D6E-409C-BE32-E72D297353CC}">
              <c16:uniqueId val="{00000006-04B6-450D-AD81-6BF382C059D1}"/>
            </c:ext>
          </c:extLst>
        </c:ser>
        <c:ser>
          <c:idx val="8"/>
          <c:order val="4"/>
          <c:tx>
            <c:strRef>
              <c:f>Projections!$A$56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Projections!$G$56:$AA$56</c15:sqref>
                  </c15:fullRef>
                </c:ext>
              </c:extLst>
              <c:f>Projections!$G$56:$Z$56</c:f>
              <c:numCache>
                <c:formatCode>#,##0</c:formatCode>
                <c:ptCount val="20"/>
                <c:pt idx="0">
                  <c:v>4.0860957642725602</c:v>
                </c:pt>
                <c:pt idx="1">
                  <c:v>8.1721915285451203</c:v>
                </c:pt>
                <c:pt idx="2">
                  <c:v>16.344383057090241</c:v>
                </c:pt>
                <c:pt idx="3">
                  <c:v>32.688766114180481</c:v>
                </c:pt>
                <c:pt idx="4">
                  <c:v>65.377532228360963</c:v>
                </c:pt>
                <c:pt idx="5">
                  <c:v>130.75506445672193</c:v>
                </c:pt>
                <c:pt idx="6">
                  <c:v>261.51012891344385</c:v>
                </c:pt>
                <c:pt idx="7">
                  <c:v>523.0202578268877</c:v>
                </c:pt>
                <c:pt idx="8">
                  <c:v>1046.0405156537754</c:v>
                </c:pt>
                <c:pt idx="9">
                  <c:v>2092.0810313075508</c:v>
                </c:pt>
                <c:pt idx="10">
                  <c:v>4184.1620626151016</c:v>
                </c:pt>
                <c:pt idx="11">
                  <c:v>8368.3241252302032</c:v>
                </c:pt>
                <c:pt idx="12">
                  <c:v>16736.648250460406</c:v>
                </c:pt>
                <c:pt idx="13">
                  <c:v>33473.296500920813</c:v>
                </c:pt>
                <c:pt idx="14">
                  <c:v>66946.593001841626</c:v>
                </c:pt>
                <c:pt idx="15">
                  <c:v>133893.18600368325</c:v>
                </c:pt>
                <c:pt idx="16">
                  <c:v>267786.3720073665</c:v>
                </c:pt>
                <c:pt idx="17">
                  <c:v>535572.74401473301</c:v>
                </c:pt>
                <c:pt idx="18">
                  <c:v>1071145.488029466</c:v>
                </c:pt>
                <c:pt idx="19">
                  <c:v>2142290.976058932</c:v>
                </c:pt>
              </c:numCache>
            </c:numRef>
          </c:val>
          <c:smooth val="0"/>
          <c:extLst>
            <c:ext xmlns:c16="http://schemas.microsoft.com/office/drawing/2014/chart" uri="{C3380CC4-5D6E-409C-BE32-E72D297353CC}">
              <c16:uniqueId val="{00000008-04B6-450D-AD81-6BF382C059D1}"/>
            </c:ext>
          </c:extLst>
        </c:ser>
        <c:ser>
          <c:idx val="10"/>
          <c:order val="5"/>
          <c:tx>
            <c:strRef>
              <c:f>Projections!$A$58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Projections!$G$58:$AA$58</c15:sqref>
                  </c15:fullRef>
                </c:ext>
              </c:extLst>
              <c:f>Projections!$G$58:$Z$58</c:f>
              <c:numCache>
                <c:formatCode>#,##0</c:formatCode>
                <c:ptCount val="20"/>
                <c:pt idx="0">
                  <c:v>4.8662267239615309</c:v>
                </c:pt>
                <c:pt idx="1">
                  <c:v>9.7324534479230618</c:v>
                </c:pt>
                <c:pt idx="2">
                  <c:v>19.464906895846124</c:v>
                </c:pt>
                <c:pt idx="3">
                  <c:v>38.929813791692247</c:v>
                </c:pt>
                <c:pt idx="4">
                  <c:v>77.859627583384494</c:v>
                </c:pt>
                <c:pt idx="5">
                  <c:v>155.71925516676899</c:v>
                </c:pt>
                <c:pt idx="6">
                  <c:v>311.43851033353798</c:v>
                </c:pt>
                <c:pt idx="7">
                  <c:v>622.87702066707595</c:v>
                </c:pt>
                <c:pt idx="8">
                  <c:v>1245.7540413341519</c:v>
                </c:pt>
                <c:pt idx="9">
                  <c:v>2491.5080826683038</c:v>
                </c:pt>
                <c:pt idx="10">
                  <c:v>4983.0161653366076</c:v>
                </c:pt>
                <c:pt idx="11">
                  <c:v>9966.0323306732153</c:v>
                </c:pt>
                <c:pt idx="12">
                  <c:v>19932.064661346431</c:v>
                </c:pt>
                <c:pt idx="13">
                  <c:v>39864.129322692861</c:v>
                </c:pt>
                <c:pt idx="14">
                  <c:v>79728.258645385722</c:v>
                </c:pt>
                <c:pt idx="15">
                  <c:v>159456.51729077144</c:v>
                </c:pt>
                <c:pt idx="16">
                  <c:v>318913.03458154289</c:v>
                </c:pt>
                <c:pt idx="17">
                  <c:v>637826.06916308578</c:v>
                </c:pt>
                <c:pt idx="18">
                  <c:v>1275652.1383261716</c:v>
                </c:pt>
                <c:pt idx="19">
                  <c:v>2551304.2766523431</c:v>
                </c:pt>
              </c:numCache>
            </c:numRef>
          </c:val>
          <c:smooth val="0"/>
          <c:extLst>
            <c:ext xmlns:c16="http://schemas.microsoft.com/office/drawing/2014/chart" uri="{C3380CC4-5D6E-409C-BE32-E72D297353CC}">
              <c16:uniqueId val="{0000000A-04B6-450D-AD81-6BF382C059D1}"/>
            </c:ext>
          </c:extLst>
        </c:ser>
        <c:ser>
          <c:idx val="12"/>
          <c:order val="6"/>
          <c:tx>
            <c:strRef>
              <c:f>Projections!$A$60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Projections!$G$60:$AA$60</c15:sqref>
                  </c15:fullRef>
                </c:ext>
              </c:extLst>
              <c:f>Projections!$G$60:$Z$60</c:f>
              <c:numCache>
                <c:formatCode>#,##0</c:formatCode>
                <c:ptCount val="20"/>
                <c:pt idx="0">
                  <c:v>6.8101596071209327</c:v>
                </c:pt>
                <c:pt idx="1">
                  <c:v>13.620319214241865</c:v>
                </c:pt>
                <c:pt idx="2">
                  <c:v>27.240638428483731</c:v>
                </c:pt>
                <c:pt idx="3">
                  <c:v>54.481276856967462</c:v>
                </c:pt>
                <c:pt idx="4">
                  <c:v>108.96255371393492</c:v>
                </c:pt>
                <c:pt idx="5">
                  <c:v>217.92510742786985</c:v>
                </c:pt>
                <c:pt idx="6">
                  <c:v>435.85021485573969</c:v>
                </c:pt>
                <c:pt idx="7">
                  <c:v>871.70042971147939</c:v>
                </c:pt>
                <c:pt idx="8">
                  <c:v>1743.4008594229588</c:v>
                </c:pt>
                <c:pt idx="9">
                  <c:v>3486.8017188459175</c:v>
                </c:pt>
                <c:pt idx="10">
                  <c:v>6973.6034376918351</c:v>
                </c:pt>
                <c:pt idx="11">
                  <c:v>13947.20687538367</c:v>
                </c:pt>
                <c:pt idx="12">
                  <c:v>27894.41375076734</c:v>
                </c:pt>
                <c:pt idx="13">
                  <c:v>55788.827501534681</c:v>
                </c:pt>
                <c:pt idx="14">
                  <c:v>111577.65500306936</c:v>
                </c:pt>
                <c:pt idx="15">
                  <c:v>223155.31000613872</c:v>
                </c:pt>
                <c:pt idx="16">
                  <c:v>446310.62001227745</c:v>
                </c:pt>
                <c:pt idx="17">
                  <c:v>892621.24002455489</c:v>
                </c:pt>
                <c:pt idx="18">
                  <c:v>1785242.4800491098</c:v>
                </c:pt>
                <c:pt idx="19">
                  <c:v>3570484.9600982196</c:v>
                </c:pt>
              </c:numCache>
            </c:numRef>
          </c:val>
          <c:smooth val="0"/>
          <c:extLst>
            <c:ext xmlns:c16="http://schemas.microsoft.com/office/drawing/2014/chart" uri="{C3380CC4-5D6E-409C-BE32-E72D297353CC}">
              <c16:uniqueId val="{0000000C-04B6-450D-AD81-6BF382C059D1}"/>
            </c:ext>
          </c:extLst>
        </c:ser>
        <c:ser>
          <c:idx val="14"/>
          <c:order val="7"/>
          <c:tx>
            <c:strRef>
              <c:f>Projections!$A$62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Projections!$G$62:$AA$62</c15:sqref>
                  </c15:fullRef>
                </c:ext>
              </c:extLst>
              <c:f>Projections!$G$62:$Z$62</c:f>
              <c:numCache>
                <c:formatCode>#,##0</c:formatCode>
                <c:ptCount val="20"/>
                <c:pt idx="0">
                  <c:v>0.86325966850828728</c:v>
                </c:pt>
                <c:pt idx="1">
                  <c:v>1.7265193370165746</c:v>
                </c:pt>
                <c:pt idx="2">
                  <c:v>3.4530386740331491</c:v>
                </c:pt>
                <c:pt idx="3">
                  <c:v>6.9060773480662982</c:v>
                </c:pt>
                <c:pt idx="4">
                  <c:v>13.812154696132596</c:v>
                </c:pt>
                <c:pt idx="5">
                  <c:v>27.624309392265193</c:v>
                </c:pt>
                <c:pt idx="6">
                  <c:v>55.248618784530386</c:v>
                </c:pt>
                <c:pt idx="7">
                  <c:v>110.49723756906077</c:v>
                </c:pt>
                <c:pt idx="8">
                  <c:v>220.99447513812154</c:v>
                </c:pt>
                <c:pt idx="9">
                  <c:v>441.98895027624309</c:v>
                </c:pt>
                <c:pt idx="10">
                  <c:v>883.97790055248618</c:v>
                </c:pt>
                <c:pt idx="11">
                  <c:v>1767.9558011049724</c:v>
                </c:pt>
                <c:pt idx="12">
                  <c:v>3535.9116022099447</c:v>
                </c:pt>
                <c:pt idx="13">
                  <c:v>7071.8232044198894</c:v>
                </c:pt>
                <c:pt idx="14">
                  <c:v>14143.646408839779</c:v>
                </c:pt>
                <c:pt idx="15">
                  <c:v>28287.292817679558</c:v>
                </c:pt>
                <c:pt idx="16">
                  <c:v>56574.585635359115</c:v>
                </c:pt>
                <c:pt idx="17">
                  <c:v>113149.17127071823</c:v>
                </c:pt>
                <c:pt idx="18">
                  <c:v>226298.34254143646</c:v>
                </c:pt>
                <c:pt idx="19">
                  <c:v>452596.68508287292</c:v>
                </c:pt>
              </c:numCache>
            </c:numRef>
          </c:val>
          <c:smooth val="0"/>
          <c:extLst>
            <c:ext xmlns:c16="http://schemas.microsoft.com/office/drawing/2014/chart" uri="{C3380CC4-5D6E-409C-BE32-E72D297353CC}">
              <c16:uniqueId val="{0000000E-04B6-450D-AD81-6BF382C059D1}"/>
            </c:ext>
          </c:extLst>
        </c:ser>
        <c:ser>
          <c:idx val="16"/>
          <c:order val="8"/>
          <c:tx>
            <c:strRef>
              <c:f>Projections!$A$64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Projections!$G$64:$AA$64</c15:sqref>
                  </c15:fullRef>
                </c:ext>
              </c:extLst>
              <c:f>Projections!$G$64:$Z$64</c:f>
              <c:numCache>
                <c:formatCode>#,##0</c:formatCode>
                <c:ptCount val="20"/>
                <c:pt idx="0">
                  <c:v>0.27496419071004707</c:v>
                </c:pt>
                <c:pt idx="1">
                  <c:v>0.54992838142009415</c:v>
                </c:pt>
                <c:pt idx="2">
                  <c:v>1.0998567628401883</c:v>
                </c:pt>
                <c:pt idx="3">
                  <c:v>2.1997135256803766</c:v>
                </c:pt>
                <c:pt idx="4">
                  <c:v>4.3994270513607532</c:v>
                </c:pt>
                <c:pt idx="5">
                  <c:v>8.7988541027215064</c:v>
                </c:pt>
                <c:pt idx="6">
                  <c:v>17.597708205443013</c:v>
                </c:pt>
                <c:pt idx="7">
                  <c:v>35.195416410886025</c:v>
                </c:pt>
                <c:pt idx="8">
                  <c:v>70.390832821772051</c:v>
                </c:pt>
                <c:pt idx="9">
                  <c:v>140.7816656435441</c:v>
                </c:pt>
                <c:pt idx="10">
                  <c:v>281.5633312870882</c:v>
                </c:pt>
                <c:pt idx="11">
                  <c:v>563.12666257417641</c:v>
                </c:pt>
                <c:pt idx="12">
                  <c:v>1126.2533251483528</c:v>
                </c:pt>
                <c:pt idx="13">
                  <c:v>2252.5066502967056</c:v>
                </c:pt>
                <c:pt idx="14">
                  <c:v>4505.0133005934113</c:v>
                </c:pt>
                <c:pt idx="15">
                  <c:v>9010.0266011868225</c:v>
                </c:pt>
                <c:pt idx="16">
                  <c:v>18020.053202373645</c:v>
                </c:pt>
                <c:pt idx="17">
                  <c:v>36040.10640474729</c:v>
                </c:pt>
                <c:pt idx="18">
                  <c:v>72080.21280949458</c:v>
                </c:pt>
                <c:pt idx="19">
                  <c:v>144160.42561898916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Projections!$G$49:$AA$49</c15:sqref>
                  </c15:fullRef>
                </c:ext>
              </c:extLst>
              <c:f>Projections!$G$49:$Z$49</c:f>
              <c:numCache>
                <c:formatCode>#,##0</c:formatCode>
                <c:ptCount val="20"/>
                <c:pt idx="0">
                  <c:v>0.12681604256189891</c:v>
                </c:pt>
                <c:pt idx="1">
                  <c:v>0.25363208512379781</c:v>
                </c:pt>
                <c:pt idx="2">
                  <c:v>0.50726417024759562</c:v>
                </c:pt>
                <c:pt idx="3">
                  <c:v>1.0145283404951912</c:v>
                </c:pt>
                <c:pt idx="4">
                  <c:v>2.0290566809903825</c:v>
                </c:pt>
                <c:pt idx="5">
                  <c:v>4.058113361980765</c:v>
                </c:pt>
                <c:pt idx="6">
                  <c:v>8.11622672396153</c:v>
                </c:pt>
                <c:pt idx="7">
                  <c:v>16.23245344792306</c:v>
                </c:pt>
                <c:pt idx="8">
                  <c:v>32.46490689584612</c:v>
                </c:pt>
                <c:pt idx="9">
                  <c:v>64.92981379169224</c:v>
                </c:pt>
                <c:pt idx="10">
                  <c:v>129.85962758338448</c:v>
                </c:pt>
                <c:pt idx="11">
                  <c:v>259.71925516676896</c:v>
                </c:pt>
                <c:pt idx="12">
                  <c:v>519.43851033353792</c:v>
                </c:pt>
                <c:pt idx="13">
                  <c:v>1038.8770206670758</c:v>
                </c:pt>
                <c:pt idx="14">
                  <c:v>2077.7540413341517</c:v>
                </c:pt>
                <c:pt idx="15">
                  <c:v>4155.5080826683034</c:v>
                </c:pt>
                <c:pt idx="16">
                  <c:v>8311.0161653366067</c:v>
                </c:pt>
                <c:pt idx="17">
                  <c:v>16622.032330673213</c:v>
                </c:pt>
                <c:pt idx="18">
                  <c:v>33244.064661346427</c:v>
                </c:pt>
                <c:pt idx="19">
                  <c:v>66488.129322692854</c:v>
                </c:pt>
              </c:numCache>
            </c:numRef>
          </c:val>
          <c:smooth val="0"/>
          <c:extLst>
            <c:ext xmlns:c16="http://schemas.microsoft.com/office/drawing/2014/chart" uri="{C3380CC4-5D6E-409C-BE32-E72D297353CC}">
              <c16:uniqueId val="{00000001-EBAD-48A5-9277-83F388186C0C}"/>
            </c:ext>
          </c:extLst>
        </c:ser>
        <c:ser>
          <c:idx val="3"/>
          <c:order val="1"/>
          <c:tx>
            <c:strRef>
              <c:f>Projections!$A$50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Projections!$G$51:$AA$51</c15:sqref>
                  </c15:fullRef>
                </c:ext>
              </c:extLst>
              <c:f>Projections!$G$51:$Z$51</c:f>
              <c:numCache>
                <c:formatCode>#,##0</c:formatCode>
                <c:ptCount val="20"/>
                <c:pt idx="0">
                  <c:v>0.27010435850214859</c:v>
                </c:pt>
                <c:pt idx="1">
                  <c:v>0.54020871700429718</c:v>
                </c:pt>
                <c:pt idx="2">
                  <c:v>1.0804174340085944</c:v>
                </c:pt>
                <c:pt idx="3">
                  <c:v>2.1608348680171887</c:v>
                </c:pt>
                <c:pt idx="4">
                  <c:v>4.3216697360343774</c:v>
                </c:pt>
                <c:pt idx="5">
                  <c:v>8.6433394720687549</c:v>
                </c:pt>
                <c:pt idx="6">
                  <c:v>17.28667894413751</c:v>
                </c:pt>
                <c:pt idx="7">
                  <c:v>34.573357888275019</c:v>
                </c:pt>
                <c:pt idx="8">
                  <c:v>69.146715776550039</c:v>
                </c:pt>
                <c:pt idx="9">
                  <c:v>138.29343155310008</c:v>
                </c:pt>
                <c:pt idx="10">
                  <c:v>276.58686310620016</c:v>
                </c:pt>
                <c:pt idx="11">
                  <c:v>553.17372621240031</c:v>
                </c:pt>
                <c:pt idx="12">
                  <c:v>1106.3474524248006</c:v>
                </c:pt>
                <c:pt idx="13">
                  <c:v>2212.6949048496012</c:v>
                </c:pt>
                <c:pt idx="14">
                  <c:v>4425.3898096992025</c:v>
                </c:pt>
                <c:pt idx="15">
                  <c:v>8850.779619398405</c:v>
                </c:pt>
                <c:pt idx="16">
                  <c:v>17701.55923879681</c:v>
                </c:pt>
                <c:pt idx="17">
                  <c:v>35403.11847759362</c:v>
                </c:pt>
                <c:pt idx="18">
                  <c:v>70806.23695518724</c:v>
                </c:pt>
                <c:pt idx="19">
                  <c:v>141612.47391037448</c:v>
                </c:pt>
              </c:numCache>
            </c:numRef>
          </c:val>
          <c:smooth val="0"/>
          <c:extLst>
            <c:ext xmlns:c16="http://schemas.microsoft.com/office/drawing/2014/chart" uri="{C3380CC4-5D6E-409C-BE32-E72D297353CC}">
              <c16:uniqueId val="{00000003-EBAD-48A5-9277-83F388186C0C}"/>
            </c:ext>
          </c:extLst>
        </c:ser>
        <c:ser>
          <c:idx val="5"/>
          <c:order val="2"/>
          <c:tx>
            <c:strRef>
              <c:f>Projections!$A$52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Projections!$G$53:$AA$53</c15:sqref>
                  </c15:fullRef>
                </c:ext>
              </c:extLst>
              <c:f>Projections!$G$53:$Z$53</c:f>
              <c:numCache>
                <c:formatCode>#,##0</c:formatCode>
                <c:ptCount val="20"/>
                <c:pt idx="0">
                  <c:v>0.18922651933701656</c:v>
                </c:pt>
                <c:pt idx="1">
                  <c:v>0.37845303867403313</c:v>
                </c:pt>
                <c:pt idx="2">
                  <c:v>0.75690607734806625</c:v>
                </c:pt>
                <c:pt idx="3">
                  <c:v>1.5138121546961325</c:v>
                </c:pt>
                <c:pt idx="4">
                  <c:v>3.027624309392265</c:v>
                </c:pt>
                <c:pt idx="5">
                  <c:v>6.05524861878453</c:v>
                </c:pt>
                <c:pt idx="6">
                  <c:v>12.11049723756906</c:v>
                </c:pt>
                <c:pt idx="7">
                  <c:v>24.22099447513812</c:v>
                </c:pt>
                <c:pt idx="8">
                  <c:v>48.44198895027624</c:v>
                </c:pt>
                <c:pt idx="9">
                  <c:v>96.88397790055248</c:v>
                </c:pt>
                <c:pt idx="10">
                  <c:v>193.76795580110496</c:v>
                </c:pt>
                <c:pt idx="11">
                  <c:v>387.53591160220992</c:v>
                </c:pt>
                <c:pt idx="12">
                  <c:v>775.07182320441984</c:v>
                </c:pt>
                <c:pt idx="13">
                  <c:v>1550.1436464088397</c:v>
                </c:pt>
                <c:pt idx="14">
                  <c:v>3100.2872928176794</c:v>
                </c:pt>
                <c:pt idx="15">
                  <c:v>6200.5745856353587</c:v>
                </c:pt>
                <c:pt idx="16">
                  <c:v>12401.149171270717</c:v>
                </c:pt>
                <c:pt idx="17">
                  <c:v>24802.298342541435</c:v>
                </c:pt>
                <c:pt idx="18">
                  <c:v>49604.59668508287</c:v>
                </c:pt>
                <c:pt idx="19">
                  <c:v>99209.19337016574</c:v>
                </c:pt>
              </c:numCache>
            </c:numRef>
          </c:val>
          <c:smooth val="0"/>
          <c:extLst>
            <c:ext xmlns:c16="http://schemas.microsoft.com/office/drawing/2014/chart" uri="{C3380CC4-5D6E-409C-BE32-E72D297353CC}">
              <c16:uniqueId val="{00000005-EBAD-48A5-9277-83F388186C0C}"/>
            </c:ext>
          </c:extLst>
        </c:ser>
        <c:ser>
          <c:idx val="7"/>
          <c:order val="3"/>
          <c:tx>
            <c:strRef>
              <c:f>Projections!$A$54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Projections!$G$55:$AA$55</c15:sqref>
                  </c15:fullRef>
                </c:ext>
              </c:extLst>
              <c:f>Projections!$G$55:$Z$55</c:f>
              <c:numCache>
                <c:formatCode>#,##0</c:formatCode>
                <c:ptCount val="20"/>
                <c:pt idx="0">
                  <c:v>6.3177818702680577E-2</c:v>
                </c:pt>
                <c:pt idx="1">
                  <c:v>0.12635563740536115</c:v>
                </c:pt>
                <c:pt idx="2">
                  <c:v>0.25271127481072231</c:v>
                </c:pt>
                <c:pt idx="3">
                  <c:v>0.50542254962144462</c:v>
                </c:pt>
                <c:pt idx="4">
                  <c:v>1.0108450992428892</c:v>
                </c:pt>
                <c:pt idx="5">
                  <c:v>2.0216901984857785</c:v>
                </c:pt>
                <c:pt idx="6">
                  <c:v>4.0433803969715569</c:v>
                </c:pt>
                <c:pt idx="7">
                  <c:v>8.0867607939431139</c:v>
                </c:pt>
                <c:pt idx="8">
                  <c:v>16.173521587886228</c:v>
                </c:pt>
                <c:pt idx="9">
                  <c:v>32.347043175772455</c:v>
                </c:pt>
                <c:pt idx="10">
                  <c:v>64.694086351544911</c:v>
                </c:pt>
                <c:pt idx="11">
                  <c:v>129.38817270308982</c:v>
                </c:pt>
                <c:pt idx="12">
                  <c:v>258.77634540617964</c:v>
                </c:pt>
                <c:pt idx="13">
                  <c:v>517.55269081235929</c:v>
                </c:pt>
                <c:pt idx="14">
                  <c:v>1035.1053816247186</c:v>
                </c:pt>
                <c:pt idx="15">
                  <c:v>2070.2107632494372</c:v>
                </c:pt>
                <c:pt idx="16">
                  <c:v>4140.4215264988743</c:v>
                </c:pt>
                <c:pt idx="17">
                  <c:v>8280.8430529977486</c:v>
                </c:pt>
                <c:pt idx="18">
                  <c:v>16561.686105995497</c:v>
                </c:pt>
                <c:pt idx="19">
                  <c:v>33123.372211990994</c:v>
                </c:pt>
              </c:numCache>
            </c:numRef>
          </c:val>
          <c:smooth val="0"/>
          <c:extLst>
            <c:ext xmlns:c16="http://schemas.microsoft.com/office/drawing/2014/chart" uri="{C3380CC4-5D6E-409C-BE32-E72D297353CC}">
              <c16:uniqueId val="{00000007-EBAD-48A5-9277-83F388186C0C}"/>
            </c:ext>
          </c:extLst>
        </c:ser>
        <c:ser>
          <c:idx val="9"/>
          <c:order val="4"/>
          <c:tx>
            <c:strRef>
              <c:f>Projections!$A$56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Projections!$G$57:$AA$57</c15:sqref>
                  </c15:fullRef>
                </c:ext>
              </c:extLst>
              <c:f>Projections!$G$57:$Z$57</c:f>
              <c:numCache>
                <c:formatCode>#,##0</c:formatCode>
                <c:ptCount val="20"/>
                <c:pt idx="0">
                  <c:v>1.6344383057090239E-2</c:v>
                </c:pt>
                <c:pt idx="1">
                  <c:v>3.2688766114180479E-2</c:v>
                </c:pt>
                <c:pt idx="2">
                  <c:v>6.5377532228360957E-2</c:v>
                </c:pt>
                <c:pt idx="3">
                  <c:v>0.13075506445672191</c:v>
                </c:pt>
                <c:pt idx="4">
                  <c:v>0.26151012891344383</c:v>
                </c:pt>
                <c:pt idx="5">
                  <c:v>0.52302025782688766</c:v>
                </c:pt>
                <c:pt idx="6">
                  <c:v>1.0460405156537753</c:v>
                </c:pt>
                <c:pt idx="7">
                  <c:v>2.0920810313075506</c:v>
                </c:pt>
                <c:pt idx="8">
                  <c:v>4.1841620626151013</c:v>
                </c:pt>
                <c:pt idx="9">
                  <c:v>8.3683241252302025</c:v>
                </c:pt>
                <c:pt idx="10">
                  <c:v>16.736648250460405</c:v>
                </c:pt>
                <c:pt idx="11">
                  <c:v>33.47329650092081</c:v>
                </c:pt>
                <c:pt idx="12">
                  <c:v>66.94659300184162</c:v>
                </c:pt>
                <c:pt idx="13">
                  <c:v>133.89318600368324</c:v>
                </c:pt>
                <c:pt idx="14">
                  <c:v>267.78637200736648</c:v>
                </c:pt>
                <c:pt idx="15">
                  <c:v>535.57274401473296</c:v>
                </c:pt>
                <c:pt idx="16">
                  <c:v>1071.1454880294659</c:v>
                </c:pt>
                <c:pt idx="17">
                  <c:v>2142.2909760589318</c:v>
                </c:pt>
                <c:pt idx="18">
                  <c:v>4284.5819521178637</c:v>
                </c:pt>
                <c:pt idx="19">
                  <c:v>8569.1639042357274</c:v>
                </c:pt>
              </c:numCache>
            </c:numRef>
          </c:val>
          <c:smooth val="0"/>
          <c:extLst>
            <c:ext xmlns:c16="http://schemas.microsoft.com/office/drawing/2014/chart" uri="{C3380CC4-5D6E-409C-BE32-E72D297353CC}">
              <c16:uniqueId val="{00000009-EBAD-48A5-9277-83F388186C0C}"/>
            </c:ext>
          </c:extLst>
        </c:ser>
        <c:ser>
          <c:idx val="11"/>
          <c:order val="5"/>
          <c:tx>
            <c:strRef>
              <c:f>Projections!$A$58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Projections!$G$59:$AA$59</c15:sqref>
                  </c15:fullRef>
                </c:ext>
              </c:extLst>
              <c:f>Projections!$G$59:$Z$59</c:f>
              <c:numCache>
                <c:formatCode>#,##0</c:formatCode>
                <c:ptCount val="20"/>
                <c:pt idx="0">
                  <c:v>9.7324534479230618E-3</c:v>
                </c:pt>
                <c:pt idx="1">
                  <c:v>1.9464906895846124E-2</c:v>
                </c:pt>
                <c:pt idx="2">
                  <c:v>3.8929813791692247E-2</c:v>
                </c:pt>
                <c:pt idx="3">
                  <c:v>7.7859627583384494E-2</c:v>
                </c:pt>
                <c:pt idx="4">
                  <c:v>0.15571925516676899</c:v>
                </c:pt>
                <c:pt idx="5">
                  <c:v>0.31143851033353798</c:v>
                </c:pt>
                <c:pt idx="6">
                  <c:v>0.62287702066707595</c:v>
                </c:pt>
                <c:pt idx="7">
                  <c:v>1.2457540413341519</c:v>
                </c:pt>
                <c:pt idx="8">
                  <c:v>2.4915080826683038</c:v>
                </c:pt>
                <c:pt idx="9">
                  <c:v>4.9830161653366076</c:v>
                </c:pt>
                <c:pt idx="10">
                  <c:v>9.9660323306732153</c:v>
                </c:pt>
                <c:pt idx="11">
                  <c:v>19.932064661346431</c:v>
                </c:pt>
                <c:pt idx="12">
                  <c:v>39.864129322692861</c:v>
                </c:pt>
                <c:pt idx="13">
                  <c:v>79.728258645385722</c:v>
                </c:pt>
                <c:pt idx="14">
                  <c:v>159.45651729077144</c:v>
                </c:pt>
                <c:pt idx="15">
                  <c:v>318.91303458154289</c:v>
                </c:pt>
                <c:pt idx="16">
                  <c:v>637.82606916308578</c:v>
                </c:pt>
                <c:pt idx="17">
                  <c:v>1275.6521383261716</c:v>
                </c:pt>
                <c:pt idx="18">
                  <c:v>2551.3042766523431</c:v>
                </c:pt>
                <c:pt idx="19">
                  <c:v>5102.6085533046862</c:v>
                </c:pt>
              </c:numCache>
            </c:numRef>
          </c:val>
          <c:smooth val="0"/>
          <c:extLst>
            <c:ext xmlns:c16="http://schemas.microsoft.com/office/drawing/2014/chart" uri="{C3380CC4-5D6E-409C-BE32-E72D297353CC}">
              <c16:uniqueId val="{0000000B-EBAD-48A5-9277-83F388186C0C}"/>
            </c:ext>
          </c:extLst>
        </c:ser>
        <c:ser>
          <c:idx val="13"/>
          <c:order val="6"/>
          <c:tx>
            <c:strRef>
              <c:f>Projections!$A$60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Projections!$G$61:$AA$61</c15:sqref>
                  </c15:fullRef>
                </c:ext>
              </c:extLst>
              <c:f>Projections!$G$61:$Z$61</c:f>
              <c:numCache>
                <c:formatCode>#,##0</c:formatCode>
                <c:ptCount val="20"/>
                <c:pt idx="0">
                  <c:v>1.3620319214241866E-2</c:v>
                </c:pt>
                <c:pt idx="1">
                  <c:v>2.7240638428483732E-2</c:v>
                </c:pt>
                <c:pt idx="2">
                  <c:v>5.4481276856967464E-2</c:v>
                </c:pt>
                <c:pt idx="3">
                  <c:v>0.10896255371393493</c:v>
                </c:pt>
                <c:pt idx="4">
                  <c:v>0.21792510742786986</c:v>
                </c:pt>
                <c:pt idx="5">
                  <c:v>0.43585021485573971</c:v>
                </c:pt>
                <c:pt idx="6">
                  <c:v>0.87170042971147943</c:v>
                </c:pt>
                <c:pt idx="7">
                  <c:v>1.7434008594229589</c:v>
                </c:pt>
                <c:pt idx="8">
                  <c:v>3.4868017188459177</c:v>
                </c:pt>
                <c:pt idx="9">
                  <c:v>6.9736034376918354</c:v>
                </c:pt>
                <c:pt idx="10">
                  <c:v>13.947206875383671</c:v>
                </c:pt>
                <c:pt idx="11">
                  <c:v>27.894413750767342</c:v>
                </c:pt>
                <c:pt idx="12">
                  <c:v>55.788827501534684</c:v>
                </c:pt>
                <c:pt idx="13">
                  <c:v>111.57765500306937</c:v>
                </c:pt>
                <c:pt idx="14">
                  <c:v>223.15531000613873</c:v>
                </c:pt>
                <c:pt idx="15">
                  <c:v>446.31062001227747</c:v>
                </c:pt>
                <c:pt idx="16">
                  <c:v>892.62124002455494</c:v>
                </c:pt>
                <c:pt idx="17">
                  <c:v>1785.2424800491099</c:v>
                </c:pt>
                <c:pt idx="18">
                  <c:v>3570.4849600982197</c:v>
                </c:pt>
                <c:pt idx="19">
                  <c:v>7140.9699201964395</c:v>
                </c:pt>
              </c:numCache>
            </c:numRef>
          </c:val>
          <c:smooth val="0"/>
          <c:extLst>
            <c:ext xmlns:c16="http://schemas.microsoft.com/office/drawing/2014/chart" uri="{C3380CC4-5D6E-409C-BE32-E72D297353CC}">
              <c16:uniqueId val="{0000000D-EBAD-48A5-9277-83F388186C0C}"/>
            </c:ext>
          </c:extLst>
        </c:ser>
        <c:ser>
          <c:idx val="15"/>
          <c:order val="7"/>
          <c:tx>
            <c:strRef>
              <c:f>Projections!$A$62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Projections!$G$63:$AA$63</c15:sqref>
                  </c15:fullRef>
                </c:ext>
              </c:extLst>
              <c:f>Projections!$G$63:$Z$63</c:f>
              <c:numCache>
                <c:formatCode>#,##0</c:formatCode>
                <c:ptCount val="20"/>
                <c:pt idx="0">
                  <c:v>1.7265193370165745E-3</c:v>
                </c:pt>
                <c:pt idx="1">
                  <c:v>3.453038674033149E-3</c:v>
                </c:pt>
                <c:pt idx="2">
                  <c:v>6.9060773480662981E-3</c:v>
                </c:pt>
                <c:pt idx="3">
                  <c:v>1.3812154696132596E-2</c:v>
                </c:pt>
                <c:pt idx="4">
                  <c:v>2.7624309392265192E-2</c:v>
                </c:pt>
                <c:pt idx="5">
                  <c:v>5.5248618784530384E-2</c:v>
                </c:pt>
                <c:pt idx="6">
                  <c:v>0.11049723756906077</c:v>
                </c:pt>
                <c:pt idx="7">
                  <c:v>0.22099447513812154</c:v>
                </c:pt>
                <c:pt idx="8">
                  <c:v>0.44198895027624308</c:v>
                </c:pt>
                <c:pt idx="9">
                  <c:v>0.88397790055248615</c:v>
                </c:pt>
                <c:pt idx="10">
                  <c:v>1.7679558011049723</c:v>
                </c:pt>
                <c:pt idx="11">
                  <c:v>3.5359116022099446</c:v>
                </c:pt>
                <c:pt idx="12">
                  <c:v>7.0718232044198892</c:v>
                </c:pt>
                <c:pt idx="13">
                  <c:v>14.143646408839778</c:v>
                </c:pt>
                <c:pt idx="14">
                  <c:v>28.287292817679557</c:v>
                </c:pt>
                <c:pt idx="15">
                  <c:v>56.574585635359114</c:v>
                </c:pt>
                <c:pt idx="16">
                  <c:v>113.14917127071823</c:v>
                </c:pt>
                <c:pt idx="17">
                  <c:v>226.29834254143645</c:v>
                </c:pt>
                <c:pt idx="18">
                  <c:v>452.59668508287291</c:v>
                </c:pt>
                <c:pt idx="19">
                  <c:v>905.19337016574582</c:v>
                </c:pt>
              </c:numCache>
            </c:numRef>
          </c:val>
          <c:smooth val="0"/>
          <c:extLst>
            <c:ext xmlns:c16="http://schemas.microsoft.com/office/drawing/2014/chart" uri="{C3380CC4-5D6E-409C-BE32-E72D297353CC}">
              <c16:uniqueId val="{0000000F-EBAD-48A5-9277-83F388186C0C}"/>
            </c:ext>
          </c:extLst>
        </c:ser>
        <c:ser>
          <c:idx val="17"/>
          <c:order val="8"/>
          <c:tx>
            <c:strRef>
              <c:f>Projections!$A$64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Projections!$G$65:$AA$65</c15:sqref>
                  </c15:fullRef>
                </c:ext>
              </c:extLst>
              <c:f>Projections!$G$65:$Z$65</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Projections!$G$77:$AA$77</c15:sqref>
                  </c15:fullRef>
                </c:ext>
              </c:extLst>
              <c:f>Projections!$G$77:$Z$77</c:f>
              <c:numCache>
                <c:formatCode>#,##0</c:formatCode>
                <c:ptCount val="20"/>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pt idx="18">
                  <c:v>2760704</c:v>
                </c:pt>
                <c:pt idx="19">
                  <c:v>5521408</c:v>
                </c:pt>
              </c:numCache>
            </c:numRef>
          </c:val>
          <c:smooth val="0"/>
          <c:extLst>
            <c:ext xmlns:c16="http://schemas.microsoft.com/office/drawing/2014/chart" uri="{C3380CC4-5D6E-409C-BE32-E72D297353CC}">
              <c16:uniqueId val="{0000001E-05DD-4DD4-A5B5-12D162507280}"/>
            </c:ext>
          </c:extLst>
        </c:ser>
        <c:ser>
          <c:idx val="4"/>
          <c:order val="1"/>
          <c:tx>
            <c:strRef>
              <c:f>Projections!$A$75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Projections!$G$75:$AA$75</c15:sqref>
                  </c15:fullRef>
                </c:ext>
              </c:extLst>
              <c:f>Projections!$G$75:$Z$75</c:f>
              <c:numCache>
                <c:formatCode>#,##0</c:formatCode>
                <c:ptCount val="20"/>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pt idx="18">
                  <c:v>2539520</c:v>
                </c:pt>
                <c:pt idx="19">
                  <c:v>5079040</c:v>
                </c:pt>
              </c:numCache>
            </c:numRef>
          </c:val>
          <c:smooth val="0"/>
          <c:extLst>
            <c:ext xmlns:c16="http://schemas.microsoft.com/office/drawing/2014/chart" uri="{C3380CC4-5D6E-409C-BE32-E72D297353CC}">
              <c16:uniqueId val="{0000001C-05DD-4DD4-A5B5-12D162507280}"/>
            </c:ext>
          </c:extLst>
        </c:ser>
        <c:ser>
          <c:idx val="10"/>
          <c:order val="2"/>
          <c:tx>
            <c:strRef>
              <c:f>Projections!$A$81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Projections!$G$81:$AA$81</c15:sqref>
                  </c15:fullRef>
                </c:ext>
              </c:extLst>
              <c:f>Projections!$G$81:$Z$81</c:f>
              <c:numCache>
                <c:formatCode>#,##0</c:formatCode>
                <c:ptCount val="20"/>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pt idx="18">
                  <c:v>1318912</c:v>
                </c:pt>
                <c:pt idx="19">
                  <c:v>2637824</c:v>
                </c:pt>
              </c:numCache>
            </c:numRef>
          </c:val>
          <c:smooth val="0"/>
          <c:extLst>
            <c:ext xmlns:c16="http://schemas.microsoft.com/office/drawing/2014/chart" uri="{C3380CC4-5D6E-409C-BE32-E72D297353CC}">
              <c16:uniqueId val="{00000022-05DD-4DD4-A5B5-12D162507280}"/>
            </c:ext>
          </c:extLst>
        </c:ser>
        <c:ser>
          <c:idx val="0"/>
          <c:order val="3"/>
          <c:tx>
            <c:strRef>
              <c:f>Projections!$A$71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Projections!$G$71:$AA$71</c15:sqref>
                  </c15:fullRef>
                </c:ext>
              </c:extLst>
              <c:f>Projections!$G$71:$Z$71</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18-05DD-4DD4-A5B5-12D162507280}"/>
            </c:ext>
          </c:extLst>
        </c:ser>
        <c:ser>
          <c:idx val="2"/>
          <c:order val="4"/>
          <c:tx>
            <c:strRef>
              <c:f>Projections!$A$73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Projections!$G$73:$AA$73</c15:sqref>
                  </c15:fullRef>
                </c:ext>
              </c:extLst>
              <c:f>Projections!$G$73:$Z$73</c:f>
              <c:numCache>
                <c:formatCode>#,##0</c:formatCode>
                <c:ptCount val="20"/>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pt idx="19">
                  <c:v>753664</c:v>
                </c:pt>
              </c:numCache>
            </c:numRef>
          </c:val>
          <c:smooth val="0"/>
          <c:extLst>
            <c:ext xmlns:c16="http://schemas.microsoft.com/office/drawing/2014/chart" uri="{C3380CC4-5D6E-409C-BE32-E72D297353CC}">
              <c16:uniqueId val="{0000001A-05DD-4DD4-A5B5-12D162507280}"/>
            </c:ext>
          </c:extLst>
        </c:ser>
        <c:ser>
          <c:idx val="8"/>
          <c:order val="5"/>
          <c:tx>
            <c:strRef>
              <c:f>Projections!$A$79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Projections!$G$79:$AA$79</c15:sqref>
                  </c15:fullRef>
                </c:ext>
              </c:extLst>
              <c:f>Projections!$G$79:$Z$79</c:f>
              <c:numCache>
                <c:formatCode>#,##0</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Projections!$G$78:$AA$78</c15:sqref>
                  </c15:fullRef>
                </c:ext>
              </c:extLst>
              <c:f>Projections!$G$78:$Z$78</c:f>
              <c:numCache>
                <c:formatCode>#,##0</c:formatCode>
                <c:ptCount val="20"/>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pt idx="18">
                  <c:v>165642.23999999999</c:v>
                </c:pt>
                <c:pt idx="19">
                  <c:v>331284.47999999998</c:v>
                </c:pt>
              </c:numCache>
            </c:numRef>
          </c:val>
          <c:smooth val="0"/>
          <c:extLst>
            <c:ext xmlns:c16="http://schemas.microsoft.com/office/drawing/2014/chart" uri="{C3380CC4-5D6E-409C-BE32-E72D297353CC}">
              <c16:uniqueId val="{00000007-65B4-47F9-9B97-64FB989C8893}"/>
            </c:ext>
          </c:extLst>
        </c:ser>
        <c:ser>
          <c:idx val="5"/>
          <c:order val="1"/>
          <c:tx>
            <c:strRef>
              <c:f>Projections!$A$75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Projections!$G$76:$AA$76</c15:sqref>
                  </c15:fullRef>
                </c:ext>
              </c:extLst>
              <c:f>Projections!$G$76:$Z$76</c:f>
              <c:numCache>
                <c:formatCode>#,##0</c:formatCode>
                <c:ptCount val="20"/>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pt idx="18">
                  <c:v>159989.76000000001</c:v>
                </c:pt>
                <c:pt idx="19">
                  <c:v>319979.52000000002</c:v>
                </c:pt>
              </c:numCache>
            </c:numRef>
          </c:val>
          <c:smooth val="0"/>
          <c:extLst>
            <c:ext xmlns:c16="http://schemas.microsoft.com/office/drawing/2014/chart" uri="{C3380CC4-5D6E-409C-BE32-E72D297353CC}">
              <c16:uniqueId val="{00000005-65B4-47F9-9B97-64FB989C8893}"/>
            </c:ext>
          </c:extLst>
        </c:ser>
        <c:ser>
          <c:idx val="1"/>
          <c:order val="2"/>
          <c:tx>
            <c:strRef>
              <c:f>Projections!$A$71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Projections!$G$72:$AA$72</c15:sqref>
                  </c15:fullRef>
                </c:ext>
              </c:extLst>
              <c:f>Projections!$G$72:$Z$72</c:f>
              <c:numCache>
                <c:formatCode>#,##0</c:formatCode>
                <c:ptCount val="20"/>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pt idx="18">
                  <c:v>43008</c:v>
                </c:pt>
                <c:pt idx="19">
                  <c:v>86016</c:v>
                </c:pt>
              </c:numCache>
            </c:numRef>
          </c:val>
          <c:smooth val="0"/>
          <c:extLst>
            <c:ext xmlns:c16="http://schemas.microsoft.com/office/drawing/2014/chart" uri="{C3380CC4-5D6E-409C-BE32-E72D297353CC}">
              <c16:uniqueId val="{00000001-65B4-47F9-9B97-64FB989C8893}"/>
            </c:ext>
          </c:extLst>
        </c:ser>
        <c:ser>
          <c:idx val="3"/>
          <c:order val="3"/>
          <c:tx>
            <c:strRef>
              <c:f>Projections!$A$73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Projections!$G$74:$AA$74</c15:sqref>
                  </c15:fullRef>
                </c:ext>
              </c:extLst>
              <c:f>Projections!$G$74:$Z$74</c:f>
              <c:numCache>
                <c:formatCode>#,##0</c:formatCode>
                <c:ptCount val="20"/>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pt idx="18">
                  <c:v>27508.735999999997</c:v>
                </c:pt>
                <c:pt idx="19">
                  <c:v>55017.471999999994</c:v>
                </c:pt>
              </c:numCache>
            </c:numRef>
          </c:val>
          <c:smooth val="0"/>
          <c:extLst>
            <c:ext xmlns:c16="http://schemas.microsoft.com/office/drawing/2014/chart" uri="{C3380CC4-5D6E-409C-BE32-E72D297353CC}">
              <c16:uniqueId val="{00000003-65B4-47F9-9B97-64FB989C8893}"/>
            </c:ext>
          </c:extLst>
        </c:ser>
        <c:ser>
          <c:idx val="9"/>
          <c:order val="4"/>
          <c:tx>
            <c:strRef>
              <c:f>Projections!$A$79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d\-mmm</c:formatCode>
                <c:ptCount val="20"/>
                <c:pt idx="0">
                  <c:v>43892</c:v>
                </c:pt>
                <c:pt idx="1">
                  <c:v>43896</c:v>
                </c:pt>
                <c:pt idx="2">
                  <c:v>43900</c:v>
                </c:pt>
                <c:pt idx="3">
                  <c:v>43904</c:v>
                </c:pt>
                <c:pt idx="4">
                  <c:v>43908</c:v>
                </c:pt>
                <c:pt idx="5">
                  <c:v>43911</c:v>
                </c:pt>
                <c:pt idx="6">
                  <c:v>43914</c:v>
                </c:pt>
                <c:pt idx="7">
                  <c:v>43919</c:v>
                </c:pt>
                <c:pt idx="8">
                  <c:v>43934</c:v>
                </c:pt>
                <c:pt idx="9">
                  <c:v>43949</c:v>
                </c:pt>
                <c:pt idx="10">
                  <c:v>43964</c:v>
                </c:pt>
                <c:pt idx="11">
                  <c:v>43979</c:v>
                </c:pt>
                <c:pt idx="12">
                  <c:v>43994</c:v>
                </c:pt>
                <c:pt idx="13">
                  <c:v>44009</c:v>
                </c:pt>
                <c:pt idx="14">
                  <c:v>44024</c:v>
                </c:pt>
                <c:pt idx="15">
                  <c:v>44039</c:v>
                </c:pt>
                <c:pt idx="16">
                  <c:v>44054</c:v>
                </c:pt>
                <c:pt idx="17">
                  <c:v>44069</c:v>
                </c:pt>
                <c:pt idx="18">
                  <c:v>44084</c:v>
                </c:pt>
                <c:pt idx="19">
                  <c:v>44099</c:v>
                </c:pt>
              </c:numCache>
            </c:numRef>
          </c:cat>
          <c:val>
            <c:numRef>
              <c:extLst>
                <c:ext xmlns:c15="http://schemas.microsoft.com/office/drawing/2012/chart" uri="{02D57815-91ED-43cb-92C2-25804820EDAC}">
                  <c15:fullRef>
                    <c15:sqref>Projections!$G$80:$AA$80</c15:sqref>
                  </c15:fullRef>
                </c:ext>
              </c:extLst>
              <c:f>Projections!$G$80:$Z$80</c:f>
              <c:numCache>
                <c:formatCode>#,##0</c:formatCode>
                <c:ptCount val="20"/>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pt idx="18">
                  <c:v>6881.28</c:v>
                </c:pt>
                <c:pt idx="19">
                  <c:v>13762.56</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52</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53</xdr:row>
      <xdr:rowOff>4762</xdr:rowOff>
    </xdr:from>
    <xdr:to>
      <xdr:col>18</xdr:col>
      <xdr:colOff>9525</xdr:colOff>
      <xdr:row>71</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52</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53</xdr:row>
      <xdr:rowOff>14287</xdr:rowOff>
    </xdr:from>
    <xdr:to>
      <xdr:col>27</xdr:col>
      <xdr:colOff>19050</xdr:colOff>
      <xdr:row>71</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29</xdr:col>
      <xdr:colOff>9526</xdr:colOff>
      <xdr:row>4</xdr:row>
      <xdr:rowOff>180975</xdr:rowOff>
    </xdr:from>
    <xdr:to>
      <xdr:col>40</xdr:col>
      <xdr:colOff>600075</xdr:colOff>
      <xdr:row>30</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736455</xdr:colOff>
      <xdr:row>74</xdr:row>
      <xdr:rowOff>5814</xdr:rowOff>
    </xdr:from>
    <xdr:to>
      <xdr:col>41</xdr:col>
      <xdr:colOff>19050</xdr:colOff>
      <xdr:row>97</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3031</xdr:colOff>
      <xdr:row>98</xdr:row>
      <xdr:rowOff>10576</xdr:rowOff>
    </xdr:from>
    <xdr:to>
      <xdr:col>41</xdr:col>
      <xdr:colOff>28575</xdr:colOff>
      <xdr:row>114</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741217</xdr:colOff>
      <xdr:row>115</xdr:row>
      <xdr:rowOff>182025</xdr:rowOff>
    </xdr:from>
    <xdr:to>
      <xdr:col>41</xdr:col>
      <xdr:colOff>38099</xdr:colOff>
      <xdr:row>131</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741219</xdr:colOff>
      <xdr:row>133</xdr:row>
      <xdr:rowOff>10575</xdr:rowOff>
    </xdr:from>
    <xdr:to>
      <xdr:col>41</xdr:col>
      <xdr:colOff>19050</xdr:colOff>
      <xdr:row>152</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738187</xdr:colOff>
      <xdr:row>37</xdr:row>
      <xdr:rowOff>4762</xdr:rowOff>
    </xdr:from>
    <xdr:to>
      <xdr:col>41</xdr:col>
      <xdr:colOff>19050</xdr:colOff>
      <xdr:row>56</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740228</xdr:colOff>
      <xdr:row>57</xdr:row>
      <xdr:rowOff>2721</xdr:rowOff>
    </xdr:from>
    <xdr:to>
      <xdr:col>40</xdr:col>
      <xdr:colOff>590550</xdr:colOff>
      <xdr:row>72</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1</xdr:colOff>
      <xdr:row>4</xdr:row>
      <xdr:rowOff>180975</xdr:rowOff>
    </xdr:from>
    <xdr:to>
      <xdr:col>54</xdr:col>
      <xdr:colOff>161925</xdr:colOff>
      <xdr:row>30</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41</xdr:col>
      <xdr:colOff>607867</xdr:colOff>
      <xdr:row>73</xdr:row>
      <xdr:rowOff>177264</xdr:rowOff>
    </xdr:from>
    <xdr:to>
      <xdr:col>54</xdr:col>
      <xdr:colOff>209550</xdr:colOff>
      <xdr:row>96</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41</xdr:col>
      <xdr:colOff>598343</xdr:colOff>
      <xdr:row>98</xdr:row>
      <xdr:rowOff>1051</xdr:rowOff>
    </xdr:from>
    <xdr:to>
      <xdr:col>54</xdr:col>
      <xdr:colOff>200025</xdr:colOff>
      <xdr:row>114</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42</xdr:col>
      <xdr:colOff>3029</xdr:colOff>
      <xdr:row>115</xdr:row>
      <xdr:rowOff>182025</xdr:rowOff>
    </xdr:from>
    <xdr:to>
      <xdr:col>54</xdr:col>
      <xdr:colOff>219074</xdr:colOff>
      <xdr:row>131</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42</xdr:col>
      <xdr:colOff>22081</xdr:colOff>
      <xdr:row>133</xdr:row>
      <xdr:rowOff>10575</xdr:rowOff>
    </xdr:from>
    <xdr:to>
      <xdr:col>54</xdr:col>
      <xdr:colOff>228600</xdr:colOff>
      <xdr:row>152</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41</xdr:col>
      <xdr:colOff>600074</xdr:colOff>
      <xdr:row>37</xdr:row>
      <xdr:rowOff>14287</xdr:rowOff>
    </xdr:from>
    <xdr:to>
      <xdr:col>54</xdr:col>
      <xdr:colOff>200025</xdr:colOff>
      <xdr:row>56</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41</xdr:col>
      <xdr:colOff>606878</xdr:colOff>
      <xdr:row>57</xdr:row>
      <xdr:rowOff>2721</xdr:rowOff>
    </xdr:from>
    <xdr:to>
      <xdr:col>54</xdr:col>
      <xdr:colOff>161925</xdr:colOff>
      <xdr:row>72</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ourworldindata.org/coronavirus" TargetMode="External"/><Relationship Id="rId7" Type="http://schemas.openxmlformats.org/officeDocument/2006/relationships/drawing" Target="../drawings/drawing2.xm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printerSettings" Target="../printerSettings/printerSettings2.bin"/><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5"/>
  <sheetViews>
    <sheetView workbookViewId="0">
      <selection activeCell="W23" sqref="W23"/>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167</v>
      </c>
    </row>
    <row r="3" spans="2:2" x14ac:dyDescent="0.25">
      <c r="B3" t="s">
        <v>147</v>
      </c>
    </row>
    <row r="4" spans="2:2" x14ac:dyDescent="0.25">
      <c r="B4" t="s">
        <v>163</v>
      </c>
    </row>
    <row r="5" spans="2:2" x14ac:dyDescent="0.25">
      <c r="B5" t="s">
        <v>168</v>
      </c>
    </row>
    <row r="6" spans="2:2" x14ac:dyDescent="0.25">
      <c r="B6" t="s">
        <v>169</v>
      </c>
    </row>
    <row r="7" spans="2:2" x14ac:dyDescent="0.25">
      <c r="B7" t="s">
        <v>150</v>
      </c>
    </row>
    <row r="11" spans="2:2" x14ac:dyDescent="0.25">
      <c r="B11" t="s">
        <v>176</v>
      </c>
    </row>
    <row r="12" spans="2:2" x14ac:dyDescent="0.25">
      <c r="B12" t="s">
        <v>189</v>
      </c>
    </row>
    <row r="13" spans="2:2" x14ac:dyDescent="0.25">
      <c r="B13" t="s">
        <v>191</v>
      </c>
    </row>
    <row r="14" spans="2:2" x14ac:dyDescent="0.25">
      <c r="B14" t="s">
        <v>190</v>
      </c>
    </row>
    <row r="15" spans="2:2" x14ac:dyDescent="0.25">
      <c r="B15" t="s">
        <v>200</v>
      </c>
    </row>
    <row r="17" spans="1:43" x14ac:dyDescent="0.25">
      <c r="A17" t="s">
        <v>196</v>
      </c>
      <c r="B17" s="118">
        <f>(AP25/E31) /Projections!B6</f>
        <v>86.580086580086572</v>
      </c>
      <c r="C17" s="119"/>
      <c r="D17" s="120"/>
      <c r="E17" s="114">
        <f>B17*2</f>
        <v>173.16017316017314</v>
      </c>
      <c r="F17" s="119"/>
      <c r="G17" s="114"/>
      <c r="H17" s="114">
        <f>E17*2</f>
        <v>346.32034632034629</v>
      </c>
      <c r="I17" s="119"/>
      <c r="J17" s="120"/>
      <c r="K17" s="111">
        <f>H17*2</f>
        <v>692.64069264069258</v>
      </c>
      <c r="L17" s="109"/>
      <c r="M17" s="110"/>
      <c r="N17" s="111">
        <f>K17*2</f>
        <v>1385.2813852813852</v>
      </c>
      <c r="O17" s="109"/>
      <c r="P17" s="110"/>
      <c r="Q17" s="111">
        <f>N17*2</f>
        <v>2770.5627705627703</v>
      </c>
      <c r="R17" s="109"/>
      <c r="S17" s="110"/>
      <c r="T17" s="111">
        <f>Q17*2</f>
        <v>5541.1255411255406</v>
      </c>
      <c r="U17" s="109"/>
      <c r="V17" s="110"/>
      <c r="W17" s="111">
        <f>T17*2</f>
        <v>11082.251082251081</v>
      </c>
      <c r="X17" s="109"/>
      <c r="Y17" s="110"/>
      <c r="Z17" s="111">
        <f>W17*2</f>
        <v>22164.502164502162</v>
      </c>
      <c r="AA17" s="109"/>
      <c r="AB17" s="110"/>
      <c r="AC17" s="111">
        <f>Z17*2</f>
        <v>44329.004329004325</v>
      </c>
      <c r="AD17" s="109"/>
      <c r="AE17" s="110"/>
      <c r="AF17" s="111">
        <f>AC17*2</f>
        <v>88658.00865800865</v>
      </c>
      <c r="AG17" s="109"/>
      <c r="AH17" s="110"/>
      <c r="AI17" s="111">
        <f>AF17*2</f>
        <v>177316.0173160173</v>
      </c>
      <c r="AJ17" s="109"/>
      <c r="AK17" s="110"/>
      <c r="AL17" s="111">
        <f>AI17*2</f>
        <v>354632.0346320346</v>
      </c>
      <c r="AM17" s="109"/>
      <c r="AN17" s="110"/>
      <c r="AO17" s="111">
        <f>AL17*2</f>
        <v>709264.0692640692</v>
      </c>
      <c r="AP17" s="114"/>
      <c r="AQ17" t="s">
        <v>196</v>
      </c>
    </row>
    <row r="18" spans="1:43" s="81" customFormat="1" x14ac:dyDescent="0.25">
      <c r="A18" s="81" t="s">
        <v>199</v>
      </c>
      <c r="B18" s="102">
        <f>B17*0.3</f>
        <v>25.97402597402597</v>
      </c>
      <c r="C18" s="121"/>
      <c r="D18" s="121"/>
      <c r="E18" s="121">
        <f>E17*0.3</f>
        <v>51.94805194805194</v>
      </c>
      <c r="F18" s="121"/>
      <c r="G18" s="45"/>
      <c r="H18" s="121">
        <f>H17*0.3</f>
        <v>103.89610389610388</v>
      </c>
      <c r="I18" s="121"/>
      <c r="J18" s="121"/>
      <c r="K18" s="121">
        <f>K17*0.3</f>
        <v>207.79220779220776</v>
      </c>
      <c r="L18" s="121"/>
      <c r="M18" s="121"/>
      <c r="N18" s="121">
        <f>N17*0.3</f>
        <v>415.58441558441552</v>
      </c>
      <c r="O18" s="121"/>
      <c r="P18" s="121"/>
      <c r="Q18" s="121">
        <f>Q17*0.3</f>
        <v>831.16883116883105</v>
      </c>
      <c r="R18" s="121"/>
      <c r="S18" s="121"/>
      <c r="T18" s="121">
        <f>T17*0.3</f>
        <v>1662.3376623376621</v>
      </c>
      <c r="U18" s="121"/>
      <c r="V18" s="121"/>
      <c r="W18" s="121">
        <f>W17*0.3</f>
        <v>3324.6753246753242</v>
      </c>
      <c r="X18" s="121"/>
      <c r="Y18" s="121"/>
      <c r="Z18" s="121">
        <f>Z17*0.3</f>
        <v>6649.3506493506484</v>
      </c>
      <c r="AA18" s="121"/>
      <c r="AB18" s="121"/>
      <c r="AC18" s="121">
        <f>AC17*0.3</f>
        <v>13298.701298701297</v>
      </c>
      <c r="AD18" s="121"/>
      <c r="AE18" s="121"/>
      <c r="AF18" s="121">
        <f>AF17*0.3</f>
        <v>26597.402597402594</v>
      </c>
      <c r="AG18" s="121"/>
      <c r="AH18" s="121"/>
      <c r="AI18" s="121">
        <f>AI17*0.3</f>
        <v>53194.805194805187</v>
      </c>
      <c r="AJ18" s="121"/>
      <c r="AK18" s="121"/>
      <c r="AL18" s="121">
        <f>AL17*0.3</f>
        <v>106389.61038961037</v>
      </c>
      <c r="AM18" s="121"/>
      <c r="AN18" s="121"/>
      <c r="AO18" s="121">
        <f>AO17*0.3</f>
        <v>212779.22077922075</v>
      </c>
      <c r="AP18" s="45"/>
      <c r="AQ18" s="81" t="s">
        <v>199</v>
      </c>
    </row>
    <row r="19" spans="1:43" s="81" customFormat="1" x14ac:dyDescent="0.25">
      <c r="A19" s="59" t="s">
        <v>198</v>
      </c>
      <c r="B19" s="100">
        <f>B18</f>
        <v>25.97402597402597</v>
      </c>
      <c r="C19" s="101"/>
      <c r="D19" s="101"/>
      <c r="E19" s="101">
        <f>E18</f>
        <v>51.94805194805194</v>
      </c>
      <c r="F19" s="101"/>
      <c r="G19" s="46"/>
      <c r="H19" s="101">
        <f>H18</f>
        <v>103.89610389610388</v>
      </c>
      <c r="I19" s="101"/>
      <c r="J19" s="101"/>
      <c r="K19" s="101">
        <f>K18</f>
        <v>207.79220779220776</v>
      </c>
      <c r="L19" s="101"/>
      <c r="M19" s="101"/>
      <c r="N19" s="101">
        <f>N18</f>
        <v>415.58441558441552</v>
      </c>
      <c r="O19" s="101"/>
      <c r="P19" s="101"/>
      <c r="Q19" s="101">
        <f>Q18</f>
        <v>831.16883116883105</v>
      </c>
      <c r="R19" s="101"/>
      <c r="S19" s="101"/>
      <c r="T19" s="101">
        <f>T18</f>
        <v>1662.3376623376621</v>
      </c>
      <c r="U19" s="101"/>
      <c r="V19" s="101"/>
      <c r="W19" s="138">
        <f>W18-B18</f>
        <v>3298.7012987012981</v>
      </c>
      <c r="X19" s="138"/>
      <c r="Y19" s="138"/>
      <c r="Z19" s="138">
        <f>Z18-E18</f>
        <v>6597.4025974025963</v>
      </c>
      <c r="AA19" s="138"/>
      <c r="AB19" s="138"/>
      <c r="AC19" s="138">
        <f>AC18-H18</f>
        <v>13194.805194805193</v>
      </c>
      <c r="AD19" s="138"/>
      <c r="AE19" s="138"/>
      <c r="AF19" s="138">
        <f>AF18-K18</f>
        <v>26389.610389610385</v>
      </c>
      <c r="AG19" s="138"/>
      <c r="AH19" s="138"/>
      <c r="AI19" s="138">
        <f>AI18-N18</f>
        <v>52779.22077922077</v>
      </c>
      <c r="AJ19" s="138"/>
      <c r="AK19" s="138"/>
      <c r="AL19" s="138">
        <f>AL18-Q18</f>
        <v>105558.44155844154</v>
      </c>
      <c r="AM19" s="138"/>
      <c r="AN19" s="138"/>
      <c r="AO19" s="138">
        <f>AO18-T18</f>
        <v>211116.88311688308</v>
      </c>
      <c r="AP19" s="139"/>
      <c r="AQ19" s="59" t="s">
        <v>198</v>
      </c>
    </row>
    <row r="20" spans="1:43" s="81" customFormat="1" x14ac:dyDescent="0.25">
      <c r="A20" t="s">
        <v>197</v>
      </c>
      <c r="B20" s="102"/>
      <c r="C20" s="121"/>
      <c r="D20" s="121"/>
      <c r="E20" s="121"/>
      <c r="F20" s="121"/>
      <c r="G20" s="45"/>
      <c r="H20" s="122"/>
      <c r="I20" s="123"/>
      <c r="J20" s="124"/>
      <c r="K20" s="148">
        <f>B17*0.7</f>
        <v>60.606060606060595</v>
      </c>
      <c r="L20" s="145"/>
      <c r="M20" s="146"/>
      <c r="N20" s="147">
        <f>E17*0.7</f>
        <v>121.21212121212119</v>
      </c>
      <c r="O20" s="145"/>
      <c r="P20" s="146"/>
      <c r="Q20" s="147">
        <f>H17*0.7</f>
        <v>242.42424242424238</v>
      </c>
      <c r="R20" s="145"/>
      <c r="S20" s="146"/>
      <c r="T20" s="147">
        <f>K17*0.7</f>
        <v>484.84848484848476</v>
      </c>
      <c r="U20" s="145"/>
      <c r="V20" s="146"/>
      <c r="W20" s="147">
        <f>N17*0.7</f>
        <v>969.69696969696952</v>
      </c>
      <c r="X20" s="145"/>
      <c r="Y20" s="146"/>
      <c r="Z20" s="147">
        <f>Q17*0.7</f>
        <v>1939.393939393939</v>
      </c>
      <c r="AA20" s="145"/>
      <c r="AB20" s="146"/>
      <c r="AC20" s="147">
        <f>T17*0.7</f>
        <v>3878.7878787878781</v>
      </c>
      <c r="AD20" s="145"/>
      <c r="AE20" s="146"/>
      <c r="AF20" s="147">
        <f>W17*0.7</f>
        <v>7757.5757575757561</v>
      </c>
      <c r="AG20" s="145"/>
      <c r="AH20" s="146"/>
      <c r="AI20" s="147">
        <f>Z17*0.7</f>
        <v>15515.151515151512</v>
      </c>
      <c r="AJ20" s="145"/>
      <c r="AK20" s="146"/>
      <c r="AL20" s="147">
        <f>AC17*0.7</f>
        <v>31030.303030303025</v>
      </c>
      <c r="AM20" s="145"/>
      <c r="AN20" s="146"/>
      <c r="AO20" s="147">
        <f>AF17*0.7</f>
        <v>62060.606060606049</v>
      </c>
      <c r="AP20" s="91"/>
      <c r="AQ20" t="s">
        <v>197</v>
      </c>
    </row>
    <row r="21" spans="1:43" s="81" customFormat="1" x14ac:dyDescent="0.25">
      <c r="A21" s="81" t="s">
        <v>177</v>
      </c>
      <c r="B21" s="93"/>
      <c r="C21" s="94"/>
      <c r="D21" s="94"/>
      <c r="E21" s="94"/>
      <c r="F21" s="94"/>
      <c r="G21" s="96"/>
      <c r="H21" s="140">
        <f>B17-B18</f>
        <v>60.606060606060602</v>
      </c>
      <c r="I21" s="140"/>
      <c r="J21" s="140"/>
      <c r="K21" s="140">
        <f>E17-E18</f>
        <v>121.2121212121212</v>
      </c>
      <c r="L21" s="140"/>
      <c r="M21" s="140"/>
      <c r="N21" s="140">
        <f>(H17-H18)*$E$35</f>
        <v>196.36363636363637</v>
      </c>
      <c r="O21" s="140"/>
      <c r="P21" s="140"/>
      <c r="Q21" s="140">
        <f>(K17-K18)*$E$35</f>
        <v>392.72727272727275</v>
      </c>
      <c r="R21" s="140"/>
      <c r="S21" s="140"/>
      <c r="T21" s="140">
        <f>(N17-N18)*$E$35</f>
        <v>785.4545454545455</v>
      </c>
      <c r="U21" s="140"/>
      <c r="V21" s="140"/>
      <c r="W21" s="140">
        <f>((Q17-Q18)*$E$35)-(H21*$E$35)</f>
        <v>1521.818181818182</v>
      </c>
      <c r="X21" s="140"/>
      <c r="Y21" s="140"/>
      <c r="Z21" s="140">
        <f>((T17-T18)*$E$35)-(K21*$E$35)</f>
        <v>3043.636363636364</v>
      </c>
      <c r="AA21" s="140"/>
      <c r="AB21" s="140"/>
      <c r="AC21" s="140">
        <f>((W17-W18)*$E$35)-N21</f>
        <v>6087.2727272727279</v>
      </c>
      <c r="AD21" s="140"/>
      <c r="AE21" s="140"/>
      <c r="AF21" s="140">
        <f>((Z17-Z18)*$E$35)-Q21</f>
        <v>12174.545454545456</v>
      </c>
      <c r="AG21" s="140"/>
      <c r="AH21" s="140"/>
      <c r="AI21" s="140">
        <f>((AC17-AC18)*$E$35)-T21</f>
        <v>24349.090909090912</v>
      </c>
      <c r="AJ21" s="140"/>
      <c r="AK21" s="140"/>
      <c r="AL21" s="140">
        <f>((AF17-AF18)*$E$35)-W21</f>
        <v>48747.272727272728</v>
      </c>
      <c r="AM21" s="140"/>
      <c r="AN21" s="140"/>
      <c r="AO21" s="140">
        <f>((AI17-AI18)*$E$35)-Z21</f>
        <v>97494.545454545456</v>
      </c>
      <c r="AP21" s="141"/>
      <c r="AQ21" s="81" t="s">
        <v>177</v>
      </c>
    </row>
    <row r="22" spans="1:43" s="81" customFormat="1" x14ac:dyDescent="0.25">
      <c r="A22" s="81" t="s">
        <v>178</v>
      </c>
      <c r="B22" s="93"/>
      <c r="C22" s="94"/>
      <c r="D22" s="94"/>
      <c r="E22" s="94"/>
      <c r="F22" s="94"/>
      <c r="G22" s="96"/>
      <c r="H22" s="123"/>
      <c r="I22" s="123"/>
      <c r="J22" s="123"/>
      <c r="K22" s="123"/>
      <c r="L22" s="123"/>
      <c r="M22" s="124"/>
      <c r="N22" s="142">
        <f>(H17-H18)*($E$36+$E$37)</f>
        <v>46.060606060606055</v>
      </c>
      <c r="O22" s="142"/>
      <c r="P22" s="142"/>
      <c r="Q22" s="142">
        <f>(K17-K18)*($E$36+$E$37)</f>
        <v>92.12121212121211</v>
      </c>
      <c r="R22" s="142"/>
      <c r="S22" s="142"/>
      <c r="T22" s="142">
        <f>(N17-N18)*$E$36</f>
        <v>135.75757575757575</v>
      </c>
      <c r="U22" s="142"/>
      <c r="V22" s="142"/>
      <c r="W22" s="142">
        <f>(Q17-Q18)*$E$36</f>
        <v>271.5151515151515</v>
      </c>
      <c r="X22" s="142"/>
      <c r="Y22" s="142"/>
      <c r="Z22" s="142">
        <f>(T17-T18)*$E$36</f>
        <v>543.030303030303</v>
      </c>
      <c r="AA22" s="142"/>
      <c r="AB22" s="142"/>
      <c r="AC22" s="142">
        <f>(W17-W18)*$E$36</f>
        <v>1086.060606060606</v>
      </c>
      <c r="AD22" s="142"/>
      <c r="AE22" s="142"/>
      <c r="AF22" s="142">
        <f>(Z17-Z18)*$E$36</f>
        <v>2172.121212121212</v>
      </c>
      <c r="AG22" s="142"/>
      <c r="AH22" s="142"/>
      <c r="AI22" s="142">
        <f>(AC17-AC18)*$E$36</f>
        <v>4344.242424242424</v>
      </c>
      <c r="AJ22" s="142"/>
      <c r="AK22" s="142"/>
      <c r="AL22" s="142">
        <f>(AF17-AF18)*$E$36</f>
        <v>8688.484848484848</v>
      </c>
      <c r="AM22" s="142"/>
      <c r="AN22" s="142"/>
      <c r="AO22" s="142">
        <f>(AI17-AI18)*$E$36</f>
        <v>17376.969696969696</v>
      </c>
      <c r="AP22" s="143"/>
      <c r="AQ22" s="81" t="s">
        <v>178</v>
      </c>
    </row>
    <row r="23" spans="1:43" s="81" customFormat="1" x14ac:dyDescent="0.25">
      <c r="A23" s="59" t="s">
        <v>179</v>
      </c>
      <c r="B23" s="93"/>
      <c r="C23" s="94"/>
      <c r="D23" s="94"/>
      <c r="E23" s="94"/>
      <c r="F23" s="94"/>
      <c r="G23" s="96"/>
      <c r="H23" s="101"/>
      <c r="I23" s="101"/>
      <c r="J23" s="101"/>
      <c r="K23" s="101"/>
      <c r="L23" s="101"/>
      <c r="M23" s="101"/>
      <c r="N23" s="123"/>
      <c r="O23" s="123"/>
      <c r="P23" s="123"/>
      <c r="Q23" s="123"/>
      <c r="R23" s="123"/>
      <c r="S23" s="124"/>
      <c r="T23" s="52">
        <f>(N17-N18)*$E$37</f>
        <v>48.484848484848484</v>
      </c>
      <c r="U23" s="52"/>
      <c r="V23" s="52"/>
      <c r="W23" s="52">
        <f>(Q17-Q18)*$E$37</f>
        <v>96.969696969696969</v>
      </c>
      <c r="X23" s="52"/>
      <c r="Y23" s="52"/>
      <c r="Z23" s="52">
        <f>(T17-T18)*$E$37</f>
        <v>193.93939393939394</v>
      </c>
      <c r="AA23" s="52"/>
      <c r="AB23" s="52"/>
      <c r="AC23" s="52">
        <f>(W17-W18)*$E$37</f>
        <v>387.87878787878788</v>
      </c>
      <c r="AD23" s="52"/>
      <c r="AE23" s="52"/>
      <c r="AF23" s="52">
        <f>(Z17-Z18)*$E$37</f>
        <v>775.75757575757575</v>
      </c>
      <c r="AG23" s="52"/>
      <c r="AH23" s="52"/>
      <c r="AI23" s="52">
        <f>(AC17-AC18)*$E$37</f>
        <v>1551.5151515151515</v>
      </c>
      <c r="AJ23" s="52"/>
      <c r="AK23" s="52"/>
      <c r="AL23" s="52">
        <f>(AF17-AF18)*$E$37</f>
        <v>3103.030303030303</v>
      </c>
      <c r="AM23" s="52"/>
      <c r="AN23" s="52"/>
      <c r="AO23" s="52">
        <f>(AI17-AI18)*$E$37</f>
        <v>6206.060606060606</v>
      </c>
      <c r="AP23" s="144"/>
      <c r="AQ23" s="59" t="s">
        <v>179</v>
      </c>
    </row>
    <row r="24" spans="1:43" s="81" customFormat="1" x14ac:dyDescent="0.25">
      <c r="A24" s="59" t="s">
        <v>184</v>
      </c>
      <c r="B24" s="100"/>
      <c r="C24" s="101"/>
      <c r="D24" s="101"/>
      <c r="E24" s="101"/>
      <c r="F24" s="101"/>
      <c r="G24" s="46"/>
      <c r="H24" s="101"/>
      <c r="I24" s="101"/>
      <c r="J24" s="101"/>
      <c r="K24" s="101"/>
      <c r="L24" s="101"/>
      <c r="M24" s="101"/>
      <c r="N24" s="101"/>
      <c r="O24" s="101"/>
      <c r="P24" s="101"/>
      <c r="Q24" s="101"/>
      <c r="R24" s="101"/>
      <c r="S24" s="101"/>
      <c r="T24" s="123"/>
      <c r="U24" s="124"/>
      <c r="V24" s="125">
        <f>H21*$E$35</f>
        <v>49.090909090909093</v>
      </c>
      <c r="W24" s="125"/>
      <c r="X24" s="125"/>
      <c r="Y24" s="125">
        <f>K21*$E$35</f>
        <v>98.181818181818187</v>
      </c>
      <c r="Z24" s="125"/>
      <c r="AA24" s="125"/>
      <c r="AB24" s="125">
        <f>N21</f>
        <v>196.36363636363637</v>
      </c>
      <c r="AC24" s="125"/>
      <c r="AD24" s="125"/>
      <c r="AE24" s="125">
        <f>Q21</f>
        <v>392.72727272727275</v>
      </c>
      <c r="AF24" s="125"/>
      <c r="AG24" s="125"/>
      <c r="AH24" s="125">
        <f>T21</f>
        <v>785.4545454545455</v>
      </c>
      <c r="AI24" s="125"/>
      <c r="AJ24" s="125"/>
      <c r="AK24" s="125">
        <f>W21</f>
        <v>1521.818181818182</v>
      </c>
      <c r="AL24" s="125"/>
      <c r="AM24" s="125"/>
      <c r="AN24" s="125">
        <f>Z21</f>
        <v>3043.636363636364</v>
      </c>
      <c r="AO24" s="125"/>
      <c r="AP24" s="126"/>
      <c r="AQ24" s="59" t="s">
        <v>184</v>
      </c>
    </row>
    <row r="25" spans="1:43" x14ac:dyDescent="0.25">
      <c r="A25" s="59" t="s">
        <v>173</v>
      </c>
      <c r="B25" s="115"/>
      <c r="C25" s="116"/>
      <c r="D25" s="116"/>
      <c r="E25" s="116"/>
      <c r="F25" s="116"/>
      <c r="G25" s="117"/>
      <c r="H25" s="108"/>
      <c r="I25" s="108"/>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49">
        <f>E32</f>
        <v>1</v>
      </c>
      <c r="AQ25" s="59" t="s">
        <v>173</v>
      </c>
    </row>
    <row r="26" spans="1:43" x14ac:dyDescent="0.25">
      <c r="A26" s="150" t="s">
        <v>204</v>
      </c>
      <c r="B26" s="105">
        <f t="shared" ref="B26:G26" ca="1" si="0">C26-1</f>
        <v>43885.653722106479</v>
      </c>
      <c r="C26" s="106">
        <f t="shared" ca="1" si="0"/>
        <v>43886.653722106479</v>
      </c>
      <c r="D26" s="106">
        <f t="shared" ca="1" si="0"/>
        <v>43887.653722106479</v>
      </c>
      <c r="E26" s="106">
        <f t="shared" ca="1" si="0"/>
        <v>43888.653722106479</v>
      </c>
      <c r="F26" s="106">
        <f t="shared" ca="1" si="0"/>
        <v>43889.653722106479</v>
      </c>
      <c r="G26" s="107">
        <f t="shared" ca="1" si="0"/>
        <v>43890.653722106479</v>
      </c>
      <c r="H26" s="106">
        <f t="shared" ref="H26:U26" ca="1" si="1">I26-1</f>
        <v>43891.653722106479</v>
      </c>
      <c r="I26" s="106">
        <f t="shared" ca="1" si="1"/>
        <v>43892.653722106479</v>
      </c>
      <c r="J26" s="106">
        <f t="shared" ca="1" si="1"/>
        <v>43893.653722106479</v>
      </c>
      <c r="K26" s="106">
        <f t="shared" ca="1" si="1"/>
        <v>43894.653722106479</v>
      </c>
      <c r="L26" s="106">
        <f t="shared" ca="1" si="1"/>
        <v>43895.653722106479</v>
      </c>
      <c r="M26" s="106">
        <f t="shared" ca="1" si="1"/>
        <v>43896.653722106479</v>
      </c>
      <c r="N26" s="107">
        <f t="shared" ca="1" si="1"/>
        <v>43897.653722106479</v>
      </c>
      <c r="O26" s="105">
        <f t="shared" ca="1" si="1"/>
        <v>43898.653722106479</v>
      </c>
      <c r="P26" s="106">
        <f t="shared" ca="1" si="1"/>
        <v>43899.653722106479</v>
      </c>
      <c r="Q26" s="106">
        <f t="shared" ca="1" si="1"/>
        <v>43900.653722106479</v>
      </c>
      <c r="R26" s="106">
        <f t="shared" ca="1" si="1"/>
        <v>43901.653722106479</v>
      </c>
      <c r="S26" s="106">
        <f t="shared" ca="1" si="1"/>
        <v>43902.653722106479</v>
      </c>
      <c r="T26" s="106">
        <f t="shared" ca="1" si="1"/>
        <v>43903.653722106479</v>
      </c>
      <c r="U26" s="107">
        <f t="shared" ca="1" si="1"/>
        <v>43904.653722106479</v>
      </c>
      <c r="V26" s="105">
        <f t="shared" ref="V26:AN26" ca="1" si="2">W26-1</f>
        <v>43905.653722106479</v>
      </c>
      <c r="W26" s="106">
        <f t="shared" ca="1" si="2"/>
        <v>43906.653722106479</v>
      </c>
      <c r="X26" s="106">
        <f t="shared" ca="1" si="2"/>
        <v>43907.653722106479</v>
      </c>
      <c r="Y26" s="106">
        <f t="shared" ca="1" si="2"/>
        <v>43908.653722106479</v>
      </c>
      <c r="Z26" s="106">
        <f t="shared" ca="1" si="2"/>
        <v>43909.653722106479</v>
      </c>
      <c r="AA26" s="106">
        <f t="shared" ca="1" si="2"/>
        <v>43910.653722106479</v>
      </c>
      <c r="AB26" s="107">
        <f t="shared" ca="1" si="2"/>
        <v>43911.653722106479</v>
      </c>
      <c r="AC26" s="105">
        <f t="shared" ca="1" si="2"/>
        <v>43912.653722106479</v>
      </c>
      <c r="AD26" s="106">
        <f t="shared" ca="1" si="2"/>
        <v>43913.653722106479</v>
      </c>
      <c r="AE26" s="106">
        <f t="shared" ca="1" si="2"/>
        <v>43914.653722106479</v>
      </c>
      <c r="AF26" s="106">
        <f t="shared" ca="1" si="2"/>
        <v>43915.653722106479</v>
      </c>
      <c r="AG26" s="106">
        <f t="shared" ca="1" si="2"/>
        <v>43916.653722106479</v>
      </c>
      <c r="AH26" s="106">
        <f t="shared" ca="1" si="2"/>
        <v>43917.653722106479</v>
      </c>
      <c r="AI26" s="107">
        <f t="shared" ca="1" si="2"/>
        <v>43918.653722106479</v>
      </c>
      <c r="AJ26" s="105">
        <f t="shared" ca="1" si="2"/>
        <v>43919.653722106479</v>
      </c>
      <c r="AK26" s="106">
        <f t="shared" ca="1" si="2"/>
        <v>43920.653722106479</v>
      </c>
      <c r="AL26" s="106">
        <f t="shared" ca="1" si="2"/>
        <v>43921.653722106479</v>
      </c>
      <c r="AM26" s="106">
        <f t="shared" ca="1" si="2"/>
        <v>43922.653722106479</v>
      </c>
      <c r="AN26" s="106">
        <f t="shared" ca="1" si="2"/>
        <v>43923.653722106479</v>
      </c>
      <c r="AO26" s="106">
        <f ca="1">AP26-1</f>
        <v>43924.653722106479</v>
      </c>
      <c r="AP26" s="127">
        <f ca="1">NOW()</f>
        <v>43925.653722106479</v>
      </c>
    </row>
    <row r="27" spans="1:43" x14ac:dyDescent="0.25">
      <c r="A27" s="151" t="s">
        <v>205</v>
      </c>
      <c r="B27" s="134">
        <v>1</v>
      </c>
      <c r="C27" s="135">
        <v>2</v>
      </c>
      <c r="D27" s="134">
        <v>3</v>
      </c>
      <c r="E27" s="135">
        <v>4</v>
      </c>
      <c r="F27" s="134">
        <v>5</v>
      </c>
      <c r="G27" s="136">
        <v>6</v>
      </c>
      <c r="H27" s="135">
        <v>7</v>
      </c>
      <c r="I27" s="135">
        <v>8</v>
      </c>
      <c r="J27" s="135">
        <v>9</v>
      </c>
      <c r="K27" s="135">
        <v>10</v>
      </c>
      <c r="L27" s="135">
        <v>11</v>
      </c>
      <c r="M27" s="135">
        <v>12</v>
      </c>
      <c r="N27" s="136">
        <v>13</v>
      </c>
      <c r="O27" s="134">
        <v>14</v>
      </c>
      <c r="P27" s="135">
        <v>15</v>
      </c>
      <c r="Q27" s="135">
        <v>16</v>
      </c>
      <c r="R27" s="135">
        <v>17</v>
      </c>
      <c r="S27" s="135">
        <v>18</v>
      </c>
      <c r="T27" s="135">
        <v>19</v>
      </c>
      <c r="U27" s="136">
        <v>20</v>
      </c>
      <c r="V27" s="134">
        <v>21</v>
      </c>
      <c r="W27" s="135">
        <v>22</v>
      </c>
      <c r="X27" s="135">
        <v>23</v>
      </c>
      <c r="Y27" s="135">
        <v>24</v>
      </c>
      <c r="Z27" s="135">
        <v>25</v>
      </c>
      <c r="AA27" s="135">
        <v>26</v>
      </c>
      <c r="AB27" s="136">
        <v>27</v>
      </c>
      <c r="AC27" s="134">
        <v>28</v>
      </c>
      <c r="AD27" s="135">
        <v>29</v>
      </c>
      <c r="AE27" s="135">
        <v>30</v>
      </c>
      <c r="AF27" s="135">
        <v>31</v>
      </c>
      <c r="AG27" s="135">
        <v>32</v>
      </c>
      <c r="AH27" s="135">
        <v>33</v>
      </c>
      <c r="AI27" s="136">
        <v>34</v>
      </c>
      <c r="AJ27" s="134">
        <v>35</v>
      </c>
      <c r="AK27" s="135">
        <v>36</v>
      </c>
      <c r="AL27" s="135">
        <v>37</v>
      </c>
      <c r="AM27" s="135">
        <v>38</v>
      </c>
      <c r="AN27" s="135">
        <v>39</v>
      </c>
      <c r="AO27" s="135">
        <v>40</v>
      </c>
      <c r="AP27" s="136">
        <v>41</v>
      </c>
    </row>
    <row r="28" spans="1:43" x14ac:dyDescent="0.25">
      <c r="A28" s="152" t="s">
        <v>206</v>
      </c>
      <c r="B28" s="222" t="s">
        <v>171</v>
      </c>
      <c r="C28" s="223"/>
      <c r="D28" s="223"/>
      <c r="E28" s="223"/>
      <c r="F28" s="223"/>
      <c r="G28" s="224"/>
      <c r="H28" s="228" t="s">
        <v>158</v>
      </c>
      <c r="I28" s="228"/>
      <c r="J28" s="228"/>
      <c r="K28" s="228"/>
      <c r="L28" s="228"/>
      <c r="M28" s="228"/>
      <c r="N28" s="229"/>
      <c r="O28" s="227" t="s">
        <v>159</v>
      </c>
      <c r="P28" s="228"/>
      <c r="Q28" s="228"/>
      <c r="R28" s="228"/>
      <c r="S28" s="228"/>
      <c r="T28" s="228"/>
      <c r="U28" s="229"/>
      <c r="V28" s="227" t="s">
        <v>160</v>
      </c>
      <c r="W28" s="228"/>
      <c r="X28" s="228"/>
      <c r="Y28" s="228"/>
      <c r="Z28" s="228"/>
      <c r="AA28" s="228"/>
      <c r="AB28" s="229"/>
      <c r="AC28" s="227" t="s">
        <v>161</v>
      </c>
      <c r="AD28" s="228"/>
      <c r="AE28" s="228"/>
      <c r="AF28" s="228"/>
      <c r="AG28" s="228"/>
      <c r="AH28" s="228"/>
      <c r="AI28" s="229"/>
      <c r="AJ28" s="227" t="s">
        <v>162</v>
      </c>
      <c r="AK28" s="228"/>
      <c r="AL28" s="228"/>
      <c r="AM28" s="228"/>
      <c r="AN28" s="228"/>
      <c r="AO28" s="228"/>
      <c r="AP28" s="229"/>
    </row>
    <row r="29" spans="1:43" x14ac:dyDescent="0.25">
      <c r="B29" s="63" t="s">
        <v>183</v>
      </c>
      <c r="C29" s="112"/>
      <c r="D29" s="112"/>
      <c r="E29" s="112"/>
      <c r="F29" s="112"/>
      <c r="G29" s="113"/>
      <c r="H29" s="225" t="s">
        <v>170</v>
      </c>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6"/>
    </row>
    <row r="31" spans="1:43" x14ac:dyDescent="0.25">
      <c r="B31" s="69" t="s">
        <v>172</v>
      </c>
      <c r="C31" s="155" t="s">
        <v>193</v>
      </c>
      <c r="D31" s="21"/>
      <c r="E31" s="99">
        <f>VLOOKUP(C31,B43:C53,2,FALSE)</f>
        <v>3.5000000000000003E-2</v>
      </c>
      <c r="F31" s="21"/>
      <c r="G31" s="21"/>
      <c r="H31" s="21"/>
      <c r="I31" s="17"/>
    </row>
    <row r="32" spans="1:43" x14ac:dyDescent="0.25">
      <c r="B32" s="53" t="s">
        <v>203</v>
      </c>
      <c r="C32" s="28"/>
      <c r="D32" s="28"/>
      <c r="E32" s="156">
        <v>1</v>
      </c>
      <c r="F32" s="28"/>
      <c r="G32" s="28"/>
      <c r="H32" s="28"/>
      <c r="I32" s="29"/>
    </row>
    <row r="33" spans="2:22" x14ac:dyDescent="0.25">
      <c r="B33" s="53" t="s">
        <v>174</v>
      </c>
      <c r="C33" s="28"/>
      <c r="D33" s="28"/>
      <c r="E33" s="28">
        <v>3</v>
      </c>
      <c r="F33" s="28" t="s">
        <v>175</v>
      </c>
      <c r="G33" s="28"/>
      <c r="H33" s="28"/>
      <c r="I33" s="29"/>
    </row>
    <row r="34" spans="2:22" x14ac:dyDescent="0.25">
      <c r="B34" s="53" t="s">
        <v>195</v>
      </c>
      <c r="C34" s="28"/>
      <c r="D34" s="28"/>
      <c r="E34" s="87">
        <v>0.3</v>
      </c>
      <c r="F34" s="28" t="s">
        <v>201</v>
      </c>
      <c r="G34" s="28"/>
      <c r="H34" s="28"/>
      <c r="I34" s="29"/>
    </row>
    <row r="35" spans="2:22" x14ac:dyDescent="0.25">
      <c r="B35" s="53" t="s">
        <v>180</v>
      </c>
      <c r="C35" s="28"/>
      <c r="D35" s="28"/>
      <c r="E35" s="157">
        <v>0.81</v>
      </c>
      <c r="F35" s="28" t="s">
        <v>202</v>
      </c>
      <c r="G35" s="28"/>
      <c r="H35" s="28"/>
      <c r="I35" s="29"/>
    </row>
    <row r="36" spans="2:22" x14ac:dyDescent="0.25">
      <c r="B36" s="53" t="s">
        <v>181</v>
      </c>
      <c r="C36" s="28"/>
      <c r="D36" s="28"/>
      <c r="E36" s="157">
        <v>0.14000000000000001</v>
      </c>
      <c r="F36" s="28" t="s">
        <v>202</v>
      </c>
      <c r="G36" s="28"/>
      <c r="H36" s="28"/>
      <c r="I36" s="29"/>
    </row>
    <row r="37" spans="2:22" x14ac:dyDescent="0.25">
      <c r="B37" s="53" t="s">
        <v>182</v>
      </c>
      <c r="C37" s="28"/>
      <c r="D37" s="28"/>
      <c r="E37" s="157">
        <v>0.05</v>
      </c>
      <c r="F37" s="28" t="s">
        <v>202</v>
      </c>
      <c r="G37" s="28"/>
      <c r="H37" s="28"/>
      <c r="I37" s="29"/>
    </row>
    <row r="38" spans="2:22" x14ac:dyDescent="0.25">
      <c r="B38" s="53" t="s">
        <v>185</v>
      </c>
      <c r="C38" s="28"/>
      <c r="D38" s="28"/>
      <c r="E38" s="153">
        <v>2</v>
      </c>
      <c r="F38" s="28" t="s">
        <v>186</v>
      </c>
      <c r="G38" s="28"/>
      <c r="H38" s="28"/>
      <c r="I38" s="29"/>
    </row>
    <row r="39" spans="2:22" x14ac:dyDescent="0.25">
      <c r="B39" s="49" t="s">
        <v>187</v>
      </c>
      <c r="C39" s="154"/>
      <c r="D39" s="51"/>
      <c r="E39" s="133">
        <v>4</v>
      </c>
      <c r="F39" s="51" t="s">
        <v>186</v>
      </c>
      <c r="G39" s="51" t="s">
        <v>188</v>
      </c>
      <c r="H39" s="51"/>
      <c r="I39" s="75"/>
    </row>
    <row r="42" spans="2:22" x14ac:dyDescent="0.25">
      <c r="B42" t="s">
        <v>194</v>
      </c>
    </row>
    <row r="43" spans="2:22" x14ac:dyDescent="0.25">
      <c r="B43" s="16" t="s">
        <v>193</v>
      </c>
      <c r="C43" s="132">
        <v>3.5000000000000003E-2</v>
      </c>
    </row>
    <row r="44" spans="2:22" x14ac:dyDescent="0.25">
      <c r="B44" s="53" t="s">
        <v>192</v>
      </c>
      <c r="C44" s="39">
        <v>2.3E-2</v>
      </c>
    </row>
    <row r="45" spans="2:22" x14ac:dyDescent="0.25">
      <c r="B45" s="53" t="s">
        <v>13</v>
      </c>
      <c r="C45" s="39">
        <v>0.14799999999999999</v>
      </c>
    </row>
    <row r="46" spans="2:22" x14ac:dyDescent="0.25">
      <c r="B46" s="53" t="s">
        <v>14</v>
      </c>
      <c r="C46" s="39">
        <v>0.08</v>
      </c>
    </row>
    <row r="47" spans="2:22" x14ac:dyDescent="0.25">
      <c r="B47" s="53" t="s">
        <v>15</v>
      </c>
      <c r="C47" s="39">
        <v>3.5999999999999997E-2</v>
      </c>
    </row>
    <row r="48" spans="2:22" x14ac:dyDescent="0.25">
      <c r="B48" s="53" t="s">
        <v>16</v>
      </c>
      <c r="C48" s="39">
        <v>1.2999999999999999E-2</v>
      </c>
      <c r="V48" s="137"/>
    </row>
    <row r="49" spans="2:3" x14ac:dyDescent="0.25">
      <c r="B49" s="53" t="s">
        <v>17</v>
      </c>
      <c r="C49" s="39">
        <v>4.0000000000000001E-3</v>
      </c>
    </row>
    <row r="50" spans="2:3" x14ac:dyDescent="0.25">
      <c r="B50" s="53" t="s">
        <v>18</v>
      </c>
      <c r="C50" s="39">
        <v>2E-3</v>
      </c>
    </row>
    <row r="51" spans="2:3" x14ac:dyDescent="0.25">
      <c r="B51" s="53" t="s">
        <v>19</v>
      </c>
      <c r="C51" s="39">
        <v>2E-3</v>
      </c>
    </row>
    <row r="52" spans="2:3" x14ac:dyDescent="0.25">
      <c r="B52" s="54" t="s">
        <v>20</v>
      </c>
      <c r="C52" s="39">
        <v>2E-3</v>
      </c>
    </row>
    <row r="53" spans="2:3" x14ac:dyDescent="0.25">
      <c r="B53" s="55" t="s">
        <v>21</v>
      </c>
      <c r="C53" s="40">
        <v>0</v>
      </c>
    </row>
    <row r="55" spans="2:3" x14ac:dyDescent="0.25">
      <c r="B55" t="s">
        <v>207</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$B$43:$B$53</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E84"/>
  <sheetViews>
    <sheetView tabSelected="1" zoomScaleNormal="100" workbookViewId="0">
      <selection activeCell="V11" sqref="V11"/>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5" width="10.7109375" bestFit="1" customWidth="1"/>
    <col min="6" max="6" width="11.28515625" customWidth="1"/>
    <col min="7" max="7" width="10.7109375" customWidth="1"/>
    <col min="8" max="8" width="10.85546875" bestFit="1" customWidth="1"/>
    <col min="9" max="9" width="15.42578125" bestFit="1" customWidth="1"/>
    <col min="10" max="11" width="10.85546875" bestFit="1" customWidth="1"/>
    <col min="12" max="12" width="10.5703125" customWidth="1"/>
    <col min="13" max="13" width="11.28515625" bestFit="1" customWidth="1"/>
    <col min="14" max="14" width="11" customWidth="1"/>
    <col min="15" max="15" width="10.7109375" customWidth="1"/>
    <col min="16" max="17" width="10.85546875" bestFit="1" customWidth="1"/>
    <col min="18" max="18" width="10.85546875" customWidth="1"/>
    <col min="19" max="20" width="10.85546875" bestFit="1" customWidth="1"/>
    <col min="21" max="21" width="11.28515625" customWidth="1"/>
    <col min="22" max="23" width="10.85546875" bestFit="1" customWidth="1"/>
    <col min="24" max="24" width="10.7109375" customWidth="1"/>
    <col min="25" max="25" width="12.28515625" customWidth="1"/>
    <col min="26" max="26" width="10.85546875" bestFit="1" customWidth="1"/>
    <col min="27" max="27" width="11.28515625" bestFit="1" customWidth="1"/>
    <col min="28" max="28" width="10.5703125" style="81" bestFit="1" customWidth="1"/>
    <col min="29" max="29" width="11.140625" bestFit="1" customWidth="1"/>
    <col min="30" max="30" width="12.140625" bestFit="1" customWidth="1"/>
  </cols>
  <sheetData>
    <row r="1" spans="1:28" x14ac:dyDescent="0.25">
      <c r="D1" t="s">
        <v>229</v>
      </c>
    </row>
    <row r="2" spans="1:28" x14ac:dyDescent="0.25">
      <c r="D2" s="187">
        <v>43862</v>
      </c>
      <c r="E2" s="188" t="s">
        <v>280</v>
      </c>
      <c r="F2" s="187">
        <f>D2+14</f>
        <v>43876</v>
      </c>
    </row>
    <row r="3" spans="1:28" x14ac:dyDescent="0.25">
      <c r="F3" s="187">
        <v>43891</v>
      </c>
      <c r="G3" s="188" t="s">
        <v>281</v>
      </c>
      <c r="H3" s="188"/>
      <c r="I3" s="188"/>
      <c r="J3" s="187">
        <f>F3+14</f>
        <v>43905</v>
      </c>
    </row>
    <row r="4" spans="1:28" x14ac:dyDescent="0.25">
      <c r="G4" s="187">
        <v>43895</v>
      </c>
      <c r="H4" s="188" t="s">
        <v>282</v>
      </c>
      <c r="I4" s="188"/>
      <c r="J4" s="188"/>
      <c r="K4" s="187">
        <f>G4+14</f>
        <v>43909</v>
      </c>
    </row>
    <row r="5" spans="1:28" x14ac:dyDescent="0.25">
      <c r="A5" s="16" t="s">
        <v>0</v>
      </c>
      <c r="B5" s="182">
        <v>25634000</v>
      </c>
      <c r="C5" t="s">
        <v>152</v>
      </c>
      <c r="I5" s="187">
        <v>43901</v>
      </c>
      <c r="J5" s="188" t="s">
        <v>286</v>
      </c>
      <c r="K5" s="188"/>
      <c r="L5" s="188"/>
      <c r="M5" s="187">
        <f>I5+14</f>
        <v>43915</v>
      </c>
    </row>
    <row r="6" spans="1:28" x14ac:dyDescent="0.25">
      <c r="A6" s="16" t="s">
        <v>222</v>
      </c>
      <c r="B6" s="184">
        <v>0.33</v>
      </c>
      <c r="C6" t="s">
        <v>221</v>
      </c>
      <c r="J6" s="187">
        <v>43906</v>
      </c>
      <c r="K6" s="188" t="s">
        <v>283</v>
      </c>
      <c r="L6" s="188"/>
      <c r="M6" s="188"/>
      <c r="N6" s="187">
        <f>J6+14</f>
        <v>43920</v>
      </c>
    </row>
    <row r="7" spans="1:28" x14ac:dyDescent="0.25">
      <c r="A7" s="49" t="s">
        <v>225</v>
      </c>
      <c r="B7" s="183">
        <v>0.2</v>
      </c>
      <c r="K7" s="187">
        <v>43908</v>
      </c>
      <c r="L7" s="233" t="s">
        <v>284</v>
      </c>
      <c r="M7" s="233"/>
      <c r="N7" s="187">
        <f>K7+14</f>
        <v>43922</v>
      </c>
    </row>
    <row r="8" spans="1:28" x14ac:dyDescent="0.25">
      <c r="A8" s="53" t="s">
        <v>145</v>
      </c>
      <c r="B8" s="128">
        <v>2.6</v>
      </c>
      <c r="C8" s="76">
        <f>(B5/1000)*B8</f>
        <v>66648.400000000009</v>
      </c>
      <c r="L8" s="187">
        <v>43911</v>
      </c>
      <c r="M8" s="188" t="s">
        <v>285</v>
      </c>
      <c r="N8" s="188"/>
      <c r="O8" s="187">
        <f>L8+14</f>
        <v>43925</v>
      </c>
    </row>
    <row r="9" spans="1:28" x14ac:dyDescent="0.25">
      <c r="A9" s="53" t="s">
        <v>146</v>
      </c>
      <c r="B9" s="128">
        <v>7.4</v>
      </c>
      <c r="C9" s="73">
        <f>(B5/100000)*B9</f>
        <v>1896.9159999999999</v>
      </c>
      <c r="L9" s="187">
        <v>43913</v>
      </c>
      <c r="M9" s="188" t="s">
        <v>226</v>
      </c>
      <c r="N9" s="188"/>
      <c r="O9" s="187">
        <f>L9+14</f>
        <v>43927</v>
      </c>
    </row>
    <row r="10" spans="1:28" x14ac:dyDescent="0.25">
      <c r="A10" s="16" t="s">
        <v>177</v>
      </c>
      <c r="B10" s="129">
        <v>0.81</v>
      </c>
      <c r="C10" s="2"/>
      <c r="M10" s="189">
        <v>43915</v>
      </c>
      <c r="N10" s="188" t="s">
        <v>227</v>
      </c>
      <c r="O10" s="187">
        <f>M10+14</f>
        <v>43929</v>
      </c>
    </row>
    <row r="11" spans="1:28" x14ac:dyDescent="0.25">
      <c r="A11" s="53" t="s">
        <v>178</v>
      </c>
      <c r="B11" s="130">
        <v>0.14000000000000001</v>
      </c>
      <c r="C11" s="2"/>
      <c r="L11" s="28"/>
      <c r="N11" s="187">
        <v>43920</v>
      </c>
      <c r="O11" s="188" t="s">
        <v>228</v>
      </c>
      <c r="P11" s="187">
        <f>N11+14</f>
        <v>43934</v>
      </c>
    </row>
    <row r="12" spans="1:28" x14ac:dyDescent="0.25">
      <c r="A12" s="49" t="s">
        <v>217</v>
      </c>
      <c r="B12" s="131">
        <v>0.05</v>
      </c>
      <c r="C12" s="2"/>
      <c r="K12" s="28"/>
      <c r="L12" s="16" t="s">
        <v>165</v>
      </c>
      <c r="M12" s="21"/>
      <c r="N12" s="17"/>
      <c r="Z12" s="205"/>
    </row>
    <row r="13" spans="1:28" x14ac:dyDescent="0.25">
      <c r="A13" s="49" t="s">
        <v>223</v>
      </c>
      <c r="B13" s="77">
        <v>3.5000000000000003E-2</v>
      </c>
      <c r="C13" s="2"/>
      <c r="D13" t="s">
        <v>279</v>
      </c>
      <c r="L13" s="53" t="s">
        <v>153</v>
      </c>
      <c r="M13" s="28"/>
      <c r="N13" s="29"/>
      <c r="Y13" s="206"/>
    </row>
    <row r="14" spans="1:28" x14ac:dyDescent="0.25">
      <c r="A14" s="180" t="s">
        <v>210</v>
      </c>
      <c r="B14" s="181">
        <v>43855</v>
      </c>
      <c r="C14" s="2"/>
      <c r="D14" s="206">
        <f>(X17-G17)/(LOG(X18/G18)/LOG(2))</f>
        <v>10.411764705882353</v>
      </c>
      <c r="E14" s="205"/>
      <c r="J14" s="28"/>
      <c r="K14" s="28"/>
      <c r="L14" s="53"/>
      <c r="M14" s="28" t="s">
        <v>154</v>
      </c>
      <c r="N14" s="29"/>
    </row>
    <row r="15" spans="1:28" x14ac:dyDescent="0.25">
      <c r="A15" s="28"/>
      <c r="B15" s="62" t="s">
        <v>151</v>
      </c>
      <c r="C15" s="22"/>
      <c r="D15" s="28"/>
      <c r="E15" s="28"/>
      <c r="F15" s="28"/>
      <c r="G15" s="28"/>
      <c r="H15" s="28"/>
      <c r="I15" s="28"/>
      <c r="J15" s="28"/>
      <c r="K15" s="28"/>
      <c r="L15" s="53"/>
      <c r="M15" s="28"/>
      <c r="N15" s="29" t="s">
        <v>155</v>
      </c>
      <c r="O15" s="28"/>
      <c r="P15" s="28"/>
      <c r="Q15" s="28"/>
      <c r="R15" s="28"/>
      <c r="S15" s="28"/>
      <c r="T15" s="28"/>
      <c r="U15" s="28"/>
      <c r="V15" s="28"/>
      <c r="W15" s="28"/>
      <c r="X15" s="28"/>
      <c r="AB15" s="178"/>
    </row>
    <row r="16" spans="1:28" x14ac:dyDescent="0.25">
      <c r="A16" s="65" t="s">
        <v>134</v>
      </c>
      <c r="B16" s="231">
        <v>43892</v>
      </c>
      <c r="C16" s="231">
        <v>43908</v>
      </c>
      <c r="D16" s="231">
        <v>43914</v>
      </c>
      <c r="E16" s="231">
        <v>43933</v>
      </c>
      <c r="F16" s="103"/>
      <c r="G16" s="232" t="s">
        <v>166</v>
      </c>
      <c r="H16" s="28"/>
      <c r="I16" s="28"/>
      <c r="J16" s="28"/>
      <c r="K16" s="28"/>
      <c r="L16" s="49"/>
      <c r="M16" s="51"/>
      <c r="N16" s="75"/>
      <c r="O16" s="103" t="s">
        <v>132</v>
      </c>
      <c r="P16" s="213"/>
      <c r="Q16" s="28"/>
      <c r="R16" s="28"/>
      <c r="S16" s="28"/>
      <c r="U16" s="28"/>
      <c r="V16" s="28"/>
      <c r="W16" s="28"/>
      <c r="X16" s="28"/>
      <c r="Y16" t="s">
        <v>224</v>
      </c>
    </row>
    <row r="17" spans="1:31" x14ac:dyDescent="0.25">
      <c r="A17" s="16" t="s">
        <v>12</v>
      </c>
      <c r="B17" s="185">
        <v>4</v>
      </c>
      <c r="C17" s="186">
        <v>3</v>
      </c>
      <c r="D17" s="98">
        <v>5</v>
      </c>
      <c r="E17" s="21">
        <v>15</v>
      </c>
      <c r="F17" s="21"/>
      <c r="G17" s="172">
        <v>43892</v>
      </c>
      <c r="H17" s="173">
        <f>G17+$B$17</f>
        <v>43896</v>
      </c>
      <c r="I17" s="173">
        <f>H17+$B$17</f>
        <v>43900</v>
      </c>
      <c r="J17" s="173">
        <f>I17+$B$17</f>
        <v>43904</v>
      </c>
      <c r="K17" s="173">
        <f>J17+$B$17</f>
        <v>43908</v>
      </c>
      <c r="L17" s="174">
        <f t="shared" ref="L17:M17" si="0">K17+$C$17</f>
        <v>43911</v>
      </c>
      <c r="M17" s="175">
        <f t="shared" si="0"/>
        <v>43914</v>
      </c>
      <c r="N17" s="95">
        <f t="shared" ref="N17" si="1">M17+$D$17</f>
        <v>43919</v>
      </c>
      <c r="O17" s="176">
        <f>N17+$E$17</f>
        <v>43934</v>
      </c>
      <c r="P17" s="234">
        <f>O17+$E$17</f>
        <v>43949</v>
      </c>
      <c r="Q17" s="235">
        <f>P17+$E$17</f>
        <v>43964</v>
      </c>
      <c r="R17" s="235">
        <f>Q17+$E$17</f>
        <v>43979</v>
      </c>
      <c r="S17" s="235">
        <f>R17+$E$17</f>
        <v>43994</v>
      </c>
      <c r="T17" s="235">
        <f t="shared" ref="T17:X17" si="2">S17+$E$17</f>
        <v>44009</v>
      </c>
      <c r="U17" s="235">
        <f t="shared" si="2"/>
        <v>44024</v>
      </c>
      <c r="V17" s="235">
        <f t="shared" si="2"/>
        <v>44039</v>
      </c>
      <c r="W17" s="235">
        <f t="shared" si="2"/>
        <v>44054</v>
      </c>
      <c r="X17" s="235">
        <f t="shared" si="2"/>
        <v>44069</v>
      </c>
      <c r="Y17" s="236">
        <f>X17+$E$17</f>
        <v>44084</v>
      </c>
      <c r="Z17" s="237">
        <f>Y17+$E$17</f>
        <v>44099</v>
      </c>
      <c r="AA17" s="179">
        <f>Z17+$E$17</f>
        <v>44114</v>
      </c>
      <c r="AB17" s="207">
        <f>AA17+(7*8)</f>
        <v>44170</v>
      </c>
      <c r="AC17" s="82"/>
      <c r="AD17" s="82"/>
      <c r="AE17" s="81"/>
    </row>
    <row r="18" spans="1:31" x14ac:dyDescent="0.25">
      <c r="A18" s="53" t="s">
        <v>215</v>
      </c>
      <c r="B18" s="28"/>
      <c r="C18" s="28"/>
      <c r="D18" s="28"/>
      <c r="E18" s="28"/>
      <c r="F18" s="28"/>
      <c r="G18" s="283">
        <v>31.25</v>
      </c>
      <c r="H18" s="284">
        <f>G18*2</f>
        <v>62.5</v>
      </c>
      <c r="I18" s="284">
        <f t="shared" ref="I18:W18" si="3">H18*2</f>
        <v>125</v>
      </c>
      <c r="J18" s="284">
        <f t="shared" si="3"/>
        <v>250</v>
      </c>
      <c r="K18" s="284">
        <f t="shared" si="3"/>
        <v>500</v>
      </c>
      <c r="L18" s="285">
        <f t="shared" si="3"/>
        <v>1000</v>
      </c>
      <c r="M18" s="284">
        <f t="shared" si="3"/>
        <v>2000</v>
      </c>
      <c r="N18" s="284">
        <f t="shared" si="3"/>
        <v>4000</v>
      </c>
      <c r="O18" s="286">
        <f t="shared" si="3"/>
        <v>8000</v>
      </c>
      <c r="P18" s="287">
        <f>O18*2</f>
        <v>16000</v>
      </c>
      <c r="Q18" s="287">
        <f>P18*2</f>
        <v>32000</v>
      </c>
      <c r="R18" s="287">
        <f>Q18*2</f>
        <v>64000</v>
      </c>
      <c r="S18" s="287">
        <f>R18*2</f>
        <v>128000</v>
      </c>
      <c r="T18" s="287">
        <f t="shared" si="3"/>
        <v>256000</v>
      </c>
      <c r="U18" s="287">
        <f t="shared" si="3"/>
        <v>512000</v>
      </c>
      <c r="V18" s="287">
        <f t="shared" si="3"/>
        <v>1024000</v>
      </c>
      <c r="W18" s="287">
        <f t="shared" si="3"/>
        <v>2048000</v>
      </c>
      <c r="X18" s="287">
        <f>W18*2</f>
        <v>4096000</v>
      </c>
      <c r="Y18" s="247">
        <f>X18*2</f>
        <v>8192000</v>
      </c>
      <c r="Z18" s="248">
        <f>Y18*2</f>
        <v>16384000</v>
      </c>
      <c r="AA18" s="268">
        <f>B5</f>
        <v>25634000</v>
      </c>
      <c r="AB18" s="288">
        <f>B5*AB19</f>
        <v>5126800</v>
      </c>
      <c r="AC18" s="57"/>
      <c r="AD18" s="57"/>
      <c r="AE18" s="81"/>
    </row>
    <row r="19" spans="1:31" x14ac:dyDescent="0.25">
      <c r="A19" s="53" t="s">
        <v>216</v>
      </c>
      <c r="B19" s="28"/>
      <c r="C19" s="28"/>
      <c r="D19" s="28"/>
      <c r="E19" s="28"/>
      <c r="F19" s="28"/>
      <c r="G19" s="240">
        <f t="shared" ref="G19:W19" si="4">G18/$B$5</f>
        <v>1.2190840290239525E-6</v>
      </c>
      <c r="H19" s="241">
        <f t="shared" si="4"/>
        <v>2.438168058047905E-6</v>
      </c>
      <c r="I19" s="78">
        <f t="shared" si="4"/>
        <v>4.87633611609581E-6</v>
      </c>
      <c r="J19" s="48">
        <f t="shared" si="4"/>
        <v>9.7526722321916199E-6</v>
      </c>
      <c r="K19" s="48">
        <f t="shared" si="4"/>
        <v>1.950534446438324E-5</v>
      </c>
      <c r="L19" s="104">
        <f t="shared" si="4"/>
        <v>3.901068892876648E-5</v>
      </c>
      <c r="M19" s="48">
        <f t="shared" si="4"/>
        <v>7.8021377857532959E-5</v>
      </c>
      <c r="N19" s="48">
        <f t="shared" si="4"/>
        <v>1.5604275571506592E-4</v>
      </c>
      <c r="O19" s="291">
        <f t="shared" si="4"/>
        <v>3.1208551143013184E-4</v>
      </c>
      <c r="P19" s="26">
        <f>P18/$B$5</f>
        <v>6.2417102286026367E-4</v>
      </c>
      <c r="Q19" s="26">
        <f>Q18/$B$5</f>
        <v>1.2483420457205273E-3</v>
      </c>
      <c r="R19" s="26">
        <f>R18/$B$5</f>
        <v>2.4966840914410547E-3</v>
      </c>
      <c r="S19" s="27">
        <f>S18/$B$5</f>
        <v>4.9933681828821094E-3</v>
      </c>
      <c r="T19" s="87">
        <f t="shared" si="4"/>
        <v>9.9867363657642188E-3</v>
      </c>
      <c r="U19" s="87">
        <f t="shared" si="4"/>
        <v>1.9973472731528438E-2</v>
      </c>
      <c r="V19" s="87">
        <f t="shared" si="4"/>
        <v>3.9946945463056875E-2</v>
      </c>
      <c r="W19" s="87">
        <f t="shared" si="4"/>
        <v>7.989389092611375E-2</v>
      </c>
      <c r="X19" s="87">
        <f>X18/$B$5</f>
        <v>0.1597877818522275</v>
      </c>
      <c r="Y19" s="208">
        <f>Y18/$B$5</f>
        <v>0.319575563704455</v>
      </c>
      <c r="Z19" s="209">
        <f>Z18/$B$5</f>
        <v>0.63915112740891</v>
      </c>
      <c r="AA19" s="208">
        <f>AA18/$B$5</f>
        <v>1</v>
      </c>
      <c r="AB19" s="242">
        <f>B7</f>
        <v>0.2</v>
      </c>
      <c r="AC19" s="37"/>
      <c r="AD19" s="37"/>
      <c r="AE19" s="81"/>
    </row>
    <row r="20" spans="1:31" x14ac:dyDescent="0.25">
      <c r="A20" s="53" t="s">
        <v>274</v>
      </c>
      <c r="B20" s="28"/>
      <c r="C20" s="28"/>
      <c r="D20" s="28"/>
      <c r="E20" s="28"/>
      <c r="F20" s="28"/>
      <c r="G20" s="250">
        <f>G18-G26-(G27-G28)-(G29-G30)</f>
        <v>24.265765877326587</v>
      </c>
      <c r="H20" s="251">
        <f>H18-H26-(H27-H28)-(H29-H30)</f>
        <v>52.341310045514575</v>
      </c>
      <c r="I20" s="251">
        <f>I18-I26-(I27-I28)-(I29-I30)</f>
        <v>110.22400884925365</v>
      </c>
      <c r="J20" s="251">
        <f>J18-J26-(J27-J28)-(J29-J30)</f>
        <v>228.5080639860916</v>
      </c>
      <c r="K20" s="252">
        <f>K18-K26-(K27-K28)-(K29-K30)</f>
        <v>467.58784320085459</v>
      </c>
      <c r="L20" s="253">
        <f>L18-L26-(L27-L28)-(L29-L30)</f>
        <v>937.32610483185385</v>
      </c>
      <c r="M20" s="253">
        <f>M18-M26-(M27-M28)-(M29-M30)</f>
        <v>1905.9375</v>
      </c>
      <c r="N20" s="253">
        <f>N18-N26-(N27-N28)-(N29-N30)-N32</f>
        <v>3751.368620678219</v>
      </c>
      <c r="O20" s="292">
        <f>O18-O26-(O27-O28)-(O29-O30)-O32</f>
        <v>3991.5238425005155</v>
      </c>
      <c r="P20" s="253">
        <f>P18-P26-(P27-P28)-(P29-P30)-P32</f>
        <v>8210.3656138448914</v>
      </c>
      <c r="Q20" s="253">
        <f>Q18-Q26-(Q27-Q28)-(Q29-Q30)-Q32</f>
        <v>15270.622426991522</v>
      </c>
      <c r="R20" s="253">
        <f>R18-R26-(R27-R28)-(R29-R30)-R32</f>
        <v>31778.175449580474</v>
      </c>
      <c r="S20" s="253">
        <f>S18-S26-(S27-S28)-(S29-S30)-S32</f>
        <v>64681.898024406924</v>
      </c>
      <c r="T20" s="253">
        <f>T18-T26-(T27-T28)-(T29-T30)-T32</f>
        <v>130704.47947284496</v>
      </c>
      <c r="U20" s="253">
        <f>U18-U26-(U27-U28)-(U29-U30)-U32</f>
        <v>263221.67767163529</v>
      </c>
      <c r="V20" s="253">
        <f>V18-V26-(V27-V28)-(V29-V30)-V32</f>
        <v>529080.1574156048</v>
      </c>
      <c r="W20" s="253">
        <f>W18-W26-(W27-W28)-(W29-W30)-W32</f>
        <v>1062185.7472939433</v>
      </c>
      <c r="X20" s="253">
        <f>X18-X26-(X27-X28)-(X29-X30)-X32</f>
        <v>2130733.9446583195</v>
      </c>
      <c r="Y20" s="255">
        <f>Y18-Y26-(Y27-Y28)-(Y29-Y30)-Y32</f>
        <v>4271792.5679326933</v>
      </c>
      <c r="Z20" s="256">
        <f>Z18-Z26-(Z27-Z28)-(Z29-Z30)-Z32</f>
        <v>8560691.2493620701</v>
      </c>
      <c r="AA20" s="247">
        <f>AA18-AA26-(AA27-AA28)-(AA29-AA30)-AA32</f>
        <v>19673254.47403146</v>
      </c>
      <c r="AB20" s="267"/>
      <c r="AC20" s="57"/>
      <c r="AD20" s="57"/>
      <c r="AE20" s="81"/>
    </row>
    <row r="21" spans="1:31" x14ac:dyDescent="0.25">
      <c r="A21" s="16" t="s">
        <v>289</v>
      </c>
      <c r="B21" s="21"/>
      <c r="C21" s="21"/>
      <c r="D21" s="21"/>
      <c r="E21" s="21"/>
      <c r="F21" s="21"/>
      <c r="G21" s="280">
        <f>G18/$B$6</f>
        <v>94.696969696969688</v>
      </c>
      <c r="H21" s="281">
        <f t="shared" ref="H21:X21" si="5">H18/$B$6</f>
        <v>189.39393939393938</v>
      </c>
      <c r="I21" s="281">
        <f t="shared" si="5"/>
        <v>378.78787878787875</v>
      </c>
      <c r="J21" s="281">
        <f t="shared" si="5"/>
        <v>757.57575757575751</v>
      </c>
      <c r="K21" s="282">
        <f>K18/$B$6</f>
        <v>1515.151515151515</v>
      </c>
      <c r="L21" s="281">
        <f t="shared" si="5"/>
        <v>3030.30303030303</v>
      </c>
      <c r="M21" s="281">
        <f t="shared" si="5"/>
        <v>6060.6060606060601</v>
      </c>
      <c r="N21" s="282">
        <f t="shared" si="5"/>
        <v>12121.21212121212</v>
      </c>
      <c r="O21" s="245">
        <f t="shared" si="5"/>
        <v>24242.42424242424</v>
      </c>
      <c r="P21" s="280">
        <f t="shared" si="5"/>
        <v>48484.84848484848</v>
      </c>
      <c r="Q21" s="281">
        <f t="shared" si="5"/>
        <v>96969.696969696961</v>
      </c>
      <c r="R21" s="281">
        <f t="shared" si="5"/>
        <v>193939.39393939392</v>
      </c>
      <c r="S21" s="281">
        <f t="shared" si="5"/>
        <v>387878.78787878784</v>
      </c>
      <c r="T21" s="281">
        <f t="shared" si="5"/>
        <v>775757.57575757569</v>
      </c>
      <c r="U21" s="281">
        <f t="shared" si="5"/>
        <v>1551515.1515151514</v>
      </c>
      <c r="V21" s="281">
        <f t="shared" si="5"/>
        <v>3103030.3030303027</v>
      </c>
      <c r="W21" s="281">
        <f t="shared" si="5"/>
        <v>6206060.6060606055</v>
      </c>
      <c r="X21" s="281">
        <f t="shared" si="5"/>
        <v>12412121.212121211</v>
      </c>
      <c r="Y21" s="268">
        <f t="shared" ref="Y21" si="6">Y18/$B$6</f>
        <v>24824242.424242422</v>
      </c>
      <c r="Z21" s="270">
        <f>B5</f>
        <v>25634000</v>
      </c>
      <c r="AA21" s="247">
        <f>AA18</f>
        <v>25634000</v>
      </c>
      <c r="AB21" s="267">
        <f>($B$5*$B$7)/$B$6</f>
        <v>15535757.575757574</v>
      </c>
      <c r="AC21" s="37"/>
      <c r="AD21" s="37"/>
      <c r="AE21" s="81"/>
    </row>
    <row r="22" spans="1:31" x14ac:dyDescent="0.25">
      <c r="A22" s="53" t="s">
        <v>220</v>
      </c>
      <c r="B22" s="28"/>
      <c r="C22" s="28"/>
      <c r="D22" s="28"/>
      <c r="E22" s="28"/>
      <c r="F22" s="28"/>
      <c r="G22" s="240">
        <f>G21/$B$5</f>
        <v>3.6941940273453105E-6</v>
      </c>
      <c r="H22" s="78">
        <f t="shared" ref="H22:Y22" si="7">H21/$B$5</f>
        <v>7.388388054690621E-6</v>
      </c>
      <c r="I22" s="78">
        <f t="shared" si="7"/>
        <v>1.4776776109381242E-5</v>
      </c>
      <c r="J22" s="48">
        <f t="shared" si="7"/>
        <v>2.9553552218762484E-5</v>
      </c>
      <c r="K22" s="239">
        <f t="shared" si="7"/>
        <v>5.9107104437524968E-5</v>
      </c>
      <c r="L22" s="48">
        <f t="shared" si="7"/>
        <v>1.1821420887504994E-4</v>
      </c>
      <c r="M22" s="48">
        <f t="shared" si="7"/>
        <v>2.3642841775009987E-4</v>
      </c>
      <c r="N22" s="243">
        <f t="shared" si="7"/>
        <v>4.7285683550019975E-4</v>
      </c>
      <c r="O22" s="27">
        <f t="shared" si="7"/>
        <v>9.4571367100039949E-4</v>
      </c>
      <c r="P22" s="20">
        <f t="shared" si="7"/>
        <v>1.891427342000799E-3</v>
      </c>
      <c r="Q22" s="27">
        <f t="shared" si="7"/>
        <v>3.782854684001598E-3</v>
      </c>
      <c r="R22" s="27">
        <f t="shared" si="7"/>
        <v>7.5657093680031959E-3</v>
      </c>
      <c r="S22" s="27">
        <f t="shared" si="7"/>
        <v>1.5131418736006392E-2</v>
      </c>
      <c r="T22" s="87">
        <f t="shared" si="7"/>
        <v>3.0262837472012784E-2</v>
      </c>
      <c r="U22" s="87">
        <f t="shared" si="7"/>
        <v>6.0525674944025568E-2</v>
      </c>
      <c r="V22" s="87">
        <f t="shared" si="7"/>
        <v>0.12105134988805114</v>
      </c>
      <c r="W22" s="87">
        <f t="shared" si="7"/>
        <v>0.24210269977610227</v>
      </c>
      <c r="X22" s="87">
        <f t="shared" si="7"/>
        <v>0.48420539955220454</v>
      </c>
      <c r="Y22" s="208">
        <f t="shared" si="7"/>
        <v>0.96841079910440908</v>
      </c>
      <c r="Z22" s="209">
        <f>Z21/$B$5</f>
        <v>1</v>
      </c>
      <c r="AA22" s="208">
        <v>1</v>
      </c>
      <c r="AB22" s="242">
        <f>AB21/B5</f>
        <v>0.60606060606060597</v>
      </c>
      <c r="AC22" s="37"/>
      <c r="AD22" s="37"/>
      <c r="AE22" s="81"/>
    </row>
    <row r="23" spans="1:31" x14ac:dyDescent="0.25">
      <c r="A23" s="53" t="s">
        <v>287</v>
      </c>
      <c r="B23" s="28"/>
      <c r="C23" s="28"/>
      <c r="D23" s="28"/>
      <c r="E23" s="28"/>
      <c r="F23" s="28"/>
      <c r="G23" s="244">
        <f>G21-G18</f>
        <v>63.446969696969688</v>
      </c>
      <c r="H23" s="245">
        <f>H21-H18</f>
        <v>126.89393939393938</v>
      </c>
      <c r="I23" s="245">
        <f>I21-I18</f>
        <v>253.78787878787875</v>
      </c>
      <c r="J23" s="245">
        <f>J21-J18</f>
        <v>507.57575757575751</v>
      </c>
      <c r="K23" s="246">
        <f>K21-K18</f>
        <v>1015.151515151515</v>
      </c>
      <c r="L23" s="245">
        <f>L21-L18</f>
        <v>2030.30303030303</v>
      </c>
      <c r="M23" s="245">
        <f>M21-M18</f>
        <v>4060.6060606060601</v>
      </c>
      <c r="N23" s="246">
        <f>N21-N18</f>
        <v>8121.2121212121201</v>
      </c>
      <c r="O23" s="245">
        <f>O21-O18</f>
        <v>16242.42424242424</v>
      </c>
      <c r="P23" s="244">
        <f>P21-P18</f>
        <v>32484.84848484848</v>
      </c>
      <c r="Q23" s="245">
        <f>Q21-Q18</f>
        <v>64969.696969696961</v>
      </c>
      <c r="R23" s="245">
        <f>R21-R18</f>
        <v>129939.39393939392</v>
      </c>
      <c r="S23" s="245">
        <f>S21-S18</f>
        <v>259878.78787878784</v>
      </c>
      <c r="T23" s="245">
        <f>T21-T18</f>
        <v>519757.57575757569</v>
      </c>
      <c r="U23" s="245">
        <f>U21-U18</f>
        <v>1039515.1515151514</v>
      </c>
      <c r="V23" s="245">
        <f>V21-V18</f>
        <v>2079030.3030303027</v>
      </c>
      <c r="W23" s="245">
        <f>W21-W18</f>
        <v>4158060.6060606055</v>
      </c>
      <c r="X23" s="245">
        <f>X21-X18</f>
        <v>8316121.212121211</v>
      </c>
      <c r="Y23" s="247">
        <f>Y21-Y18</f>
        <v>16632242.424242422</v>
      </c>
      <c r="Z23" s="248">
        <f>Z21</f>
        <v>25634000</v>
      </c>
      <c r="AA23" s="247">
        <f>AA21</f>
        <v>25634000</v>
      </c>
      <c r="AB23" s="249">
        <f>AB21-AB18</f>
        <v>10408957.575757574</v>
      </c>
      <c r="AC23" s="37"/>
      <c r="AD23" s="37"/>
      <c r="AE23" s="81"/>
    </row>
    <row r="24" spans="1:31" x14ac:dyDescent="0.25">
      <c r="A24" s="49" t="s">
        <v>288</v>
      </c>
      <c r="B24" s="51"/>
      <c r="C24" s="51"/>
      <c r="D24" s="51"/>
      <c r="E24" s="51"/>
      <c r="F24" s="51"/>
      <c r="G24" s="250">
        <f>(1/$B$6)*(2^(((G17 - 14) - $B$14)/$G$42))</f>
        <v>26.12882200775687</v>
      </c>
      <c r="H24" s="251">
        <f>(1/$B$6)*(2^(((H17 - 14) - $B$14)/$G$42))</f>
        <v>38.004825867884122</v>
      </c>
      <c r="I24" s="251">
        <f>(1/$B$6)*(2^(((I17 - 14) - $B$14)/$G$42))</f>
        <v>55.278679950416588</v>
      </c>
      <c r="J24" s="251">
        <f>(1/$B$6)*(2^(((J17 - 14) - $B$14)/$G$42))</f>
        <v>80.403801024722753</v>
      </c>
      <c r="K24" s="252">
        <f>($G$18/$B$6)*(2^(((K17 - 14) - $G$17)/HLOOKUP((K17-14)-$B$14,$G$40:$AB$42,3,TRUE)))</f>
        <v>114.20774065942726</v>
      </c>
      <c r="L24" s="253">
        <f>($G$18/$B$6)*(2^(((L17 - 14) - $G$17)/HLOOKUP((L17-14)-$B$14,$G$40:$AB$42,3,TRUE)))</f>
        <v>220.83824935921811</v>
      </c>
      <c r="M24" s="253">
        <f>($G$18/$B$6)*(2^(((M17 - 14) - $G$17)/HLOOKUP((M17-14)-$B$14,$G$40:$AB$42,3,TRUE)))</f>
        <v>331.43939393939388</v>
      </c>
      <c r="N24" s="252">
        <f>($G$18/$B$6)*(2^(((N17 - 14) - $G$17)/HLOOKUP((N17-14)-$B$14,$G$40:$AB$42,3,TRUE)))</f>
        <v>874.25789850348917</v>
      </c>
      <c r="O24" s="253">
        <f>($G$18/$B$6)*(2^(((O17 - 14) - $G$17)/HLOOKUP((O17-14)-$B$14,$G$40:$AB$42,3,TRUE)))</f>
        <v>14096.272871751418</v>
      </c>
      <c r="P24" s="254">
        <f>($G$18/$B$6)*(2^(((P17 - 14) - $G$17)/HLOOKUP((P17-14)-$B$14,$G$40:$AB$42,3,TRUE)))</f>
        <v>27000.381479403874</v>
      </c>
      <c r="Q24" s="253">
        <f>($G$18/$B$6)*(2^(((Q17 - 14) - $G$17)/HLOOKUP((Q17-14)-$B$14,$G$40:$AB$42,3,TRUE)))</f>
        <v>52802.737311914585</v>
      </c>
      <c r="R24" s="253">
        <f>($G$18/$B$6)*(2^(((R17 - 14) - $G$17)/HLOOKUP((R17-14)-$B$14,$G$40:$AB$42,3,TRUE)))</f>
        <v>104232.40258070172</v>
      </c>
      <c r="S24" s="253">
        <f>($G$18/$B$6)*(2^(((S17 - 14) - $G$17)/HLOOKUP((S17-14)-$B$14,$G$40:$AB$42,3,TRUE)))</f>
        <v>206684.99609101971</v>
      </c>
      <c r="T24" s="253">
        <f>($G$18/$B$6)*(2^(((T17 - 14) - $G$17)/HLOOKUP((T17-14)-$B$14,$G$40:$AB$42,3,TRUE)))</f>
        <v>410875.63356866699</v>
      </c>
      <c r="U24" s="253">
        <f>($G$18/$B$6)*(2^(((U17 - 14) - $G$17)/HLOOKUP((U17-14)-$B$14,$G$40:$AB$42,3,TRUE)))</f>
        <v>818061.23271726607</v>
      </c>
      <c r="V24" s="253">
        <f>($G$18/$B$6)*(2^(((V17 - 14) - $G$17)/HLOOKUP((V17-14)-$B$14,$G$40:$AB$42,3,TRUE)))</f>
        <v>1630442.3907530431</v>
      </c>
      <c r="W24" s="253">
        <f>($G$18/$B$6)*(2^(((W17 - 14) - $G$17)/HLOOKUP((W17-14)-$B$14,$G$40:$AB$42,3,TRUE)))</f>
        <v>3251871.2235418223</v>
      </c>
      <c r="X24" s="253">
        <f>($G$18/$B$6)*(2^(((X17 - 14) - $G$17)/HLOOKUP((X17-14)-$B$14,$G$40:$AB$42,3,TRUE)))</f>
        <v>6489090.5346801328</v>
      </c>
      <c r="Y24" s="255">
        <f>($G$18/$B$6)*(2^(((Y17 - 14) - $G$17)/HLOOKUP((Y17-14)-$B$14,$G$40:$AB$42,3,TRUE)))</f>
        <v>12953894.182118958</v>
      </c>
      <c r="Z24" s="256">
        <f>($G$18/$B$6)*(2^(((Z17 - 14) - $G$17)/HLOOKUP((Z17-14)-$B$14,$G$40:$AB$42,3,TRUE)))</f>
        <v>25866874.95319302</v>
      </c>
      <c r="AA24" s="256">
        <f>($G$18/$B$6)*(2^(((AA17 - 14) - $G$17)/HLOOKUP((AA17-14)-$B$14,$G$40:$AB$42,3,TRUE)))</f>
        <v>51663884.537911154</v>
      </c>
      <c r="AB24" s="249"/>
      <c r="AC24" s="37"/>
      <c r="AD24" s="37"/>
      <c r="AE24" s="81"/>
    </row>
    <row r="25" spans="1:31" x14ac:dyDescent="0.25">
      <c r="A25" s="53" t="s">
        <v>277</v>
      </c>
      <c r="B25" s="28"/>
      <c r="C25" s="28"/>
      <c r="D25" s="28"/>
      <c r="E25" s="28"/>
      <c r="F25" s="28"/>
      <c r="G25" s="257">
        <f>G18*$B$10</f>
        <v>25.3125</v>
      </c>
      <c r="H25" s="258">
        <f t="shared" ref="H25:AA25" si="8">H18*$B$10</f>
        <v>50.625</v>
      </c>
      <c r="I25" s="258">
        <f t="shared" si="8"/>
        <v>101.25</v>
      </c>
      <c r="J25" s="258">
        <f t="shared" si="8"/>
        <v>202.5</v>
      </c>
      <c r="K25" s="259">
        <f t="shared" si="8"/>
        <v>405</v>
      </c>
      <c r="L25" s="258">
        <f t="shared" si="8"/>
        <v>810</v>
      </c>
      <c r="M25" s="258">
        <f t="shared" si="8"/>
        <v>1620</v>
      </c>
      <c r="N25" s="259">
        <f t="shared" si="8"/>
        <v>3240</v>
      </c>
      <c r="O25" s="258">
        <f t="shared" si="8"/>
        <v>6480</v>
      </c>
      <c r="P25" s="257">
        <f t="shared" si="8"/>
        <v>12960</v>
      </c>
      <c r="Q25" s="258">
        <f t="shared" si="8"/>
        <v>25920</v>
      </c>
      <c r="R25" s="258">
        <f t="shared" si="8"/>
        <v>51840</v>
      </c>
      <c r="S25" s="258">
        <f t="shared" si="8"/>
        <v>103680</v>
      </c>
      <c r="T25" s="258">
        <f t="shared" si="8"/>
        <v>207360</v>
      </c>
      <c r="U25" s="258">
        <f t="shared" si="8"/>
        <v>414720</v>
      </c>
      <c r="V25" s="258">
        <f t="shared" si="8"/>
        <v>829440</v>
      </c>
      <c r="W25" s="258">
        <f t="shared" si="8"/>
        <v>1658880</v>
      </c>
      <c r="X25" s="258">
        <f t="shared" si="8"/>
        <v>3317760</v>
      </c>
      <c r="Y25" s="247">
        <f t="shared" si="8"/>
        <v>6635520</v>
      </c>
      <c r="Z25" s="248">
        <f t="shared" si="8"/>
        <v>13271040</v>
      </c>
      <c r="AA25" s="247">
        <f t="shared" si="8"/>
        <v>20763540</v>
      </c>
      <c r="AB25" s="249">
        <f>AB18*B10</f>
        <v>4152708.0000000005</v>
      </c>
      <c r="AC25" s="37"/>
      <c r="AD25" s="37"/>
      <c r="AE25" s="81"/>
    </row>
    <row r="26" spans="1:31" x14ac:dyDescent="0.25">
      <c r="A26" s="53" t="s">
        <v>278</v>
      </c>
      <c r="B26" s="28"/>
      <c r="C26" s="28"/>
      <c r="D26" s="28"/>
      <c r="E26" s="28"/>
      <c r="F26" s="28"/>
      <c r="G26" s="260">
        <f>(1*$B$10)*(2^(((G17 - 14) - $B$14)/$G$42))</f>
        <v>6.9842341226734117</v>
      </c>
      <c r="H26" s="261">
        <f>(1*$B$10)*(2^(((H17 - 14) - $B$14)/$G$42))</f>
        <v>10.158689954485427</v>
      </c>
      <c r="I26" s="261">
        <f>(1*$B$10)*(2^(((I17 - 14) - $B$14)/$G$42))</f>
        <v>14.775991150746353</v>
      </c>
      <c r="J26" s="261">
        <f>(1*$B$10)*(2^(((J17 - 14) - $B$14)/$G$42))</f>
        <v>21.491936013908393</v>
      </c>
      <c r="K26" s="262">
        <f>($G$18*$B$10)*(2^(((K17 - 14) - $G$17)/HLOOKUP((K17-14)-$B$14,$G$40:$AB$42,3,TRUE)))</f>
        <v>30.527729078264912</v>
      </c>
      <c r="L26" s="263">
        <f>($G$18*$B$10)*(2^(((L17 - 14) - $G$17)/HLOOKUP((L17-14)-$B$14,$G$40:$AB$42,3,TRUE)))</f>
        <v>59.030064053719009</v>
      </c>
      <c r="M26" s="263">
        <f>($G$18*$B$10)*(2^(((M17 - 14) - $G$17)/HLOOKUP((M17-14)-$B$14,$G$40:$AB$42,3,TRUE)))</f>
        <v>88.59375</v>
      </c>
      <c r="N26" s="262">
        <f>($G$18*$B$10)*(2^(((N17 - 14) - $G$17)/HLOOKUP((N17-14)-$B$14,$G$40:$AB$42,3,TRUE)))</f>
        <v>233.6891362699827</v>
      </c>
      <c r="O26" s="263">
        <f>($G$18*$B$10)*(2^(((O17 - 14) - $G$17)/HLOOKUP((O17-14)-$B$14,$G$40:$AB$42,3,TRUE)))</f>
        <v>3767.9337386191542</v>
      </c>
      <c r="P26" s="264">
        <f>($G$18*$B$10)*(2^(((P17 - 14) - $G$17)/HLOOKUP((P17-12)-$B$14,$G$40:$AB$42,3,TRUE)))</f>
        <v>7217.2019694446562</v>
      </c>
      <c r="Q26" s="263">
        <f>($G$18*$B$10)*(2^(((Q17 - 14) - $G$17)/HLOOKUP((Q17-14)-$B$14,$G$40:$AB$42,3,TRUE)))</f>
        <v>14114.171683474769</v>
      </c>
      <c r="R26" s="263">
        <f>($G$18*$B$10)*(2^(((R17 - 14) - $G$17)/HLOOKUP((R17-14)-$B$14,$G$40:$AB$42,3,TRUE)))</f>
        <v>27861.321209821574</v>
      </c>
      <c r="S26" s="263">
        <f>($G$18*$B$10)*(2^(((S17 - 14) - $G$17)/HLOOKUP((S17-14)-$B$14,$G$40:$AB$42,3,TRUE)))</f>
        <v>55246.899455129576</v>
      </c>
      <c r="T26" s="263">
        <f>($G$18*$B$10)*(2^(((T17 - 14) - $G$17)/HLOOKUP((T17-14)-$B$14,$G$40:$AB$42,3,TRUE)))</f>
        <v>109827.0568529047</v>
      </c>
      <c r="U26" s="263">
        <f>($G$18*$B$10)*(2^(((U17 - 14) - $G$17)/HLOOKUP((U17-14)-$B$14,$G$40:$AB$42,3,TRUE)))</f>
        <v>218667.76750532523</v>
      </c>
      <c r="V26" s="263">
        <f>($G$18*$B$10)*(2^(((V17 - 14) - $G$17)/HLOOKUP((V17-14)-$B$14,$G$40:$AB$42,3,TRUE)))</f>
        <v>435817.25104828842</v>
      </c>
      <c r="W26" s="263">
        <f>($G$18*$B$10)*(2^(((W17 - 14) - $G$17)/HLOOKUP((W17-14)-$B$14,$G$40:$AB$42,3,TRUE)))</f>
        <v>869225.17805272923</v>
      </c>
      <c r="X26" s="263">
        <f>($G$18*$B$10)*(2^(((X17 - 14) - $G$17)/HLOOKUP((X17-14)-$B$14,$G$40:$AB$42,3,TRUE)))</f>
        <v>1734533.8999199998</v>
      </c>
      <c r="Y26" s="265">
        <f>($G$18*$B$10)*(2^(((Y17 - 14) - $G$17)/HLOOKUP((Y17-14)-$B$14,$G$40:$AB$42,3,TRUE)))</f>
        <v>3462575.9148803977</v>
      </c>
      <c r="Z26" s="266">
        <f>($G$18*$B$10)*(2^(((Z17 - 14) - $G$17)/HLOOKUP((Z17-14)-$B$14,$G$40:$AB$42,3,TRUE)))</f>
        <v>6914215.6749884943</v>
      </c>
      <c r="AA26" s="247">
        <f>AB26</f>
        <v>4152708.0000000005</v>
      </c>
      <c r="AB26" s="267">
        <f>AB18*B10</f>
        <v>4152708.0000000005</v>
      </c>
      <c r="AC26" s="37"/>
      <c r="AD26" s="37"/>
      <c r="AE26" s="81"/>
    </row>
    <row r="27" spans="1:31" x14ac:dyDescent="0.25">
      <c r="A27" s="74" t="s">
        <v>218</v>
      </c>
      <c r="B27" s="21"/>
      <c r="C27" s="21"/>
      <c r="D27" s="21"/>
      <c r="E27" s="21"/>
      <c r="F27" s="21"/>
      <c r="G27" s="289">
        <f>(1*($B$11+$B$12))*(2^(((G17 - 7) - $B$14)/$G$42))</f>
        <v>3.1560616297070365</v>
      </c>
      <c r="H27" s="290">
        <f>(1*($B$11+$B$12))*(2^(((H17 - 7) - $B$14)/$G$42))</f>
        <v>4.5905465095103892</v>
      </c>
      <c r="I27" s="281">
        <f>($G$18*($B$11+$B$12))*(2^(((I17-7)-$G$17)/HLOOKUP((I17-7)-$B$14,$G$40:$AB$42,3,TRUE)))</f>
        <v>6.5205368224071405</v>
      </c>
      <c r="J27" s="281">
        <f>($G$18*($B$11+$B$12))*(2^(((J17-7)-$G$17)/HLOOKUP((J17-7)-$B$14,$G$40:$AB$42,3,TRUE)))</f>
        <v>13.846558234822977</v>
      </c>
      <c r="K27" s="281">
        <f>($G$18*($B$11+$B$12))*(2^(((K17-7)-$G$17)/HLOOKUP((K17-7)-$B$14,$G$40:$AB$42,3,TRUE)))</f>
        <v>24.304135205098877</v>
      </c>
      <c r="L27" s="280">
        <f>($G$18*($B$11+$B$12))*(2^(((L17-7)-$G$17)/HLOOKUP((L17-7)-$B$14,$G$40:$AB$42,3,TRUE)))</f>
        <v>46.201171875000007</v>
      </c>
      <c r="M27" s="281">
        <f>($G$18*($B$11+$B$12))*(2^(((M17-7)-$G$17)/HLOOKUP((M17-7)-$B$14,$G$40:$AB$42,3,TRUE)))</f>
        <v>77.164106827176639</v>
      </c>
      <c r="N27" s="282">
        <f>($G$18*($B$11+$B$12))*(2^(((N17-7)-$G$17)/HLOOKUP((N17-7)-$B$14,$G$40:$AB$42,3,TRUE)))</f>
        <v>239.2841574929042</v>
      </c>
      <c r="O27" s="281">
        <f>($G$18*($B$11+$B$12))*(2^(((O17-7)-$G$17)/HLOOKUP((O17-7)-$B$14,$G$40:$AB$42,3,TRUE)))</f>
        <v>3087.1937974069601</v>
      </c>
      <c r="P27" s="280">
        <f>($G$18*($B$11+$B$12))*(2^(((P17-7)-$G$17)/HLOOKUP((P17-7)-$B$14,$G$40:$AB$42,3,TRUE)))</f>
        <v>4249.0721851990547</v>
      </c>
      <c r="Q27" s="281">
        <f>($G$18*($B$11+$B$12))*(2^(((Q17-7)-$G$17)/HLOOKUP((Q17-7)-$B$14,$G$40:$AB$42,3,TRUE)))</f>
        <v>7101.9307722010208</v>
      </c>
      <c r="R27" s="281">
        <f>($G$18*($B$11+$B$12))*(2^(((R17-7)-$G$17)/HLOOKUP((R17-7)-$B$14,$G$40:$AB$42,3,TRUE)))</f>
        <v>12791.955972064306</v>
      </c>
      <c r="S27" s="281">
        <f>($G$18*($B$11+$B$12))*(2^(((S17-7)-$G$17)/HLOOKUP((S17-7)-$B$14,$G$40:$AB$42,3,TRUE)))</f>
        <v>23887.824868684143</v>
      </c>
      <c r="T27" s="281">
        <f>($G$18*($B$11+$B$12))*(2^(((T17-7)-$G$17)/HLOOKUP((T17-7)-$B$14,$G$40:$AB$42,3,TRUE)))</f>
        <v>45517.470884629867</v>
      </c>
      <c r="U27" s="281">
        <f>($G$18*($B$11+$B$12))*(2^(((U17-7)-$G$17)/HLOOKUP((U17-7)-$B$14,$G$40:$AB$42,3,TRUE)))</f>
        <v>87815.576637831749</v>
      </c>
      <c r="V27" s="281">
        <f>($G$18*($B$11+$B$12))*(2^(((V17-7)-$G$17)/HLOOKUP((V17-7)-$B$14,$G$40:$AB$42,3,TRUE)))</f>
        <v>170812.14866259095</v>
      </c>
      <c r="W27" s="281">
        <f>($G$18*($B$11+$B$12))*(2^(((W17-7)-$G$17)/HLOOKUP((W17-7)-$B$14,$G$40:$AB$42,3,TRUE)))</f>
        <v>334142.58729442954</v>
      </c>
      <c r="X27" s="281">
        <f>($G$18*($B$11+$B$12))*(2^(((X17-7)-$G$17)/HLOOKUP((X17-7)-$B$14,$G$40:$AB$42,3,TRUE)))</f>
        <v>656335.38281491096</v>
      </c>
      <c r="Y27" s="281">
        <f>($G$18*($B$11+$B$12))*(2^(((Y17-7)-$G$17)/HLOOKUP((Y17-7)-$B$14,$G$40:$AB$42,3,TRUE)))</f>
        <v>1293147.1327132641</v>
      </c>
      <c r="Z27" s="270">
        <f>($G$18*($B$11+$B$12))*(2^(((Z17-7)-$G$17)/HLOOKUP((Z17-7)-$B$14,$G$40:$AB$42,3,TRUE)))</f>
        <v>2553800.2187601607</v>
      </c>
      <c r="AA27" s="268">
        <f>($G$18*($B$11+$B$12))*(2^(((AA17 - 7) - $G$17)/AA42))</f>
        <v>3098263.7160359523</v>
      </c>
      <c r="AB27" s="267">
        <f>AB18*(B11+B12)</f>
        <v>974092</v>
      </c>
      <c r="AC27" s="57"/>
      <c r="AD27" s="57"/>
      <c r="AE27" s="81"/>
    </row>
    <row r="28" spans="1:31" x14ac:dyDescent="0.25">
      <c r="A28" s="49" t="s">
        <v>275</v>
      </c>
      <c r="B28" s="50"/>
      <c r="C28" s="51"/>
      <c r="D28" s="51"/>
      <c r="E28" s="51"/>
      <c r="F28" s="51"/>
      <c r="G28" s="250">
        <f t="shared" ref="G28:J28" si="9">G27</f>
        <v>3.1560616297070365</v>
      </c>
      <c r="H28" s="251">
        <f t="shared" si="9"/>
        <v>4.5905465095103892</v>
      </c>
      <c r="I28" s="253">
        <f t="shared" si="9"/>
        <v>6.5205368224071405</v>
      </c>
      <c r="J28" s="253">
        <f t="shared" si="9"/>
        <v>13.846558234822977</v>
      </c>
      <c r="K28" s="253">
        <f>K27-K30</f>
        <v>22.419707484218328</v>
      </c>
      <c r="L28" s="254">
        <f t="shared" ref="L28:M28" si="10">L27-L30</f>
        <v>42.557340760572906</v>
      </c>
      <c r="M28" s="253">
        <f t="shared" si="10"/>
        <v>71.695356827176639</v>
      </c>
      <c r="N28" s="252">
        <f>N27-N30</f>
        <v>224.85890216759663</v>
      </c>
      <c r="O28" s="253">
        <f>O27-($G$18*$B$11)*(2^(((O17 - 42) - $G$17)/G42))-O30</f>
        <v>2855.3430328751065</v>
      </c>
      <c r="P28" s="254">
        <f>P27-($G$18*$B$11)*(2^(((P17 - 42) - $G$17)/HLOOKUP((P17-42)-$B$14,$G$40:$AB$42,3,TRUE)))-P30</f>
        <v>3846.8057841136033</v>
      </c>
      <c r="Q28" s="253">
        <f>Q27-($G$18*$B$11)*(2^(((Q17 - 42) - $G$17)/HLOOKUP((Q17-42)-$B$14,$G$40:$AB$42,3,TRUE)))-Q30</f>
        <v>5502.1352871985555</v>
      </c>
      <c r="R28" s="253">
        <f>R27-($G$18*$B$11)*(2^(((R17 - 42) - $G$17)/HLOOKUP((R17-42)-$B$14,$G$40:$AB$42,3,TRUE)))-R30</f>
        <v>10904.013851146066</v>
      </c>
      <c r="S28" s="253">
        <f>S27-($G$18*$B$11)*(2^(((S17 - 42) - $G$17)/HLOOKUP((S17-42)-$B$14,$G$40:$AB$42,3,TRUE)))-S30</f>
        <v>19767.944700668948</v>
      </c>
      <c r="T28" s="253">
        <f>T27-($G$18*$B$11)*(2^(((T17 - 42) - $G$17)/HLOOKUP((T17-42)-$B$14,$G$40:$AB$42,3,TRUE)))-T30</f>
        <v>36982.23731453628</v>
      </c>
      <c r="U28" s="253">
        <f>U27-($G$18*$B$11)*(2^(((U17 - 42) - $G$17)/HLOOKUP((U17-42)-$B$14,$G$40:$AB$42,3,TRUE)))-U30</f>
        <v>70432.069701661589</v>
      </c>
      <c r="V28" s="253">
        <f>V27-($G$18*$B$11)*(2^(((V17 - 42) - $G$17)/HLOOKUP((V17-42)-$B$14,$G$40:$AB$42,3,TRUE)))-V30</f>
        <v>135668.7440131605</v>
      </c>
      <c r="W28" s="253">
        <f>W27-($G$18*$B$11)*(2^(((W17 - 42) - $G$17)/HLOOKUP((W17-42)-$B$14,$G$40:$AB$42,3,TRUE)))-W30</f>
        <v>263363.09888110583</v>
      </c>
      <c r="X28" s="253">
        <f>X27-($G$18*$B$11)*(2^(((X17 - 42) - $G$17)/HLOOKUP((X17-42)-$B$14,$G$40:$AB$42,3,TRUE)))-X30</f>
        <v>514090.91948759218</v>
      </c>
      <c r="Y28" s="253">
        <f>Y27-($G$18*$B$11)*(2^(((Y17 - 42) - $G$17)/HLOOKUP((Y17-42)-$B$14,$G$40:$AB$42,3,TRUE)))-Y30</f>
        <v>1007659.5454411795</v>
      </c>
      <c r="Z28" s="256">
        <f>Z27-($G$18*$B$11)*(2^(((Z17 - 42) - $G$17)/HLOOKUP((Z17-42)-$B$14,$G$40:$AB$42,3,TRUE)))-Z30</f>
        <v>1981316.8979636517</v>
      </c>
      <c r="AA28" s="247">
        <f>AA27-($G$18*$B$11)*(2^(((AA17 - 42) - $G$17)/HLOOKUP((AA17-42)-$B$14,$G$40:$AB$42,3,TRUE)))-AA30</f>
        <v>1950952.8842180599</v>
      </c>
      <c r="AB28" s="269"/>
      <c r="AC28" s="57"/>
      <c r="AD28" s="57"/>
      <c r="AE28" s="81"/>
    </row>
    <row r="29" spans="1:31" x14ac:dyDescent="0.25">
      <c r="A29" s="60" t="s">
        <v>219</v>
      </c>
      <c r="C29" s="21"/>
      <c r="D29" s="21"/>
      <c r="E29" s="21"/>
      <c r="F29" s="21"/>
      <c r="G29" s="260">
        <f>(1*$B$12)*(2^(((G17 - 14) -$B$14)/$G$42))</f>
        <v>0.43112556312798839</v>
      </c>
      <c r="H29" s="261">
        <f>(1*$B$12)*(2^(((H17 - 14) -$B$14)/$G$42))</f>
        <v>0.627079626820088</v>
      </c>
      <c r="I29" s="261">
        <f>(1*$B$12)*(2^(((I17 - 14) -$B$14)/$G$42))</f>
        <v>0.91209821918187373</v>
      </c>
      <c r="J29" s="261">
        <f>(1*$B$12)*(2^(((J17 - 14) -$B$14)/$G$42))</f>
        <v>1.3266627169079257</v>
      </c>
      <c r="K29" s="246">
        <f>($G$18*$B$12)*(2^(((K17 - 14) - $G$17)/HLOOKUP((K17-14)-$B$14,$G$40:$AB$42,3,TRUE)))</f>
        <v>1.88442772088055</v>
      </c>
      <c r="L29" s="245">
        <f>($G$18*$B$12)*(2^(((L17 - 14) - $G$17)/HLOOKUP((L17-14)-$B$14,$G$40:$AB$42,3,TRUE)))</f>
        <v>3.6438311144270994</v>
      </c>
      <c r="M29" s="245">
        <f>($G$18*$B$12)*(2^(((M17 - 14) - $G$17)/HLOOKUP((M17-14)-$B$14,$G$40:$AB$42,3,TRUE)))</f>
        <v>5.46875</v>
      </c>
      <c r="N29" s="246">
        <f>($G$18*$B$12)*(2^(((N17 - 14) - $G$17)/HLOOKUP((N17-14)-$B$14,$G$40:$AB$42,3,TRUE)))</f>
        <v>14.425255325307573</v>
      </c>
      <c r="O29" s="245">
        <f>($G$18*$B$12)*(2^(((O17 - 14) - $G$17)/HLOOKUP((O17-14)-$B$14,$G$40:$AB$42,3,TRUE)))</f>
        <v>232.5885023838984</v>
      </c>
      <c r="P29" s="244">
        <f>($G$18*$B$12)*(2^(((P17 - 14) - $G$17)/HLOOKUP((P17-14)-$B$14,$G$40:$AB$42,3,TRUE)))</f>
        <v>445.50629441016395</v>
      </c>
      <c r="Q29" s="245">
        <f>($G$18*$B$12)*(2^(((Q17 - 14) - $G$17)/HLOOKUP((Q17-14)-$B$14,$G$40:$AB$42,3,TRUE)))</f>
        <v>871.24516564659075</v>
      </c>
      <c r="R29" s="245">
        <f>($G$18*$B$12)*(2^(((R17 - 14) - $G$17)/HLOOKUP((R17-14)-$B$14,$G$40:$AB$42,3,TRUE)))</f>
        <v>1719.8346425815785</v>
      </c>
      <c r="S29" s="245">
        <f>($G$18*$B$12)*(2^(((S17 - 14) - $G$17)/HLOOKUP((S17-14)-$B$14,$G$40:$AB$42,3,TRUE)))</f>
        <v>3410.3024355018256</v>
      </c>
      <c r="T29" s="245">
        <f>($G$18*$B$12)*(2^(((T17 - 14) - $G$17)/HLOOKUP((T17-14)-$B$14,$G$40:$AB$42,3,TRUE)))</f>
        <v>6779.4479538830064</v>
      </c>
      <c r="U29" s="245">
        <f>($G$18*$B$12)*(2^(((U17 - 14) - $G$17)/HLOOKUP((U17-14)-$B$14,$G$40:$AB$42,3,TRUE)))</f>
        <v>13498.010339834891</v>
      </c>
      <c r="V29" s="245">
        <f>($G$18*$B$12)*(2^(((V17 - 14) - $G$17)/HLOOKUP((V17-14)-$B$14,$G$40:$AB$42,3,TRUE)))</f>
        <v>26902.299447425212</v>
      </c>
      <c r="W29" s="245">
        <f>($G$18*$B$12)*(2^(((W17 - 14) - $G$17)/HLOOKUP((W17-14)-$B$14,$G$40:$AB$42,3,TRUE)))</f>
        <v>53655.875188440077</v>
      </c>
      <c r="X29" s="245">
        <f>($G$18*$B$12)*(2^(((X17 - 14) - $G$17)/HLOOKUP((X17-14)-$B$14,$G$40:$AB$42,3,TRUE)))</f>
        <v>107069.9938222222</v>
      </c>
      <c r="Y29" s="245">
        <f>($G$18*$B$12)*(2^(((Y17 - 14) - $G$17)/HLOOKUP((Y17-14)-$B$14,$G$40:$AB$42,3,TRUE)))</f>
        <v>213739.25400496283</v>
      </c>
      <c r="Z29" s="248">
        <f>($G$18*$B$12)*(2^(((Z17 - 14) - $G$17)/HLOOKUP((Z17-14)-$B$14,$G$40:$AB$42,3,TRUE)))</f>
        <v>426803.43672768486</v>
      </c>
      <c r="AA29" s="270">
        <f>($G$18*$B$12)*(2^(((AA17 - 14) - $G$17)/HLOOKUP((AA17-14)-$B$14,$G$40:$AB$42,3,TRUE)))</f>
        <v>852454.09487553407</v>
      </c>
      <c r="AB29" s="267">
        <f>AB18*B12</f>
        <v>256340</v>
      </c>
      <c r="AC29" s="57"/>
      <c r="AD29" s="57"/>
      <c r="AE29" s="81"/>
    </row>
    <row r="30" spans="1:31" x14ac:dyDescent="0.25">
      <c r="A30" s="53" t="s">
        <v>276</v>
      </c>
      <c r="B30" s="27"/>
      <c r="C30" s="28"/>
      <c r="D30" s="28"/>
      <c r="E30" s="28"/>
      <c r="F30" s="28"/>
      <c r="G30" s="250">
        <f t="shared" ref="G30:J30" si="11">G29</f>
        <v>0.43112556312798839</v>
      </c>
      <c r="H30" s="251">
        <f t="shared" si="11"/>
        <v>0.627079626820088</v>
      </c>
      <c r="I30" s="251">
        <f t="shared" si="11"/>
        <v>0.91209821918187373</v>
      </c>
      <c r="J30" s="251">
        <f t="shared" si="11"/>
        <v>1.3266627169079257</v>
      </c>
      <c r="K30" s="252">
        <f>K29</f>
        <v>1.88442772088055</v>
      </c>
      <c r="L30" s="253">
        <f t="shared" ref="L30:N30" si="12">L29</f>
        <v>3.6438311144270994</v>
      </c>
      <c r="M30" s="253">
        <f t="shared" si="12"/>
        <v>5.46875</v>
      </c>
      <c r="N30" s="252">
        <f t="shared" si="12"/>
        <v>14.425255325307573</v>
      </c>
      <c r="O30" s="271">
        <f>O29-($G$18*$B$12)*(2^(((O17 - 35) - $G$17)/HLOOKUP((O17-35)-$B$14,$G$40:$AB$42,3,TRUE)))</f>
        <v>227.47576453185357</v>
      </c>
      <c r="P30" s="272">
        <f>P29-($G$18*$B$12)*(2^(((P17 - 35) - $G$17)/HLOOKUP((P17-35)-$B$14,$G$40:$AB$42,3,TRUE)))</f>
        <v>345.40863816016395</v>
      </c>
      <c r="Q30" s="271">
        <f>Q29-($G$18*$B$12)*(2^(((Q17 - 35) - $G$17)/HLOOKUP((Q17-30)-$B$14,$G$40:$AB$42,3,TRUE)))</f>
        <v>668.807656005882</v>
      </c>
      <c r="R30" s="271">
        <f>R29-($G$18*$B$12)*(2^(((R17 - 35) - $G$17)/HLOOKUP((R17-35)-$B$14,$G$40:$AB$42,3,TRUE)))</f>
        <v>265.38686629939752</v>
      </c>
      <c r="S30" s="271">
        <f>S29-($G$18*$B$12)*(2^(((S17 - 35) - $G$17)/HLOOKUP((S17-35)-$B$14,$G$40:$AB$42,3,TRUE)))</f>
        <v>1085.9951693557605</v>
      </c>
      <c r="T30" s="271">
        <f>T29-($G$18*$B$12)*(2^(((T17 - 35) - $G$17)/HLOOKUP((T17-35)-$B$14,$G$40:$AB$42,3,TRUE)))</f>
        <v>2701.0773043790405</v>
      </c>
      <c r="U30" s="271">
        <f>U29-($G$18*$B$12)*(2^(((U17 - 35) - $G$17)/HLOOKUP((U17-35)-$B$14,$G$40:$AB$42,3,TRUE)))</f>
        <v>6011.5115828529588</v>
      </c>
      <c r="V30" s="271">
        <f>V29-($G$18*$B$12)*(2^(((V17 - 35) - $G$17)/HLOOKUP((V17-35)-$B$14,$G$40:$AB$42,3,TRUE)))</f>
        <v>12808.66010232147</v>
      </c>
      <c r="W30" s="271">
        <f>W29-($G$18*$B$12)*(2^(((W17 - 35) - $G$17)/HLOOKUP((W17-35)-$B$14,$G$40:$AB$42,3,TRUE)))</f>
        <v>26709.059753143614</v>
      </c>
      <c r="X30" s="271">
        <f>X29-($G$18*$B$12)*(2^(((X17 - 35) - $G$17)/HLOOKUP((X17-35)-$B$14,$G$40:$AB$42,3,TRUE)))</f>
        <v>55018.410237303346</v>
      </c>
      <c r="Y30" s="271">
        <f>Y29-($G$18*$B$12)*(2^(((Y17 - 35) - $G$17)/HLOOKUP((Y17-35)-$B$14,$G$40:$AB$42,3,TRUE)))</f>
        <v>112478.11876094832</v>
      </c>
      <c r="Z30" s="256">
        <f>Z29-($G$18*$B$12)*(2^(((Z17 - 35) - $G$17)/HLOOKUP((Z17-35)-$B$14,$G$40:$AB$42,3,TRUE)))</f>
        <v>228797.69857890368</v>
      </c>
      <c r="AA30" s="256">
        <f>AA29-($G$18*$B$12)*(2^(((AA17 - 35) - $G$17)/HLOOKUP((AA17-35)-$B$14,$G$40:$AB$42,3,TRUE)))</f>
        <v>463791.33361044567</v>
      </c>
      <c r="AB30" s="267"/>
      <c r="AC30" s="57"/>
      <c r="AD30" s="57"/>
      <c r="AE30" s="81"/>
    </row>
    <row r="31" spans="1:31" x14ac:dyDescent="0.25">
      <c r="A31" s="16" t="s">
        <v>157</v>
      </c>
      <c r="B31" s="99"/>
      <c r="C31" s="21"/>
      <c r="D31" s="21"/>
      <c r="E31" s="21"/>
      <c r="F31" s="21"/>
      <c r="G31" s="273">
        <f>G18*$B$13</f>
        <v>1.09375</v>
      </c>
      <c r="H31" s="274">
        <f>H18*$B$13</f>
        <v>2.1875</v>
      </c>
      <c r="I31" s="274">
        <f>I18*$B$13</f>
        <v>4.375</v>
      </c>
      <c r="J31" s="274">
        <f>J18*$B$13</f>
        <v>8.75</v>
      </c>
      <c r="K31" s="274">
        <f>K18*$B$13</f>
        <v>17.5</v>
      </c>
      <c r="L31" s="273">
        <f>L18*$B$13</f>
        <v>35</v>
      </c>
      <c r="M31" s="274">
        <f>M18*$B$13</f>
        <v>70</v>
      </c>
      <c r="N31" s="275">
        <f>N18*$B$13</f>
        <v>140</v>
      </c>
      <c r="O31" s="274">
        <f>O18*$B$13</f>
        <v>280</v>
      </c>
      <c r="P31" s="273">
        <f>P18*$B$13</f>
        <v>560</v>
      </c>
      <c r="Q31" s="274">
        <f>Q18*$B$13</f>
        <v>1120</v>
      </c>
      <c r="R31" s="274">
        <f>R18*$B$13</f>
        <v>2240</v>
      </c>
      <c r="S31" s="274">
        <f>S18*$B$13</f>
        <v>4480</v>
      </c>
      <c r="T31" s="274">
        <f>T18*$B$13</f>
        <v>8960</v>
      </c>
      <c r="U31" s="274">
        <f>U18*$B$13</f>
        <v>17920</v>
      </c>
      <c r="V31" s="274">
        <f>V18*$B$13</f>
        <v>35840</v>
      </c>
      <c r="W31" s="274">
        <f>W18*$B$13</f>
        <v>71680</v>
      </c>
      <c r="X31" s="274">
        <f>X18*$B$13</f>
        <v>143360</v>
      </c>
      <c r="Y31" s="247">
        <f>Y18*$B$13</f>
        <v>286720</v>
      </c>
      <c r="Z31" s="248">
        <f>Z18*$B$13</f>
        <v>573440</v>
      </c>
      <c r="AA31" s="268">
        <f>AA18*$B$13</f>
        <v>897190.00000000012</v>
      </c>
      <c r="AB31" s="267">
        <f>AB18*B13</f>
        <v>179438.00000000003</v>
      </c>
      <c r="AC31" s="57"/>
      <c r="AD31" s="57"/>
      <c r="AE31" s="81"/>
    </row>
    <row r="32" spans="1:31" x14ac:dyDescent="0.25">
      <c r="A32" s="49" t="s">
        <v>156</v>
      </c>
      <c r="B32" s="50"/>
      <c r="C32" s="51"/>
      <c r="D32" s="51"/>
      <c r="E32" s="51"/>
      <c r="F32" s="51"/>
      <c r="G32" s="250"/>
      <c r="H32" s="251"/>
      <c r="I32" s="251"/>
      <c r="J32" s="251"/>
      <c r="K32" s="251"/>
      <c r="L32" s="250"/>
      <c r="M32" s="251"/>
      <c r="N32" s="276">
        <f>($G$18*$B$13)*(2^(((N17-35)-$G$17)/$G$42))</f>
        <v>0.51698772649090208</v>
      </c>
      <c r="O32" s="277">
        <f>($G$18*$B$13)*(2^(((O17-35)-$G$17)/HLOOKUP((O17-35)-$B$14,$G$40:$AB$42,3,TRUE)))</f>
        <v>3.5789164964313804</v>
      </c>
      <c r="P32" s="278">
        <f>($G$18*$B$13)*(2^(((P17-35)-$G$17)/HLOOKUP((P17-35)-$B$14,$G$40:$AB$42,3,TRUE)))</f>
        <v>70.068359375</v>
      </c>
      <c r="Q32" s="277">
        <f>($G$18*$B$13)*(2^(((Q17-35)-$G$17)/HLOOKUP((Q17-35)-$B$14,$G$40:$AB$42,3,TRUE)))</f>
        <v>812.97289489053128</v>
      </c>
      <c r="R32" s="277">
        <f>($G$18*$B$13)*(2^(((R17-35)-$G$17)/HLOOKUP((R17-35)-$B$14,$G$40:$AB$42,3,TRUE)))</f>
        <v>1018.1134433975267</v>
      </c>
      <c r="S32" s="277">
        <f>($G$18*$B$13)*(2^(((S17-35)-$G$17)/HLOOKUP((S17-35)-$B$14,$G$40:$AB$42,3,TRUE)))</f>
        <v>1627.0150863022457</v>
      </c>
      <c r="T32" s="277">
        <f>($G$18*$B$13)*(2^(((T17-35)-$G$17)/HLOOKUP((T17-35)-$B$14,$G$40:$AB$42,3,TRUE)))</f>
        <v>2854.8594546527761</v>
      </c>
      <c r="U32" s="277">
        <f>($G$18*$B$13)*(2^(((U17-35)-$G$17)/HLOOKUP((U17-35)-$B$14,$G$40:$AB$42,3,TRUE)))</f>
        <v>5240.5491298873521</v>
      </c>
      <c r="V32" s="277">
        <f>($G$18*$B$13)*(2^(((V17-35)-$G$17)/HLOOKUP((V17-35)-$B$14,$G$40:$AB$42,3,TRUE)))</f>
        <v>9865.5475415726196</v>
      </c>
      <c r="W32" s="277">
        <f>($G$18*$B$13)*(2^(((W17-35)-$G$17)/HLOOKUP((W17-35)-$B$14,$G$40:$AB$42,3,TRUE)))</f>
        <v>18862.770804707525</v>
      </c>
      <c r="X32" s="277">
        <f>($G$18*$B$13)*(2^(((X17-35)-$G$17)/HLOOKUP((X17-35)-$B$14,$G$40:$AB$42,3,TRUE)))</f>
        <v>36436.108509443198</v>
      </c>
      <c r="Y32" s="277">
        <f>($G$18*$B$13)*(2^(((Y17-35)-$G$17)/HLOOKUP((Y17-35)-$B$14,$G$40:$AB$42,3,TRUE)))</f>
        <v>70882.794670810166</v>
      </c>
      <c r="Z32" s="256">
        <f>($G$18*$B$13)*(2^(((Z17-35)-$G$17)/HLOOKUP((Z17-35)-$B$14,$G$40:$AB$42,3,TRUE)))</f>
        <v>138604.01670414684</v>
      </c>
      <c r="AA32" s="255">
        <f>($G$18*$B$13)*(2^(((AA17-35)-$G$17)/HLOOKUP((AA17-35)-$B$14,$G$40:$AB$42,3,TRUE)))</f>
        <v>272063.93288556184</v>
      </c>
      <c r="AB32" s="279">
        <f>($G$18*$B$13)*(2^(((AB17 - 35) - $G$17)/AB42))</f>
        <v>158240.30632240084</v>
      </c>
      <c r="AC32" s="57"/>
      <c r="AD32" s="57"/>
      <c r="AE32" s="81"/>
    </row>
    <row r="33" spans="1:30" s="81" customFormat="1" hidden="1" x14ac:dyDescent="0.25">
      <c r="A33" s="60" t="s">
        <v>213</v>
      </c>
      <c r="B33" s="37"/>
      <c r="C33" s="59"/>
      <c r="D33" s="59"/>
      <c r="E33" s="59"/>
      <c r="F33" s="59"/>
      <c r="G33" s="171">
        <f>G17-7</f>
        <v>43885</v>
      </c>
      <c r="H33" s="171">
        <f>H17-7</f>
        <v>43889</v>
      </c>
      <c r="I33" s="171">
        <f>I17-7</f>
        <v>43893</v>
      </c>
      <c r="J33" s="171">
        <f>J17-7</f>
        <v>43897</v>
      </c>
      <c r="K33" s="171">
        <f>K17-7</f>
        <v>43901</v>
      </c>
      <c r="L33" s="171">
        <f>L17-7</f>
        <v>43904</v>
      </c>
      <c r="M33" s="171">
        <f>M17-7</f>
        <v>43907</v>
      </c>
      <c r="N33" s="171">
        <f>N17-7</f>
        <v>43912</v>
      </c>
      <c r="O33" s="171">
        <f>O17-7</f>
        <v>43927</v>
      </c>
      <c r="P33" s="171">
        <f>P17-7</f>
        <v>43942</v>
      </c>
      <c r="Q33" s="171">
        <f>Q17-7</f>
        <v>43957</v>
      </c>
      <c r="R33" s="171">
        <f>R17-7</f>
        <v>43972</v>
      </c>
      <c r="S33" s="171">
        <f>S17-7</f>
        <v>43987</v>
      </c>
      <c r="T33" s="171">
        <f>T17-7</f>
        <v>44002</v>
      </c>
      <c r="U33" s="171">
        <f>U17-7</f>
        <v>44017</v>
      </c>
      <c r="V33" s="171">
        <f>V17-7</f>
        <v>44032</v>
      </c>
      <c r="W33" s="171">
        <f>W17-7</f>
        <v>44047</v>
      </c>
      <c r="X33" s="171">
        <f>X17-7</f>
        <v>44062</v>
      </c>
      <c r="Y33" s="171">
        <f>Y17-7</f>
        <v>44077</v>
      </c>
      <c r="Z33" s="171">
        <f>Z17-7</f>
        <v>44092</v>
      </c>
      <c r="AA33" s="171">
        <f>AA17-7</f>
        <v>44107</v>
      </c>
      <c r="AB33" s="171"/>
      <c r="AC33" s="57"/>
      <c r="AD33" s="57"/>
    </row>
    <row r="34" spans="1:30" s="81" customFormat="1" hidden="1" x14ac:dyDescent="0.25">
      <c r="A34" s="60" t="s">
        <v>211</v>
      </c>
      <c r="B34" s="37"/>
      <c r="C34" s="59"/>
      <c r="D34" s="59"/>
      <c r="E34" s="59"/>
      <c r="F34" s="59"/>
      <c r="G34" s="171">
        <f>G17-14</f>
        <v>43878</v>
      </c>
      <c r="H34" s="171">
        <f>H17-14</f>
        <v>43882</v>
      </c>
      <c r="I34" s="171">
        <f>I17-14</f>
        <v>43886</v>
      </c>
      <c r="J34" s="171">
        <f>J17-14</f>
        <v>43890</v>
      </c>
      <c r="K34" s="171">
        <f>K17-14</f>
        <v>43894</v>
      </c>
      <c r="L34" s="171">
        <f>L17-14</f>
        <v>43897</v>
      </c>
      <c r="M34" s="171">
        <f>M17-14</f>
        <v>43900</v>
      </c>
      <c r="N34" s="171">
        <f>N17-14</f>
        <v>43905</v>
      </c>
      <c r="O34" s="171">
        <f>O17-14</f>
        <v>43920</v>
      </c>
      <c r="P34" s="171">
        <f>P17-14</f>
        <v>43935</v>
      </c>
      <c r="Q34" s="171">
        <f>Q17-14</f>
        <v>43950</v>
      </c>
      <c r="R34" s="171">
        <f>R17-14</f>
        <v>43965</v>
      </c>
      <c r="S34" s="171">
        <f>S17-14</f>
        <v>43980</v>
      </c>
      <c r="T34" s="171">
        <f>T17-14</f>
        <v>43995</v>
      </c>
      <c r="U34" s="171">
        <f>U17-14</f>
        <v>44010</v>
      </c>
      <c r="V34" s="171">
        <f>V17-14</f>
        <v>44025</v>
      </c>
      <c r="W34" s="171">
        <f>W17-14</f>
        <v>44040</v>
      </c>
      <c r="X34" s="171">
        <f>X17-14</f>
        <v>44055</v>
      </c>
      <c r="Y34" s="171">
        <f>Y17-14</f>
        <v>44070</v>
      </c>
      <c r="Z34" s="171">
        <f>Z17-14</f>
        <v>44085</v>
      </c>
      <c r="AA34" s="171">
        <f>AA17-14</f>
        <v>44100</v>
      </c>
      <c r="AB34" s="171"/>
      <c r="AC34" s="57"/>
      <c r="AD34" s="57"/>
    </row>
    <row r="35" spans="1:30" s="81" customFormat="1" hidden="1" x14ac:dyDescent="0.25">
      <c r="A35" s="60" t="s">
        <v>214</v>
      </c>
      <c r="B35" s="37"/>
      <c r="C35" s="59"/>
      <c r="D35" s="59"/>
      <c r="E35" s="59"/>
      <c r="F35" s="59"/>
      <c r="G35" s="171">
        <f>G17-(7*5)</f>
        <v>43857</v>
      </c>
      <c r="H35" s="171">
        <f>H17-(7*5)</f>
        <v>43861</v>
      </c>
      <c r="I35" s="171">
        <f>I17-(7*5)</f>
        <v>43865</v>
      </c>
      <c r="J35" s="171">
        <f>J17-(7*5)</f>
        <v>43869</v>
      </c>
      <c r="K35" s="171">
        <f>K17-(7*5)</f>
        <v>43873</v>
      </c>
      <c r="L35" s="171">
        <f>L17-(7*5)</f>
        <v>43876</v>
      </c>
      <c r="M35" s="171">
        <f>M17-(7*5)</f>
        <v>43879</v>
      </c>
      <c r="N35" s="171">
        <f>N17-(7*5)</f>
        <v>43884</v>
      </c>
      <c r="O35" s="171">
        <f>O17-(7*5)</f>
        <v>43899</v>
      </c>
      <c r="P35" s="171">
        <f>P17-(7*5)</f>
        <v>43914</v>
      </c>
      <c r="Q35" s="171">
        <f>Q17-(7*5)</f>
        <v>43929</v>
      </c>
      <c r="R35" s="171">
        <f>R17-(7*5)</f>
        <v>43944</v>
      </c>
      <c r="S35" s="171">
        <f>S17-(7*5)</f>
        <v>43959</v>
      </c>
      <c r="T35" s="171">
        <f>T17-(7*5)</f>
        <v>43974</v>
      </c>
      <c r="U35" s="171">
        <f>U17-(7*5)</f>
        <v>43989</v>
      </c>
      <c r="V35" s="171">
        <f>V17-(7*5)</f>
        <v>44004</v>
      </c>
      <c r="W35" s="171">
        <f>W17-(7*5)</f>
        <v>44019</v>
      </c>
      <c r="X35" s="171">
        <f>X17-(7*5)</f>
        <v>44034</v>
      </c>
      <c r="Y35" s="171">
        <f>Y17-(7*5)</f>
        <v>44049</v>
      </c>
      <c r="Z35" s="171">
        <f>Z17-(7*5)</f>
        <v>44064</v>
      </c>
      <c r="AA35" s="171">
        <f>AA17-(7*5)</f>
        <v>44079</v>
      </c>
      <c r="AB35" s="171"/>
      <c r="AC35" s="57"/>
      <c r="AD35" s="57"/>
    </row>
    <row r="36" spans="1:30" s="81" customFormat="1" hidden="1" x14ac:dyDescent="0.25">
      <c r="A36" s="60" t="s">
        <v>212</v>
      </c>
      <c r="B36" s="37"/>
      <c r="C36" s="59"/>
      <c r="D36" s="59"/>
      <c r="E36" s="59"/>
      <c r="F36" s="59"/>
      <c r="G36" s="171">
        <f>G17-(6*7)</f>
        <v>43850</v>
      </c>
      <c r="H36" s="171">
        <f>H17-(6*7)</f>
        <v>43854</v>
      </c>
      <c r="I36" s="171">
        <f>I17-(6*7)</f>
        <v>43858</v>
      </c>
      <c r="J36" s="171">
        <f>J17-(6*7)</f>
        <v>43862</v>
      </c>
      <c r="K36" s="171">
        <f>K17-(6*7)</f>
        <v>43866</v>
      </c>
      <c r="L36" s="171">
        <f>L17-(6*7)</f>
        <v>43869</v>
      </c>
      <c r="M36" s="171">
        <f>M17-(6*7)</f>
        <v>43872</v>
      </c>
      <c r="N36" s="171">
        <f>N17-(6*7)</f>
        <v>43877</v>
      </c>
      <c r="O36" s="171">
        <f>O17-(6*7)</f>
        <v>43892</v>
      </c>
      <c r="P36" s="171">
        <f>P17-(6*7)</f>
        <v>43907</v>
      </c>
      <c r="Q36" s="171">
        <f>Q17-(6*7)</f>
        <v>43922</v>
      </c>
      <c r="R36" s="171">
        <f>R17-(6*7)</f>
        <v>43937</v>
      </c>
      <c r="S36" s="171">
        <f>S17-(6*7)</f>
        <v>43952</v>
      </c>
      <c r="T36" s="171">
        <f>T17-(6*7)</f>
        <v>43967</v>
      </c>
      <c r="U36" s="171">
        <f>U17-(6*7)</f>
        <v>43982</v>
      </c>
      <c r="V36" s="171">
        <f>V17-(6*7)</f>
        <v>43997</v>
      </c>
      <c r="W36" s="171">
        <f>W17-(6*7)</f>
        <v>44012</v>
      </c>
      <c r="X36" s="171">
        <f>X17-(6*7)</f>
        <v>44027</v>
      </c>
      <c r="Y36" s="171">
        <f>Y17-(6*7)</f>
        <v>44042</v>
      </c>
      <c r="Z36" s="171">
        <f>Z17-(6*7)</f>
        <v>44057</v>
      </c>
      <c r="AA36" s="171">
        <f>AA17-(6*7)</f>
        <v>44072</v>
      </c>
      <c r="AB36" s="171"/>
      <c r="AC36" s="57"/>
      <c r="AD36" s="57"/>
    </row>
    <row r="38" spans="1:30" x14ac:dyDescent="0.25">
      <c r="A38" s="65" t="s">
        <v>141</v>
      </c>
      <c r="B38" s="27"/>
      <c r="C38" s="28"/>
      <c r="D38" s="28"/>
      <c r="E38" s="28"/>
      <c r="F38" s="28"/>
    </row>
    <row r="39" spans="1:30" s="81" customFormat="1" x14ac:dyDescent="0.25">
      <c r="A39" s="161" t="s">
        <v>209</v>
      </c>
      <c r="B39" s="37"/>
      <c r="C39" s="59"/>
      <c r="D39" s="59"/>
      <c r="E39" s="59"/>
      <c r="F39" s="59"/>
      <c r="G39" s="162">
        <f>(G17-$B$14)/7</f>
        <v>5.2857142857142856</v>
      </c>
      <c r="H39" s="158">
        <f>(H17-$B$14)/7</f>
        <v>5.8571428571428568</v>
      </c>
      <c r="I39" s="159">
        <f>(I17-$B$14)/7</f>
        <v>6.4285714285714288</v>
      </c>
      <c r="J39" s="162">
        <f>(J17-$B$14)/7</f>
        <v>7</v>
      </c>
      <c r="K39" s="158">
        <f>(K17-$B$14)/7</f>
        <v>7.5714285714285712</v>
      </c>
      <c r="L39" s="163">
        <f>(L17-$B$14)/7</f>
        <v>8</v>
      </c>
      <c r="M39" s="159">
        <f>(M17-$B$14)/7</f>
        <v>8.4285714285714288</v>
      </c>
      <c r="N39" s="162">
        <f>(N17-$B$14)/7</f>
        <v>9.1428571428571423</v>
      </c>
      <c r="O39" s="158">
        <f>(O17-$B$14)/7</f>
        <v>11.285714285714286</v>
      </c>
      <c r="P39" s="162">
        <f>(P17-$B$14)/7</f>
        <v>13.428571428571429</v>
      </c>
      <c r="Q39" s="159">
        <f>(Q17-$B$14)/7</f>
        <v>15.571428571428571</v>
      </c>
      <c r="R39" s="162">
        <f>(R17-$B$14)/7</f>
        <v>17.714285714285715</v>
      </c>
      <c r="S39" s="162">
        <f>(S17-$B$14)/7</f>
        <v>19.857142857142858</v>
      </c>
      <c r="T39" s="159">
        <f>(T17-$B$14)/7</f>
        <v>22</v>
      </c>
      <c r="U39" s="162">
        <f>(U17-$B$14)/7</f>
        <v>24.142857142857142</v>
      </c>
      <c r="V39" s="162">
        <f>(V17-$B$14)/7</f>
        <v>26.285714285714285</v>
      </c>
      <c r="W39" s="162">
        <f>(W17-$B$14)/7</f>
        <v>28.428571428571427</v>
      </c>
      <c r="X39" s="159">
        <f>(X17-$B$14)/7</f>
        <v>30.571428571428573</v>
      </c>
      <c r="Y39" s="162">
        <f>(Y17-$B$14)/7</f>
        <v>32.714285714285715</v>
      </c>
      <c r="Z39" s="158">
        <f>(Z17-$B$14)/7</f>
        <v>34.857142857142854</v>
      </c>
      <c r="AA39" s="162">
        <f>(AA17-$B$14)/7</f>
        <v>37</v>
      </c>
      <c r="AB39" s="162">
        <f>(AB17-$B$14)/7</f>
        <v>45</v>
      </c>
    </row>
    <row r="40" spans="1:30" s="81" customFormat="1" x14ac:dyDescent="0.25">
      <c r="A40" s="161" t="s">
        <v>208</v>
      </c>
      <c r="B40" s="37"/>
      <c r="C40" s="59"/>
      <c r="D40" s="59"/>
      <c r="E40" s="59"/>
      <c r="F40" s="59"/>
      <c r="G40" s="164">
        <f>G17-B14</f>
        <v>37</v>
      </c>
      <c r="H40" s="160">
        <f>H17-$B$14</f>
        <v>41</v>
      </c>
      <c r="I40" s="160">
        <f>I17-$B$14</f>
        <v>45</v>
      </c>
      <c r="J40" s="160">
        <f>J17-$B$14</f>
        <v>49</v>
      </c>
      <c r="K40" s="160">
        <f>K17-$B$14</f>
        <v>53</v>
      </c>
      <c r="L40" s="160">
        <f>L17-$B$14</f>
        <v>56</v>
      </c>
      <c r="M40" s="160">
        <f>M17-$B$14</f>
        <v>59</v>
      </c>
      <c r="N40" s="160">
        <f>N17-$B$14</f>
        <v>64</v>
      </c>
      <c r="O40" s="160">
        <f>O17-$B$14</f>
        <v>79</v>
      </c>
      <c r="P40" s="160">
        <f>P17-$B$14</f>
        <v>94</v>
      </c>
      <c r="Q40" s="160">
        <f>Q17-$B$14</f>
        <v>109</v>
      </c>
      <c r="R40" s="160">
        <f>R17-$B$14</f>
        <v>124</v>
      </c>
      <c r="S40" s="160">
        <f>S17-$B$14</f>
        <v>139</v>
      </c>
      <c r="T40" s="160">
        <f>T17-$B$14</f>
        <v>154</v>
      </c>
      <c r="U40" s="160">
        <f>U17-$B$14</f>
        <v>169</v>
      </c>
      <c r="V40" s="160">
        <f>V17-$B$14</f>
        <v>184</v>
      </c>
      <c r="W40" s="160">
        <f>W17-$B$14</f>
        <v>199</v>
      </c>
      <c r="X40" s="160">
        <f>X17-$B$14</f>
        <v>214</v>
      </c>
      <c r="Y40" s="160">
        <f>Y17-$B$14</f>
        <v>229</v>
      </c>
      <c r="Z40" s="160">
        <f>Z17-$B$14</f>
        <v>244</v>
      </c>
      <c r="AA40" s="230">
        <f>AA17-$B$14</f>
        <v>259</v>
      </c>
      <c r="AB40" s="230">
        <f>AB17-$B$14</f>
        <v>315</v>
      </c>
    </row>
    <row r="41" spans="1:30" x14ac:dyDescent="0.25">
      <c r="A41" s="53" t="s">
        <v>135</v>
      </c>
      <c r="B41" s="28"/>
      <c r="C41" s="28"/>
      <c r="D41" s="28"/>
      <c r="E41" s="28"/>
      <c r="F41" s="28"/>
      <c r="G41" s="165">
        <v>32</v>
      </c>
      <c r="H41" s="166">
        <v>63</v>
      </c>
      <c r="I41" s="167">
        <v>112</v>
      </c>
      <c r="J41" s="167">
        <v>249</v>
      </c>
      <c r="K41" s="167">
        <v>567</v>
      </c>
      <c r="L41" s="167">
        <v>1072</v>
      </c>
      <c r="M41" s="167">
        <v>2050</v>
      </c>
      <c r="N41" s="167">
        <v>3984</v>
      </c>
      <c r="O41" s="214">
        <v>8000</v>
      </c>
      <c r="P41" s="214">
        <f>O41*2</f>
        <v>16000</v>
      </c>
      <c r="Q41" s="214">
        <f t="shared" ref="Q41:Z41" si="13">P41*2</f>
        <v>32000</v>
      </c>
      <c r="R41" s="214">
        <f t="shared" si="13"/>
        <v>64000</v>
      </c>
      <c r="S41" s="214">
        <f t="shared" si="13"/>
        <v>128000</v>
      </c>
      <c r="T41" s="214">
        <f t="shared" si="13"/>
        <v>256000</v>
      </c>
      <c r="U41" s="214">
        <f t="shared" si="13"/>
        <v>512000</v>
      </c>
      <c r="V41" s="214">
        <f t="shared" si="13"/>
        <v>1024000</v>
      </c>
      <c r="W41" s="214">
        <f t="shared" si="13"/>
        <v>2048000</v>
      </c>
      <c r="X41" s="214">
        <f t="shared" si="13"/>
        <v>4096000</v>
      </c>
      <c r="Y41" s="214">
        <f t="shared" si="13"/>
        <v>8192000</v>
      </c>
      <c r="Z41" s="214">
        <f t="shared" si="13"/>
        <v>16384000</v>
      </c>
      <c r="AA41" s="218">
        <f>AA18</f>
        <v>25634000</v>
      </c>
      <c r="AB41" s="219">
        <f>AA41</f>
        <v>25634000</v>
      </c>
    </row>
    <row r="42" spans="1:30" x14ac:dyDescent="0.25">
      <c r="A42" s="53" t="s">
        <v>273</v>
      </c>
      <c r="B42" s="28"/>
      <c r="C42" s="28"/>
      <c r="D42" s="28"/>
      <c r="E42" s="28"/>
      <c r="F42" s="28"/>
      <c r="G42" s="238">
        <f>(G17-B14)/(LOG(G41/1)/LOG(2))</f>
        <v>7.4</v>
      </c>
      <c r="H42" s="204">
        <f>(H17-$G$17)/(LOG(H41/$G$41)/LOG(2))</f>
        <v>4.0929931167263378</v>
      </c>
      <c r="I42" s="204">
        <f>(I17-$G$17)/(LOG(I41/$G$41)/LOG(2))</f>
        <v>4.4263580453208977</v>
      </c>
      <c r="J42" s="204">
        <f>(J17-$G$17)/(LOG(J41/$G$41)/LOG(2))</f>
        <v>4.0540514078704986</v>
      </c>
      <c r="K42" s="204">
        <f>(K17-$G$17)/(LOG(K41/$G$41)/LOG(2))</f>
        <v>3.8580201098268327</v>
      </c>
      <c r="L42" s="204">
        <f>(L17-$G$17)/(LOG(L41/$G$41)/LOG(2))</f>
        <v>3.7504274570979592</v>
      </c>
      <c r="M42" s="204">
        <f>(M17-$G$17)/(LOG(M41/$G$41)/LOG(2))</f>
        <v>3.6658063053526138</v>
      </c>
      <c r="N42" s="204">
        <f>(N17-$G$17)/(LOG(N41/$G$41)/LOG(2))</f>
        <v>3.879309267946895</v>
      </c>
      <c r="O42" s="215">
        <f>(O17-$G$17)/(LOG(O41/$G$41)/LOG(2))</f>
        <v>5.2725505109233151</v>
      </c>
      <c r="P42" s="215">
        <f>(P17-$G$17)/(LOG(P41/$G$41)/LOG(2))</f>
        <v>6.3575029456721177</v>
      </c>
      <c r="Q42" s="215">
        <f>(Q17-$G$17)/(LOG(Q41/$G$41)/LOG(2))</f>
        <v>7.2247198959355483</v>
      </c>
      <c r="R42" s="215">
        <f>(R17-$G$17)/(LOG(R41/$G$41)/LOG(2))</f>
        <v>7.9337690530432425</v>
      </c>
      <c r="S42" s="215">
        <f>(S17-$G$17)/(LOG(S41/$G$41)/LOG(2))</f>
        <v>8.5243054340153073</v>
      </c>
      <c r="T42" s="215">
        <f>(T17-$G$17)/(LOG(T41/$G$41)/LOG(2))</f>
        <v>9.0237503132306074</v>
      </c>
      <c r="U42" s="215">
        <f>(U17-$G$17)/(LOG(U41/$G$41)/LOG(2))</f>
        <v>9.4516711206093103</v>
      </c>
      <c r="V42" s="215">
        <f>(V17-$G$17)/(LOG(V41/$G$41)/LOG(2))</f>
        <v>9.8224053750831626</v>
      </c>
      <c r="W42" s="215">
        <f>(W17-$G$17)/(LOG(W41/$G$41)/LOG(2))</f>
        <v>10.146698534291808</v>
      </c>
      <c r="X42" s="215">
        <f>(X17-$G$17)/(LOG(X41/$G$41)/LOG(2))</f>
        <v>10.432762613869658</v>
      </c>
      <c r="Y42" s="215">
        <f>(Y17-$G$17)/(LOG(Y41/$G$41)/LOG(2))</f>
        <v>10.686981261592683</v>
      </c>
      <c r="Z42" s="215">
        <f>(Z17-$G$17)/(LOG(Z41/$G$41)/LOG(2))</f>
        <v>10.914391774844978</v>
      </c>
      <c r="AA42" s="220">
        <f>(AA17-$G$17)/(LOG(AA41/$G$41)/LOG(2))</f>
        <v>11.319856931382935</v>
      </c>
      <c r="AB42" s="221">
        <f>(AB17-$G$17)/(LOG(AB41/$G$41)/LOG(2))</f>
        <v>14.17531633749755</v>
      </c>
    </row>
    <row r="43" spans="1:30" x14ac:dyDescent="0.25">
      <c r="A43" s="53" t="s">
        <v>164</v>
      </c>
      <c r="B43" s="28"/>
      <c r="C43" s="28"/>
      <c r="D43" s="28"/>
      <c r="E43" s="28"/>
      <c r="F43" s="28"/>
      <c r="G43" s="168">
        <v>5</v>
      </c>
      <c r="H43" s="169">
        <v>12</v>
      </c>
      <c r="I43" s="123">
        <v>12</v>
      </c>
      <c r="J43" s="123">
        <v>17</v>
      </c>
      <c r="K43" s="170">
        <v>33</v>
      </c>
      <c r="L43" s="170">
        <v>53</v>
      </c>
      <c r="M43" s="170">
        <v>97</v>
      </c>
      <c r="N43" s="170" t="s">
        <v>230</v>
      </c>
      <c r="O43" s="216" t="s">
        <v>290</v>
      </c>
      <c r="P43" s="216"/>
      <c r="Q43" s="216"/>
      <c r="R43" s="216"/>
      <c r="S43" s="216"/>
      <c r="T43" s="216"/>
      <c r="U43" s="216"/>
      <c r="V43" s="216"/>
      <c r="W43" s="216"/>
      <c r="X43" s="216"/>
      <c r="Y43" s="216"/>
      <c r="Z43" s="216"/>
      <c r="AA43" s="123"/>
      <c r="AB43" s="124"/>
    </row>
    <row r="44" spans="1:30" x14ac:dyDescent="0.25">
      <c r="A44" s="61" t="s">
        <v>136</v>
      </c>
      <c r="B44" s="50"/>
      <c r="C44" s="51"/>
      <c r="D44" s="51"/>
      <c r="E44" s="51"/>
      <c r="F44" s="51"/>
      <c r="G44" s="79">
        <v>1</v>
      </c>
      <c r="H44" s="80">
        <v>2</v>
      </c>
      <c r="I44" s="64">
        <v>3</v>
      </c>
      <c r="J44" s="64">
        <v>5</v>
      </c>
      <c r="K44" s="64">
        <v>6</v>
      </c>
      <c r="L44" s="64">
        <v>7</v>
      </c>
      <c r="M44" s="64">
        <v>8</v>
      </c>
      <c r="N44" s="64">
        <v>16</v>
      </c>
      <c r="O44" s="217">
        <v>29</v>
      </c>
      <c r="P44" s="217"/>
      <c r="Q44" s="217"/>
      <c r="R44" s="217"/>
      <c r="S44" s="217"/>
      <c r="T44" s="217"/>
      <c r="U44" s="217"/>
      <c r="V44" s="217"/>
      <c r="W44" s="217"/>
      <c r="X44" s="217"/>
      <c r="Y44" s="217"/>
      <c r="Z44" s="217"/>
      <c r="AA44" s="123"/>
      <c r="AB44" s="124"/>
    </row>
    <row r="45" spans="1:30" x14ac:dyDescent="0.25">
      <c r="B45" s="3"/>
      <c r="G45" s="47"/>
      <c r="H45" s="47"/>
      <c r="I45" s="47"/>
      <c r="J45" s="47"/>
      <c r="K45" s="47"/>
      <c r="L45" s="47"/>
      <c r="M45" s="47"/>
      <c r="N45" s="47"/>
      <c r="O45" s="47"/>
      <c r="P45" s="47"/>
      <c r="Q45" s="47"/>
      <c r="R45" s="47"/>
      <c r="S45" s="47"/>
      <c r="T45" s="47"/>
      <c r="U45" s="47"/>
      <c r="V45" s="47"/>
      <c r="W45" s="47"/>
      <c r="X45" s="47"/>
    </row>
    <row r="46" spans="1:30" x14ac:dyDescent="0.25">
      <c r="A46" s="86" t="s">
        <v>142</v>
      </c>
      <c r="X46" s="28"/>
    </row>
    <row r="47" spans="1:30" x14ac:dyDescent="0.25">
      <c r="A47" s="16" t="s">
        <v>1</v>
      </c>
      <c r="B47" s="69" t="s">
        <v>148</v>
      </c>
      <c r="C47" s="17" t="s">
        <v>4</v>
      </c>
      <c r="D47" s="69" t="s">
        <v>144</v>
      </c>
      <c r="E47" s="70" t="s">
        <v>3</v>
      </c>
      <c r="F47" s="21" t="s">
        <v>4</v>
      </c>
      <c r="G47" s="21"/>
      <c r="H47" s="21"/>
      <c r="I47" s="21"/>
      <c r="J47" s="21"/>
      <c r="K47" s="21"/>
      <c r="L47" s="21"/>
      <c r="M47" s="21"/>
      <c r="N47" s="21"/>
      <c r="O47" s="21"/>
      <c r="P47" s="21"/>
      <c r="Q47" s="21"/>
      <c r="R47" s="21"/>
      <c r="S47" s="21"/>
      <c r="T47" s="21"/>
      <c r="U47" s="21"/>
      <c r="V47" s="21"/>
      <c r="W47" s="21"/>
      <c r="X47" s="21"/>
      <c r="Y47" s="21"/>
      <c r="Z47" s="21"/>
      <c r="AA47" s="17"/>
      <c r="AB47" s="59"/>
    </row>
    <row r="48" spans="1:30" x14ac:dyDescent="0.25">
      <c r="A48" s="53" t="s">
        <v>13</v>
      </c>
      <c r="B48" s="25">
        <f>'ABS Population by Age Range'!D107</f>
        <v>4.0260989985204748E-2</v>
      </c>
      <c r="C48" s="24">
        <f>$B$5*B48</f>
        <v>1032050.2172807385</v>
      </c>
      <c r="D48" s="34">
        <f>'AU Infection Rate by Age'!C4</f>
        <v>2.7419684878248415E-2</v>
      </c>
      <c r="E48" s="17"/>
      <c r="F48" s="28"/>
      <c r="G48" s="30">
        <f>G$18*$D$48</f>
        <v>0.85686515244526296</v>
      </c>
      <c r="H48" s="31">
        <f>H$18*$D$48</f>
        <v>1.7137303048905259</v>
      </c>
      <c r="I48" s="31">
        <f>I$18*$D$48</f>
        <v>3.4274606097810518</v>
      </c>
      <c r="J48" s="31">
        <f>J$18*$D$48</f>
        <v>6.8549212195621037</v>
      </c>
      <c r="K48" s="31">
        <f>K$18*$D$48</f>
        <v>13.709842439124207</v>
      </c>
      <c r="L48" s="31">
        <f>L$18*$D$48</f>
        <v>27.419684878248415</v>
      </c>
      <c r="M48" s="31">
        <f>M$18*$D$48</f>
        <v>54.839369756496829</v>
      </c>
      <c r="N48" s="31">
        <f>N$18*$D$48</f>
        <v>109.67873951299366</v>
      </c>
      <c r="O48" s="31">
        <f>O$18*$D$48</f>
        <v>219.35747902598732</v>
      </c>
      <c r="P48" s="31">
        <f>P$18*$D$48</f>
        <v>438.71495805197463</v>
      </c>
      <c r="Q48" s="31">
        <f>Q$18*$D$48</f>
        <v>877.42991610394927</v>
      </c>
      <c r="R48" s="31">
        <f>R$18*$D$48</f>
        <v>1754.8598322078985</v>
      </c>
      <c r="S48" s="31">
        <f>S$18*$D$48</f>
        <v>3509.7196644157971</v>
      </c>
      <c r="T48" s="31">
        <f>T$18*$D$48</f>
        <v>7019.4393288315941</v>
      </c>
      <c r="U48" s="31">
        <f>U$18*$D$48</f>
        <v>14038.878657663188</v>
      </c>
      <c r="V48" s="31">
        <f>V$18*$D$48</f>
        <v>28077.757315326377</v>
      </c>
      <c r="W48" s="31">
        <f>W$18*$D$48</f>
        <v>56155.514630652753</v>
      </c>
      <c r="X48" s="31">
        <f>X$18*$D$48</f>
        <v>112311.02926130551</v>
      </c>
      <c r="Y48" s="31">
        <f>Y$18*$D$48</f>
        <v>224622.05852261101</v>
      </c>
      <c r="Z48" s="31">
        <f>Z$18*$D$48</f>
        <v>449244.11704522202</v>
      </c>
      <c r="AA48" s="72">
        <f>AA$18*$D$48</f>
        <v>702876.20216901985</v>
      </c>
      <c r="AB48" s="57"/>
    </row>
    <row r="49" spans="1:28" x14ac:dyDescent="0.25">
      <c r="A49" s="53"/>
      <c r="B49" s="18"/>
      <c r="C49" s="22"/>
      <c r="D49" s="20"/>
      <c r="E49" s="39">
        <v>0.14799999999999999</v>
      </c>
      <c r="F49" s="22"/>
      <c r="G49" s="41">
        <f>G$18*$D$48*$E$49</f>
        <v>0.12681604256189891</v>
      </c>
      <c r="H49" s="42">
        <f>H$18*$D$48*$E$49</f>
        <v>0.25363208512379781</v>
      </c>
      <c r="I49" s="42">
        <f>I$18*$D$48*$E$49</f>
        <v>0.50726417024759562</v>
      </c>
      <c r="J49" s="42">
        <f>J$18*$D$48*$E$49</f>
        <v>1.0145283404951912</v>
      </c>
      <c r="K49" s="42">
        <f>K$18*$D$48*$E$49</f>
        <v>2.0290566809903825</v>
      </c>
      <c r="L49" s="42">
        <f>L$18*$D$48*$E$49</f>
        <v>4.058113361980765</v>
      </c>
      <c r="M49" s="42">
        <f>M$18*$D$48*$E$49</f>
        <v>8.11622672396153</v>
      </c>
      <c r="N49" s="42">
        <f>N$18*$D$48*$E$49</f>
        <v>16.23245344792306</v>
      </c>
      <c r="O49" s="42">
        <f>O$18*$D$48*$E$49</f>
        <v>32.46490689584612</v>
      </c>
      <c r="P49" s="42">
        <f>P$18*$D$48*$E$49</f>
        <v>64.92981379169224</v>
      </c>
      <c r="Q49" s="42">
        <f>Q$18*$D$48*$E$49</f>
        <v>129.85962758338448</v>
      </c>
      <c r="R49" s="42">
        <f>R$18*$D$48*$E$49</f>
        <v>259.71925516676896</v>
      </c>
      <c r="S49" s="42">
        <f>S$18*$D$48*$E$49</f>
        <v>519.43851033353792</v>
      </c>
      <c r="T49" s="42">
        <f>T$18*$D$48*$E$49</f>
        <v>1038.8770206670758</v>
      </c>
      <c r="U49" s="42">
        <f>U$18*$D$48*$E$49</f>
        <v>2077.7540413341517</v>
      </c>
      <c r="V49" s="42">
        <f>V$18*$D$48*$E$49</f>
        <v>4155.5080826683034</v>
      </c>
      <c r="W49" s="42">
        <f>W$18*$D$48*$E$49</f>
        <v>8311.0161653366067</v>
      </c>
      <c r="X49" s="42">
        <f>X$18*$D$48*$E$49</f>
        <v>16622.032330673213</v>
      </c>
      <c r="Y49" s="42">
        <f>Y$18*$D$48*$E$49</f>
        <v>33244.064661346427</v>
      </c>
      <c r="Z49" s="42">
        <f>Z$18*$D$48*$E$49</f>
        <v>66488.129322692854</v>
      </c>
      <c r="AA49" s="83">
        <f>AA$18*$D$48*$E$49</f>
        <v>104025.67792101493</v>
      </c>
      <c r="AB49" s="57"/>
    </row>
    <row r="50" spans="1:28" x14ac:dyDescent="0.25">
      <c r="A50" s="53" t="s">
        <v>14</v>
      </c>
      <c r="B50" s="18">
        <f>'ABS Population by Age Range'!D97</f>
        <v>7.065336711718416E-2</v>
      </c>
      <c r="C50" s="22">
        <f t="shared" ref="C50:C64" si="14">$B$5*B50</f>
        <v>1811128.4126818988</v>
      </c>
      <c r="D50" s="92">
        <f>'AU Infection Rate by Age'!C5</f>
        <v>0.10804174340085942</v>
      </c>
      <c r="E50" s="29"/>
      <c r="F50" s="28"/>
      <c r="G50" s="32">
        <f>G$18*$D$50</f>
        <v>3.3763044812768572</v>
      </c>
      <c r="H50" s="33">
        <f>H$18*$D$50</f>
        <v>6.7526089625537145</v>
      </c>
      <c r="I50" s="33">
        <f>I$18*$D$50</f>
        <v>13.505217925107429</v>
      </c>
      <c r="J50" s="33">
        <f>J$18*$D$50</f>
        <v>27.010435850214858</v>
      </c>
      <c r="K50" s="33">
        <f>K$18*$D$50</f>
        <v>54.020871700429716</v>
      </c>
      <c r="L50" s="33">
        <f>L$18*$D$50</f>
        <v>108.04174340085943</v>
      </c>
      <c r="M50" s="33">
        <f>M$18*$D$50</f>
        <v>216.08348680171886</v>
      </c>
      <c r="N50" s="33">
        <f>N$18*$D$50</f>
        <v>432.16697360343773</v>
      </c>
      <c r="O50" s="33">
        <f>O$18*$D$50</f>
        <v>864.33394720687545</v>
      </c>
      <c r="P50" s="33">
        <f>P$18*$D$50</f>
        <v>1728.6678944137509</v>
      </c>
      <c r="Q50" s="33">
        <f>Q$18*$D$50</f>
        <v>3457.3357888275018</v>
      </c>
      <c r="R50" s="33">
        <f>R$18*$D$50</f>
        <v>6914.6715776550036</v>
      </c>
      <c r="S50" s="33">
        <f>S$18*$D$50</f>
        <v>13829.343155310007</v>
      </c>
      <c r="T50" s="33">
        <f>T$18*$D$50</f>
        <v>27658.686310620014</v>
      </c>
      <c r="U50" s="33">
        <f>U$18*$D$50</f>
        <v>55317.372621240029</v>
      </c>
      <c r="V50" s="33">
        <f>V$18*$D$50</f>
        <v>110634.74524248006</v>
      </c>
      <c r="W50" s="33">
        <f>W$18*$D$50</f>
        <v>221269.49048496012</v>
      </c>
      <c r="X50" s="33">
        <f>X$18*$D$50</f>
        <v>442538.98096992023</v>
      </c>
      <c r="Y50" s="33">
        <f>Y$18*$D$50</f>
        <v>885077.96193984046</v>
      </c>
      <c r="Z50" s="33">
        <f>Z$18*$D$50</f>
        <v>1770155.9238796809</v>
      </c>
      <c r="AA50" s="84">
        <f>AA$18*$D$50</f>
        <v>2769542.0503376303</v>
      </c>
      <c r="AB50" s="57"/>
    </row>
    <row r="51" spans="1:28" x14ac:dyDescent="0.25">
      <c r="A51" s="53"/>
      <c r="B51" s="18"/>
      <c r="C51" s="22"/>
      <c r="D51" s="20"/>
      <c r="E51" s="39">
        <v>0.08</v>
      </c>
      <c r="F51" s="22"/>
      <c r="G51" s="41">
        <f>G$18*$D$50*$E$51</f>
        <v>0.27010435850214859</v>
      </c>
      <c r="H51" s="42">
        <f>H$18*$D$50*$E$51</f>
        <v>0.54020871700429718</v>
      </c>
      <c r="I51" s="42">
        <f>I$18*$D$50*$E$51</f>
        <v>1.0804174340085944</v>
      </c>
      <c r="J51" s="42">
        <f>J$18*$D$50*$E$51</f>
        <v>2.1608348680171887</v>
      </c>
      <c r="K51" s="42">
        <f>K$18*$D$50*$E$51</f>
        <v>4.3216697360343774</v>
      </c>
      <c r="L51" s="42">
        <f>L$18*$D$50*$E$51</f>
        <v>8.6433394720687549</v>
      </c>
      <c r="M51" s="42">
        <f>M$18*$D$50*$E$51</f>
        <v>17.28667894413751</v>
      </c>
      <c r="N51" s="42">
        <f>N$18*$D$50*$E$51</f>
        <v>34.573357888275019</v>
      </c>
      <c r="O51" s="42">
        <f>O$18*$D$50*$E$51</f>
        <v>69.146715776550039</v>
      </c>
      <c r="P51" s="42">
        <f>P$18*$D$50*$E$51</f>
        <v>138.29343155310008</v>
      </c>
      <c r="Q51" s="42">
        <f>Q$18*$D$50*$E$51</f>
        <v>276.58686310620016</v>
      </c>
      <c r="R51" s="42">
        <f>R$18*$D$50*$E$51</f>
        <v>553.17372621240031</v>
      </c>
      <c r="S51" s="42">
        <f>S$18*$D$50*$E$51</f>
        <v>1106.3474524248006</v>
      </c>
      <c r="T51" s="42">
        <f>T$18*$D$50*$E$51</f>
        <v>2212.6949048496012</v>
      </c>
      <c r="U51" s="42">
        <f>U$18*$D$50*$E$51</f>
        <v>4425.3898096992025</v>
      </c>
      <c r="V51" s="42">
        <f>V$18*$D$50*$E$51</f>
        <v>8850.779619398405</v>
      </c>
      <c r="W51" s="42">
        <f>W$18*$D$50*$E$51</f>
        <v>17701.55923879681</v>
      </c>
      <c r="X51" s="42">
        <f>X$18*$D$50*$E$51</f>
        <v>35403.11847759362</v>
      </c>
      <c r="Y51" s="42">
        <f>Y$18*$D$50*$E$51</f>
        <v>70806.23695518724</v>
      </c>
      <c r="Z51" s="42">
        <f>Z$18*$D$50*$E$51</f>
        <v>141612.47391037448</v>
      </c>
      <c r="AA51" s="83">
        <f>AA$18*$D$50*$E$51</f>
        <v>221563.36402701042</v>
      </c>
      <c r="AB51" s="57"/>
    </row>
    <row r="52" spans="1:28" x14ac:dyDescent="0.25">
      <c r="A52" s="53" t="s">
        <v>15</v>
      </c>
      <c r="B52" s="18">
        <f>'ABS Population by Age Range'!D85</f>
        <v>0.10301766910746854</v>
      </c>
      <c r="C52" s="22">
        <f t="shared" si="14"/>
        <v>2640754.9299008488</v>
      </c>
      <c r="D52" s="92">
        <f>'AU Infection Rate by Age'!C6</f>
        <v>0.1682013505217925</v>
      </c>
      <c r="E52" s="29"/>
      <c r="F52" s="22"/>
      <c r="G52" s="32">
        <f>G$18*$D$52</f>
        <v>5.2562922038060158</v>
      </c>
      <c r="H52" s="33">
        <f>H$18*$D$52</f>
        <v>10.512584407612032</v>
      </c>
      <c r="I52" s="33">
        <f>I$18*$D$52</f>
        <v>21.025168815224063</v>
      </c>
      <c r="J52" s="33">
        <f>J$18*$D$52</f>
        <v>42.050337630448126</v>
      </c>
      <c r="K52" s="33">
        <f>K$18*$D$52</f>
        <v>84.100675260896253</v>
      </c>
      <c r="L52" s="33">
        <f>L$18*$D$52</f>
        <v>168.20135052179251</v>
      </c>
      <c r="M52" s="33">
        <f>M$18*$D$52</f>
        <v>336.40270104358501</v>
      </c>
      <c r="N52" s="33">
        <f>N$18*$D$52</f>
        <v>672.80540208717002</v>
      </c>
      <c r="O52" s="33">
        <f>O$18*$D$52</f>
        <v>1345.61080417434</v>
      </c>
      <c r="P52" s="33">
        <f>P$18*$D$52</f>
        <v>2691.2216083486801</v>
      </c>
      <c r="Q52" s="33">
        <f>Q$18*$D$52</f>
        <v>5382.4432166973602</v>
      </c>
      <c r="R52" s="33">
        <f>R$18*$D$52</f>
        <v>10764.88643339472</v>
      </c>
      <c r="S52" s="33">
        <f>S$18*$D$52</f>
        <v>21529.772866789441</v>
      </c>
      <c r="T52" s="33">
        <f>T$18*$D$52</f>
        <v>43059.545733578881</v>
      </c>
      <c r="U52" s="33">
        <f>U$18*$D$52</f>
        <v>86119.091467157763</v>
      </c>
      <c r="V52" s="33">
        <f>V$18*$D$52</f>
        <v>172238.18293431553</v>
      </c>
      <c r="W52" s="33">
        <f>W$18*$D$52</f>
        <v>344476.36586863105</v>
      </c>
      <c r="X52" s="33">
        <f>X$18*$D$52</f>
        <v>688952.7317372621</v>
      </c>
      <c r="Y52" s="33">
        <f>Y$18*$D$52</f>
        <v>1377905.4634745242</v>
      </c>
      <c r="Z52" s="33">
        <f>Z$18*$D$52</f>
        <v>2755810.9269490484</v>
      </c>
      <c r="AA52" s="84">
        <f>AA$18*$D$52</f>
        <v>4311673.4192756293</v>
      </c>
      <c r="AB52" s="57"/>
    </row>
    <row r="53" spans="1:28" x14ac:dyDescent="0.25">
      <c r="A53" s="53"/>
      <c r="B53" s="18"/>
      <c r="C53" s="22"/>
      <c r="D53" s="20"/>
      <c r="E53" s="39">
        <v>3.5999999999999997E-2</v>
      </c>
      <c r="F53" s="22"/>
      <c r="G53" s="41">
        <f>G$18*$D$52*$E$53</f>
        <v>0.18922651933701656</v>
      </c>
      <c r="H53" s="42">
        <f>H$18*$D$52*$E$53</f>
        <v>0.37845303867403313</v>
      </c>
      <c r="I53" s="42">
        <f>I$18*$D$52*$E$53</f>
        <v>0.75690607734806625</v>
      </c>
      <c r="J53" s="42">
        <f>J$18*$D$52*$E$53</f>
        <v>1.5138121546961325</v>
      </c>
      <c r="K53" s="42">
        <f>K$18*$D$52*$E$53</f>
        <v>3.027624309392265</v>
      </c>
      <c r="L53" s="42">
        <f>L$18*$D$52*$E$53</f>
        <v>6.05524861878453</v>
      </c>
      <c r="M53" s="42">
        <f>M$18*$D$52*$E$53</f>
        <v>12.11049723756906</v>
      </c>
      <c r="N53" s="42">
        <f>N$18*$D$52*$E$53</f>
        <v>24.22099447513812</v>
      </c>
      <c r="O53" s="42">
        <f>O$18*$D$52*$E$53</f>
        <v>48.44198895027624</v>
      </c>
      <c r="P53" s="42">
        <f>P$18*$D$52*$E$53</f>
        <v>96.88397790055248</v>
      </c>
      <c r="Q53" s="42">
        <f>Q$18*$D$52*$E$53</f>
        <v>193.76795580110496</v>
      </c>
      <c r="R53" s="42">
        <f>R$18*$D$52*$E$53</f>
        <v>387.53591160220992</v>
      </c>
      <c r="S53" s="42">
        <f>S$18*$D$52*$E$53</f>
        <v>775.07182320441984</v>
      </c>
      <c r="T53" s="42">
        <f>T$18*$D$52*$E$53</f>
        <v>1550.1436464088397</v>
      </c>
      <c r="U53" s="42">
        <f>U$18*$D$52*$E$53</f>
        <v>3100.2872928176794</v>
      </c>
      <c r="V53" s="42">
        <f>V$18*$D$52*$E$53</f>
        <v>6200.5745856353587</v>
      </c>
      <c r="W53" s="42">
        <f>W$18*$D$52*$E$53</f>
        <v>12401.149171270717</v>
      </c>
      <c r="X53" s="42">
        <f>X$18*$D$52*$E$53</f>
        <v>24802.298342541435</v>
      </c>
      <c r="Y53" s="42">
        <f>Y$18*$D$52*$E$53</f>
        <v>49604.59668508287</v>
      </c>
      <c r="Z53" s="42">
        <f>Z$18*$D$52*$E$53</f>
        <v>99209.19337016574</v>
      </c>
      <c r="AA53" s="83">
        <f>AA$18*$D$52*$E$53</f>
        <v>155220.24309392265</v>
      </c>
      <c r="AB53" s="57"/>
    </row>
    <row r="54" spans="1:28" x14ac:dyDescent="0.25">
      <c r="A54" s="53" t="s">
        <v>16</v>
      </c>
      <c r="B54" s="18">
        <f>'ABS Population by Age Range'!D73</f>
        <v>0.12142789925761971</v>
      </c>
      <c r="C54" s="22">
        <f t="shared" si="14"/>
        <v>3112682.7695698235</v>
      </c>
      <c r="D54" s="92">
        <f>'AU Infection Rate by Age'!C7</f>
        <v>0.1555146306527522</v>
      </c>
      <c r="E54" s="29"/>
      <c r="F54" s="22"/>
      <c r="G54" s="32">
        <f>G$18*$D$54</f>
        <v>4.8598322078985063</v>
      </c>
      <c r="H54" s="33">
        <f>H$18*$D$54</f>
        <v>9.7196644157970127</v>
      </c>
      <c r="I54" s="33">
        <f>I$18*$D$54</f>
        <v>19.439328831594025</v>
      </c>
      <c r="J54" s="33">
        <f>J$18*$D$54</f>
        <v>38.878657663188051</v>
      </c>
      <c r="K54" s="33">
        <f>K$18*$D$54</f>
        <v>77.757315326376101</v>
      </c>
      <c r="L54" s="33">
        <f>L$18*$D$54</f>
        <v>155.5146306527522</v>
      </c>
      <c r="M54" s="33">
        <f>M$18*$D$54</f>
        <v>311.02926130550441</v>
      </c>
      <c r="N54" s="33">
        <f>N$18*$D$54</f>
        <v>622.05852261100881</v>
      </c>
      <c r="O54" s="33">
        <f>O$18*$D$54</f>
        <v>1244.1170452220176</v>
      </c>
      <c r="P54" s="33">
        <f>P$18*$D$54</f>
        <v>2488.2340904440352</v>
      </c>
      <c r="Q54" s="33">
        <f>Q$18*$D$54</f>
        <v>4976.4681808880705</v>
      </c>
      <c r="R54" s="33">
        <f>R$18*$D$54</f>
        <v>9952.936361776141</v>
      </c>
      <c r="S54" s="33">
        <f>S$18*$D$54</f>
        <v>19905.872723552282</v>
      </c>
      <c r="T54" s="33">
        <f>T$18*$D$54</f>
        <v>39811.745447104564</v>
      </c>
      <c r="U54" s="33">
        <f>U$18*$D$54</f>
        <v>79623.490894209128</v>
      </c>
      <c r="V54" s="33">
        <f>V$18*$D$54</f>
        <v>159246.98178841826</v>
      </c>
      <c r="W54" s="33">
        <f>W$18*$D$54</f>
        <v>318493.96357683651</v>
      </c>
      <c r="X54" s="33">
        <f>X$18*$D$54</f>
        <v>636987.92715367302</v>
      </c>
      <c r="Y54" s="33">
        <f>Y$18*$D$54</f>
        <v>1273975.854307346</v>
      </c>
      <c r="Z54" s="33">
        <f>Z$18*$D$54</f>
        <v>2547951.7086146921</v>
      </c>
      <c r="AA54" s="84">
        <f>AA$18*$D$54</f>
        <v>3986462.0421526497</v>
      </c>
      <c r="AB54" s="57"/>
    </row>
    <row r="55" spans="1:28" x14ac:dyDescent="0.25">
      <c r="A55" s="53"/>
      <c r="B55" s="18"/>
      <c r="C55" s="22"/>
      <c r="D55" s="20"/>
      <c r="E55" s="39">
        <v>1.2999999999999999E-2</v>
      </c>
      <c r="F55" s="22"/>
      <c r="G55" s="41">
        <f>G$18*$D$54*$E$55</f>
        <v>6.3177818702680577E-2</v>
      </c>
      <c r="H55" s="42">
        <f>H$18*$D$54*$E$55</f>
        <v>0.12635563740536115</v>
      </c>
      <c r="I55" s="42">
        <f>I$18*$D$54*$E$55</f>
        <v>0.25271127481072231</v>
      </c>
      <c r="J55" s="42">
        <f>J$18*$D$54*$E$55</f>
        <v>0.50542254962144462</v>
      </c>
      <c r="K55" s="42">
        <f>K$18*$D$54*$E$55</f>
        <v>1.0108450992428892</v>
      </c>
      <c r="L55" s="42">
        <f>L$18*$D$54*$E$55</f>
        <v>2.0216901984857785</v>
      </c>
      <c r="M55" s="42">
        <f>M$18*$D$54*$E$55</f>
        <v>4.0433803969715569</v>
      </c>
      <c r="N55" s="42">
        <f>N$18*$D$54*$E$55</f>
        <v>8.0867607939431139</v>
      </c>
      <c r="O55" s="42">
        <f>O$18*$D$54*$E$55</f>
        <v>16.173521587886228</v>
      </c>
      <c r="P55" s="42">
        <f>P$18*$D$54*$E$55</f>
        <v>32.347043175772455</v>
      </c>
      <c r="Q55" s="42">
        <f>Q$18*$D$54*$E$55</f>
        <v>64.694086351544911</v>
      </c>
      <c r="R55" s="42">
        <f>R$18*$D$54*$E$55</f>
        <v>129.38817270308982</v>
      </c>
      <c r="S55" s="42">
        <f>S$18*$D$54*$E$55</f>
        <v>258.77634540617964</v>
      </c>
      <c r="T55" s="42">
        <f>T$18*$D$54*$E$55</f>
        <v>517.55269081235929</v>
      </c>
      <c r="U55" s="42">
        <f>U$18*$D$54*$E$55</f>
        <v>1035.1053816247186</v>
      </c>
      <c r="V55" s="42">
        <f>V$18*$D$54*$E$55</f>
        <v>2070.2107632494372</v>
      </c>
      <c r="W55" s="42">
        <f>W$18*$D$54*$E$55</f>
        <v>4140.4215264988743</v>
      </c>
      <c r="X55" s="42">
        <f>X$18*$D$54*$E$55</f>
        <v>8280.8430529977486</v>
      </c>
      <c r="Y55" s="42">
        <f>Y$18*$D$54*$E$55</f>
        <v>16561.686105995497</v>
      </c>
      <c r="Z55" s="42">
        <f>Z$18*$D$54*$E$55</f>
        <v>33123.372211990994</v>
      </c>
      <c r="AA55" s="83">
        <f>AA$18*$D$54*$E$55</f>
        <v>51824.006547984442</v>
      </c>
      <c r="AB55" s="57"/>
    </row>
    <row r="56" spans="1:28" x14ac:dyDescent="0.25">
      <c r="A56" s="53" t="s">
        <v>17</v>
      </c>
      <c r="B56" s="18">
        <f>'ABS Population by Age Range'!D61</f>
        <v>0.12908272398046944</v>
      </c>
      <c r="C56" s="22">
        <f t="shared" si="14"/>
        <v>3308906.5465153535</v>
      </c>
      <c r="D56" s="92">
        <f>'AU Infection Rate by Age'!C8</f>
        <v>0.13075506445672191</v>
      </c>
      <c r="E56" s="29"/>
      <c r="F56" s="22"/>
      <c r="G56" s="32">
        <f>G$18*$D$56</f>
        <v>4.0860957642725602</v>
      </c>
      <c r="H56" s="33">
        <f>H$18*$D$56</f>
        <v>8.1721915285451203</v>
      </c>
      <c r="I56" s="33">
        <f>I$18*$D$56</f>
        <v>16.344383057090241</v>
      </c>
      <c r="J56" s="33">
        <f>J$18*$D$56</f>
        <v>32.688766114180481</v>
      </c>
      <c r="K56" s="33">
        <f>K$18*$D$56</f>
        <v>65.377532228360963</v>
      </c>
      <c r="L56" s="33">
        <f>L$18*$D$56</f>
        <v>130.75506445672193</v>
      </c>
      <c r="M56" s="33">
        <f>M$18*$D$56</f>
        <v>261.51012891344385</v>
      </c>
      <c r="N56" s="33">
        <f>N$18*$D$56</f>
        <v>523.0202578268877</v>
      </c>
      <c r="O56" s="33">
        <f>O$18*$D$56</f>
        <v>1046.0405156537754</v>
      </c>
      <c r="P56" s="33">
        <f>P$18*$D$56</f>
        <v>2092.0810313075508</v>
      </c>
      <c r="Q56" s="33">
        <f>Q$18*$D$56</f>
        <v>4184.1620626151016</v>
      </c>
      <c r="R56" s="33">
        <f>R$18*$D$56</f>
        <v>8368.3241252302032</v>
      </c>
      <c r="S56" s="33">
        <f>S$18*$D$56</f>
        <v>16736.648250460406</v>
      </c>
      <c r="T56" s="33">
        <f>T$18*$D$56</f>
        <v>33473.296500920813</v>
      </c>
      <c r="U56" s="33">
        <f>U$18*$D$56</f>
        <v>66946.593001841626</v>
      </c>
      <c r="V56" s="33">
        <f>V$18*$D$56</f>
        <v>133893.18600368325</v>
      </c>
      <c r="W56" s="33">
        <f>W$18*$D$56</f>
        <v>267786.3720073665</v>
      </c>
      <c r="X56" s="33">
        <f>X$18*$D$56</f>
        <v>535572.74401473301</v>
      </c>
      <c r="Y56" s="33">
        <f>Y$18*$D$56</f>
        <v>1071145.488029466</v>
      </c>
      <c r="Z56" s="33">
        <f>Z$18*$D$56</f>
        <v>2142290.976058932</v>
      </c>
      <c r="AA56" s="84">
        <f>AA$18*$D$56</f>
        <v>3351775.3222836098</v>
      </c>
      <c r="AB56" s="57"/>
    </row>
    <row r="57" spans="1:28" x14ac:dyDescent="0.25">
      <c r="A57" s="53"/>
      <c r="B57" s="18"/>
      <c r="C57" s="22"/>
      <c r="D57" s="20"/>
      <c r="E57" s="39">
        <v>4.0000000000000001E-3</v>
      </c>
      <c r="F57" s="22"/>
      <c r="G57" s="41">
        <f>G$18*$D$56*$E$57</f>
        <v>1.6344383057090239E-2</v>
      </c>
      <c r="H57" s="42">
        <f>H$18*$D$56*$E$57</f>
        <v>3.2688766114180479E-2</v>
      </c>
      <c r="I57" s="42">
        <f>I$18*$D$56*$E$57</f>
        <v>6.5377532228360957E-2</v>
      </c>
      <c r="J57" s="42">
        <f>J$18*$D$56*$E$57</f>
        <v>0.13075506445672191</v>
      </c>
      <c r="K57" s="42">
        <f>K$18*$D$56*$E$57</f>
        <v>0.26151012891344383</v>
      </c>
      <c r="L57" s="42">
        <f>L$18*$D$56*$E$57</f>
        <v>0.52302025782688766</v>
      </c>
      <c r="M57" s="42">
        <f>M$18*$D$56*$E$57</f>
        <v>1.0460405156537753</v>
      </c>
      <c r="N57" s="42">
        <f>N$18*$D$56*$E$57</f>
        <v>2.0920810313075506</v>
      </c>
      <c r="O57" s="42">
        <f>O$18*$D$56*$E$57</f>
        <v>4.1841620626151013</v>
      </c>
      <c r="P57" s="42">
        <f>P$18*$D$56*$E$57</f>
        <v>8.3683241252302025</v>
      </c>
      <c r="Q57" s="42">
        <f>Q$18*$D$56*$E$57</f>
        <v>16.736648250460405</v>
      </c>
      <c r="R57" s="42">
        <f>R$18*$D$56*$E$57</f>
        <v>33.47329650092081</v>
      </c>
      <c r="S57" s="42">
        <f>S$18*$D$56*$E$57</f>
        <v>66.94659300184162</v>
      </c>
      <c r="T57" s="42">
        <f>T$18*$D$56*$E$57</f>
        <v>133.89318600368324</v>
      </c>
      <c r="U57" s="42">
        <f>U$18*$D$56*$E$57</f>
        <v>267.78637200736648</v>
      </c>
      <c r="V57" s="42">
        <f>V$18*$D$56*$E$57</f>
        <v>535.57274401473296</v>
      </c>
      <c r="W57" s="42">
        <f>W$18*$D$56*$E$57</f>
        <v>1071.1454880294659</v>
      </c>
      <c r="X57" s="42">
        <f>X$18*$D$56*$E$57</f>
        <v>2142.2909760589318</v>
      </c>
      <c r="Y57" s="42">
        <f>Y$18*$D$56*$E$57</f>
        <v>4284.5819521178637</v>
      </c>
      <c r="Z57" s="42">
        <f>Z$18*$D$56*$E$57</f>
        <v>8569.1639042357274</v>
      </c>
      <c r="AA57" s="83">
        <f>AA$18*$D$56*$E$57</f>
        <v>13407.10128913444</v>
      </c>
      <c r="AB57" s="57"/>
    </row>
    <row r="58" spans="1:28" x14ac:dyDescent="0.25">
      <c r="A58" s="53" t="s">
        <v>18</v>
      </c>
      <c r="B58" s="18">
        <f>'ABS Population by Age Range'!D49</f>
        <v>0.14481341657950456</v>
      </c>
      <c r="C58" s="22">
        <f t="shared" si="14"/>
        <v>3712147.1205990198</v>
      </c>
      <c r="D58" s="92">
        <f>'AU Infection Rate by Age'!C9</f>
        <v>0.15571925516676899</v>
      </c>
      <c r="E58" s="29"/>
      <c r="F58" s="22"/>
      <c r="G58" s="32">
        <f>G$18*$D$58</f>
        <v>4.8662267239615309</v>
      </c>
      <c r="H58" s="33">
        <f>H$18*$D$58</f>
        <v>9.7324534479230618</v>
      </c>
      <c r="I58" s="33">
        <f>I$18*$D$58</f>
        <v>19.464906895846124</v>
      </c>
      <c r="J58" s="33">
        <f>J$18*$D$58</f>
        <v>38.929813791692247</v>
      </c>
      <c r="K58" s="33">
        <f>K$18*$D$58</f>
        <v>77.859627583384494</v>
      </c>
      <c r="L58" s="33">
        <f>L$18*$D$58</f>
        <v>155.71925516676899</v>
      </c>
      <c r="M58" s="33">
        <f>M$18*$D$58</f>
        <v>311.43851033353798</v>
      </c>
      <c r="N58" s="33">
        <f>N$18*$D$58</f>
        <v>622.87702066707595</v>
      </c>
      <c r="O58" s="33">
        <f>O$18*$D$58</f>
        <v>1245.7540413341519</v>
      </c>
      <c r="P58" s="33">
        <f>P$18*$D$58</f>
        <v>2491.5080826683038</v>
      </c>
      <c r="Q58" s="33">
        <f>Q$18*$D$58</f>
        <v>4983.0161653366076</v>
      </c>
      <c r="R58" s="33">
        <f>R$18*$D$58</f>
        <v>9966.0323306732153</v>
      </c>
      <c r="S58" s="33">
        <f>S$18*$D$58</f>
        <v>19932.064661346431</v>
      </c>
      <c r="T58" s="33">
        <f>T$18*$D$58</f>
        <v>39864.129322692861</v>
      </c>
      <c r="U58" s="33">
        <f>U$18*$D$58</f>
        <v>79728.258645385722</v>
      </c>
      <c r="V58" s="33">
        <f>V$18*$D$58</f>
        <v>159456.51729077144</v>
      </c>
      <c r="W58" s="33">
        <f>W$18*$D$58</f>
        <v>318913.03458154289</v>
      </c>
      <c r="X58" s="33">
        <f>X$18*$D$58</f>
        <v>637826.06916308578</v>
      </c>
      <c r="Y58" s="33">
        <f>Y$18*$D$58</f>
        <v>1275652.1383261716</v>
      </c>
      <c r="Z58" s="33">
        <f>Z$18*$D$58</f>
        <v>2551304.2766523431</v>
      </c>
      <c r="AA58" s="84">
        <f>AA$18*$D$58</f>
        <v>3991707.3869449561</v>
      </c>
      <c r="AB58" s="57"/>
    </row>
    <row r="59" spans="1:28" x14ac:dyDescent="0.25">
      <c r="A59" s="53"/>
      <c r="B59" s="18"/>
      <c r="C59" s="22"/>
      <c r="D59" s="20"/>
      <c r="E59" s="39">
        <v>2E-3</v>
      </c>
      <c r="F59" s="22"/>
      <c r="G59" s="41">
        <f>G$18*$D$58*$E$59</f>
        <v>9.7324534479230618E-3</v>
      </c>
      <c r="H59" s="42">
        <f>H$18*$D$58*$E$59</f>
        <v>1.9464906895846124E-2</v>
      </c>
      <c r="I59" s="42">
        <f>I$18*$D$58*$E$59</f>
        <v>3.8929813791692247E-2</v>
      </c>
      <c r="J59" s="42">
        <f>J$18*$D$58*$E$59</f>
        <v>7.7859627583384494E-2</v>
      </c>
      <c r="K59" s="42">
        <f>K$18*$D$58*$E$59</f>
        <v>0.15571925516676899</v>
      </c>
      <c r="L59" s="42">
        <f>L$18*$D$58*$E$59</f>
        <v>0.31143851033353798</v>
      </c>
      <c r="M59" s="42">
        <f>M$18*$D$58*$E$59</f>
        <v>0.62287702066707595</v>
      </c>
      <c r="N59" s="42">
        <f>N$18*$D$58*$E$59</f>
        <v>1.2457540413341519</v>
      </c>
      <c r="O59" s="42">
        <f>O$18*$D$58*$E$59</f>
        <v>2.4915080826683038</v>
      </c>
      <c r="P59" s="42">
        <f>P$18*$D$58*$E$59</f>
        <v>4.9830161653366076</v>
      </c>
      <c r="Q59" s="42">
        <f>Q$18*$D$58*$E$59</f>
        <v>9.9660323306732153</v>
      </c>
      <c r="R59" s="42">
        <f>R$18*$D$58*$E$59</f>
        <v>19.932064661346431</v>
      </c>
      <c r="S59" s="42">
        <f>S$18*$D$58*$E$59</f>
        <v>39.864129322692861</v>
      </c>
      <c r="T59" s="42">
        <f>T$18*$D$58*$E$59</f>
        <v>79.728258645385722</v>
      </c>
      <c r="U59" s="42">
        <f>U$18*$D$58*$E$59</f>
        <v>159.45651729077144</v>
      </c>
      <c r="V59" s="42">
        <f>V$18*$D$58*$E$59</f>
        <v>318.91303458154289</v>
      </c>
      <c r="W59" s="42">
        <f>W$18*$D$58*$E$59</f>
        <v>637.82606916308578</v>
      </c>
      <c r="X59" s="42">
        <f>X$18*$D$58*$E$59</f>
        <v>1275.6521383261716</v>
      </c>
      <c r="Y59" s="42">
        <f>Y$18*$D$58*$E$59</f>
        <v>2551.3042766523431</v>
      </c>
      <c r="Z59" s="42">
        <f>Z$18*$D$58*$E$59</f>
        <v>5102.6085533046862</v>
      </c>
      <c r="AA59" s="83">
        <f>AA$18*$D$58*$E$59</f>
        <v>7983.4147738899128</v>
      </c>
      <c r="AB59" s="57"/>
    </row>
    <row r="60" spans="1:28" x14ac:dyDescent="0.25">
      <c r="A60" s="53" t="s">
        <v>19</v>
      </c>
      <c r="B60" s="18">
        <f>'ABS Population by Age Range'!D37</f>
        <v>0.14458334093878666</v>
      </c>
      <c r="C60" s="22">
        <f t="shared" si="14"/>
        <v>3706249.3616248574</v>
      </c>
      <c r="D60" s="92">
        <f>'AU Infection Rate by Age'!C10</f>
        <v>0.21792510742786986</v>
      </c>
      <c r="E60" s="29"/>
      <c r="F60" s="22"/>
      <c r="G60" s="32">
        <f>G$18*$D$60</f>
        <v>6.8101596071209327</v>
      </c>
      <c r="H60" s="33">
        <f>H$18*$D$60</f>
        <v>13.620319214241865</v>
      </c>
      <c r="I60" s="33">
        <f>I$18*$D$60</f>
        <v>27.240638428483731</v>
      </c>
      <c r="J60" s="33">
        <f>J$18*$D$60</f>
        <v>54.481276856967462</v>
      </c>
      <c r="K60" s="33">
        <f>K$18*$D$60</f>
        <v>108.96255371393492</v>
      </c>
      <c r="L60" s="33">
        <f>L$18*$D$60</f>
        <v>217.92510742786985</v>
      </c>
      <c r="M60" s="33">
        <f>M$18*$D$60</f>
        <v>435.85021485573969</v>
      </c>
      <c r="N60" s="33">
        <f>N$18*$D$60</f>
        <v>871.70042971147939</v>
      </c>
      <c r="O60" s="33">
        <f>O$18*$D$60</f>
        <v>1743.4008594229588</v>
      </c>
      <c r="P60" s="33">
        <f>P$18*$D$60</f>
        <v>3486.8017188459175</v>
      </c>
      <c r="Q60" s="33">
        <f>Q$18*$D$60</f>
        <v>6973.6034376918351</v>
      </c>
      <c r="R60" s="33">
        <f>R$18*$D$60</f>
        <v>13947.20687538367</v>
      </c>
      <c r="S60" s="33">
        <f>S$18*$D$60</f>
        <v>27894.41375076734</v>
      </c>
      <c r="T60" s="33">
        <f>T$18*$D$60</f>
        <v>55788.827501534681</v>
      </c>
      <c r="U60" s="33">
        <f>U$18*$D$60</f>
        <v>111577.65500306936</v>
      </c>
      <c r="V60" s="33">
        <f>V$18*$D$60</f>
        <v>223155.31000613872</v>
      </c>
      <c r="W60" s="33">
        <f>W$18*$D$60</f>
        <v>446310.62001227745</v>
      </c>
      <c r="X60" s="33">
        <f>X$18*$D$60</f>
        <v>892621.24002455489</v>
      </c>
      <c r="Y60" s="33">
        <f>Y$18*$D$60</f>
        <v>1785242.4800491098</v>
      </c>
      <c r="Z60" s="33">
        <f>Z$18*$D$60</f>
        <v>3570484.9600982196</v>
      </c>
      <c r="AA60" s="84">
        <f>AA$18*$D$60</f>
        <v>5586292.2038060157</v>
      </c>
      <c r="AB60" s="57"/>
    </row>
    <row r="61" spans="1:28" x14ac:dyDescent="0.25">
      <c r="A61" s="53"/>
      <c r="B61" s="18"/>
      <c r="C61" s="22"/>
      <c r="D61" s="20"/>
      <c r="E61" s="39">
        <v>2E-3</v>
      </c>
      <c r="F61" s="22"/>
      <c r="G61" s="41">
        <f>G$18*$D$60*$E$61</f>
        <v>1.3620319214241866E-2</v>
      </c>
      <c r="H61" s="42">
        <f>H$18*$D$60*$E$61</f>
        <v>2.7240638428483732E-2</v>
      </c>
      <c r="I61" s="42">
        <f>I$18*$D$60*$E$61</f>
        <v>5.4481276856967464E-2</v>
      </c>
      <c r="J61" s="42">
        <f>J$18*$D$60*$E$61</f>
        <v>0.10896255371393493</v>
      </c>
      <c r="K61" s="42">
        <f>K$18*$D$60*$E$61</f>
        <v>0.21792510742786986</v>
      </c>
      <c r="L61" s="42">
        <f>L$18*$D$60*$E$61</f>
        <v>0.43585021485573971</v>
      </c>
      <c r="M61" s="42">
        <f>M$18*$D$60*$E$61</f>
        <v>0.87170042971147943</v>
      </c>
      <c r="N61" s="42">
        <f>N$18*$D$60*$E$61</f>
        <v>1.7434008594229589</v>
      </c>
      <c r="O61" s="42">
        <f>O$18*$D$60*$E$61</f>
        <v>3.4868017188459177</v>
      </c>
      <c r="P61" s="42">
        <f>P$18*$D$60*$E$61</f>
        <v>6.9736034376918354</v>
      </c>
      <c r="Q61" s="42">
        <f>Q$18*$D$60*$E$61</f>
        <v>13.947206875383671</v>
      </c>
      <c r="R61" s="42">
        <f>R$18*$D$60*$E$61</f>
        <v>27.894413750767342</v>
      </c>
      <c r="S61" s="42">
        <f>S$18*$D$60*$E$61</f>
        <v>55.788827501534684</v>
      </c>
      <c r="T61" s="42">
        <f>T$18*$D$60*$E$61</f>
        <v>111.57765500306937</v>
      </c>
      <c r="U61" s="42">
        <f>U$18*$D$60*$E$61</f>
        <v>223.15531000613873</v>
      </c>
      <c r="V61" s="42">
        <f>V$18*$D$60*$E$61</f>
        <v>446.31062001227747</v>
      </c>
      <c r="W61" s="42">
        <f>W$18*$D$60*$E$61</f>
        <v>892.62124002455494</v>
      </c>
      <c r="X61" s="42">
        <f>X$18*$D$60*$E$61</f>
        <v>1785.2424800491099</v>
      </c>
      <c r="Y61" s="42">
        <f>Y$18*$D$60*$E$61</f>
        <v>3570.4849600982197</v>
      </c>
      <c r="Z61" s="42">
        <f>Z$18*$D$60*$E$61</f>
        <v>7140.9699201964395</v>
      </c>
      <c r="AA61" s="83">
        <f>AA$18*$D$60*$E$61</f>
        <v>11172.584407612032</v>
      </c>
      <c r="AB61" s="57"/>
    </row>
    <row r="62" spans="1:28" x14ac:dyDescent="0.25">
      <c r="A62" s="54" t="s">
        <v>20</v>
      </c>
      <c r="B62" s="18">
        <f>'ABS Population by Age Range'!D25</f>
        <v>0.12056476079328157</v>
      </c>
      <c r="C62" s="22">
        <f t="shared" si="14"/>
        <v>3090557.0781749799</v>
      </c>
      <c r="D62" s="35">
        <f>'AU Infection Rate by Age'!C11</f>
        <v>2.7624309392265192E-2</v>
      </c>
      <c r="E62" s="29"/>
      <c r="F62" s="22"/>
      <c r="G62" s="32">
        <f>G$18*$D$62</f>
        <v>0.86325966850828728</v>
      </c>
      <c r="H62" s="33">
        <f>H$18*$D$62</f>
        <v>1.7265193370165746</v>
      </c>
      <c r="I62" s="33">
        <f>I$18*$D$62</f>
        <v>3.4530386740331491</v>
      </c>
      <c r="J62" s="33">
        <f>J$18*$D$62</f>
        <v>6.9060773480662982</v>
      </c>
      <c r="K62" s="33">
        <f>K$18*$D$62</f>
        <v>13.812154696132596</v>
      </c>
      <c r="L62" s="33">
        <f>L$18*$D$62</f>
        <v>27.624309392265193</v>
      </c>
      <c r="M62" s="33">
        <f>M$18*$D$62</f>
        <v>55.248618784530386</v>
      </c>
      <c r="N62" s="33">
        <f>N$18*$D$62</f>
        <v>110.49723756906077</v>
      </c>
      <c r="O62" s="33">
        <f>O$18*$D$62</f>
        <v>220.99447513812154</v>
      </c>
      <c r="P62" s="33">
        <f>P$18*$D$62</f>
        <v>441.98895027624309</v>
      </c>
      <c r="Q62" s="33">
        <f>Q$18*$D$62</f>
        <v>883.97790055248618</v>
      </c>
      <c r="R62" s="33">
        <f>R$18*$D$62</f>
        <v>1767.9558011049724</v>
      </c>
      <c r="S62" s="33">
        <f>S$18*$D$62</f>
        <v>3535.9116022099447</v>
      </c>
      <c r="T62" s="33">
        <f>T$18*$D$62</f>
        <v>7071.8232044198894</v>
      </c>
      <c r="U62" s="33">
        <f>U$18*$D$62</f>
        <v>14143.646408839779</v>
      </c>
      <c r="V62" s="33">
        <f>V$18*$D$62</f>
        <v>28287.292817679558</v>
      </c>
      <c r="W62" s="33">
        <f>W$18*$D$62</f>
        <v>56574.585635359115</v>
      </c>
      <c r="X62" s="33">
        <f>X$18*$D$62</f>
        <v>113149.17127071823</v>
      </c>
      <c r="Y62" s="33">
        <f>Y$18*$D$62</f>
        <v>226298.34254143646</v>
      </c>
      <c r="Z62" s="33">
        <f>Z$18*$D$62</f>
        <v>452596.68508287292</v>
      </c>
      <c r="AA62" s="84">
        <f>AA$18*$D$62</f>
        <v>708121.54696132592</v>
      </c>
      <c r="AB62" s="57"/>
    </row>
    <row r="63" spans="1:28" x14ac:dyDescent="0.25">
      <c r="A63" s="54"/>
      <c r="B63" s="18"/>
      <c r="C63" s="22"/>
      <c r="D63" s="20"/>
      <c r="E63" s="39">
        <v>2E-3</v>
      </c>
      <c r="F63" s="22"/>
      <c r="G63" s="41">
        <f>G$18*$D$62*$E$63</f>
        <v>1.7265193370165745E-3</v>
      </c>
      <c r="H63" s="42">
        <f>H$18*$D$62*$E$63</f>
        <v>3.453038674033149E-3</v>
      </c>
      <c r="I63" s="42">
        <f>I$18*$D$62*$E$63</f>
        <v>6.9060773480662981E-3</v>
      </c>
      <c r="J63" s="42">
        <f>J$18*$D$62*$E$63</f>
        <v>1.3812154696132596E-2</v>
      </c>
      <c r="K63" s="42">
        <f>K$18*$D$62*$E$63</f>
        <v>2.7624309392265192E-2</v>
      </c>
      <c r="L63" s="42">
        <f>L$18*$D$62*$E$63</f>
        <v>5.5248618784530384E-2</v>
      </c>
      <c r="M63" s="42">
        <f>M$18*$D$62*$E$63</f>
        <v>0.11049723756906077</v>
      </c>
      <c r="N63" s="42">
        <f>N$18*$D$62*$E$63</f>
        <v>0.22099447513812154</v>
      </c>
      <c r="O63" s="42">
        <f>O$18*$D$62*$E$63</f>
        <v>0.44198895027624308</v>
      </c>
      <c r="P63" s="42">
        <f>P$18*$D$62*$E$63</f>
        <v>0.88397790055248615</v>
      </c>
      <c r="Q63" s="42">
        <f>Q$18*$D$62*$E$63</f>
        <v>1.7679558011049723</v>
      </c>
      <c r="R63" s="42">
        <f>R$18*$D$62*$E$63</f>
        <v>3.5359116022099446</v>
      </c>
      <c r="S63" s="42">
        <f>S$18*$D$62*$E$63</f>
        <v>7.0718232044198892</v>
      </c>
      <c r="T63" s="42">
        <f>T$18*$D$62*$E$63</f>
        <v>14.143646408839778</v>
      </c>
      <c r="U63" s="42">
        <f>U$18*$D$62*$E$63</f>
        <v>28.287292817679557</v>
      </c>
      <c r="V63" s="42">
        <f>V$18*$D$62*$E$63</f>
        <v>56.574585635359114</v>
      </c>
      <c r="W63" s="42">
        <f>W$18*$D$62*$E$63</f>
        <v>113.14917127071823</v>
      </c>
      <c r="X63" s="42">
        <f>X$18*$D$62*$E$63</f>
        <v>226.29834254143645</v>
      </c>
      <c r="Y63" s="42">
        <f>Y$18*$D$62*$E$63</f>
        <v>452.59668508287291</v>
      </c>
      <c r="Z63" s="42">
        <f>Z$18*$D$62*$E$63</f>
        <v>905.19337016574582</v>
      </c>
      <c r="AA63" s="83">
        <f>AA$18*$D$62*$E$63</f>
        <v>1416.243093922652</v>
      </c>
      <c r="AB63" s="57"/>
    </row>
    <row r="64" spans="1:28" x14ac:dyDescent="0.25">
      <c r="A64" s="54" t="s">
        <v>21</v>
      </c>
      <c r="B64" s="18">
        <f>'ABS Population by Age Range'!D13</f>
        <v>0.1255958322404806</v>
      </c>
      <c r="C64" s="22">
        <f t="shared" si="14"/>
        <v>3219523.5636524796</v>
      </c>
      <c r="D64" s="35">
        <f>'AU Infection Rate by Age'!C12</f>
        <v>8.7988541027215067E-3</v>
      </c>
      <c r="E64" s="29"/>
      <c r="F64" s="22"/>
      <c r="G64" s="32">
        <f>G$18*$D$64</f>
        <v>0.27496419071004707</v>
      </c>
      <c r="H64" s="33">
        <f>H$18*$D$64</f>
        <v>0.54992838142009415</v>
      </c>
      <c r="I64" s="33">
        <f>I$18*$D$64</f>
        <v>1.0998567628401883</v>
      </c>
      <c r="J64" s="33">
        <f>J$18*$D$64</f>
        <v>2.1997135256803766</v>
      </c>
      <c r="K64" s="33">
        <f>K$18*$D$64</f>
        <v>4.3994270513607532</v>
      </c>
      <c r="L64" s="33">
        <f>L$18*$D$64</f>
        <v>8.7988541027215064</v>
      </c>
      <c r="M64" s="33">
        <f>M$18*$D$64</f>
        <v>17.597708205443013</v>
      </c>
      <c r="N64" s="33">
        <f>N$18*$D$64</f>
        <v>35.195416410886025</v>
      </c>
      <c r="O64" s="33">
        <f>O$18*$D$64</f>
        <v>70.390832821772051</v>
      </c>
      <c r="P64" s="33">
        <f>P$18*$D$64</f>
        <v>140.7816656435441</v>
      </c>
      <c r="Q64" s="33">
        <f>Q$18*$D$64</f>
        <v>281.5633312870882</v>
      </c>
      <c r="R64" s="33">
        <f>R$18*$D$64</f>
        <v>563.12666257417641</v>
      </c>
      <c r="S64" s="33">
        <f>S$18*$D$64</f>
        <v>1126.2533251483528</v>
      </c>
      <c r="T64" s="33">
        <f>T$18*$D$64</f>
        <v>2252.5066502967056</v>
      </c>
      <c r="U64" s="33">
        <f>U$18*$D$64</f>
        <v>4505.0133005934113</v>
      </c>
      <c r="V64" s="33">
        <f>V$18*$D$64</f>
        <v>9010.0266011868225</v>
      </c>
      <c r="W64" s="33">
        <f>W$18*$D$64</f>
        <v>18020.053202373645</v>
      </c>
      <c r="X64" s="33">
        <f>X$18*$D$64</f>
        <v>36040.10640474729</v>
      </c>
      <c r="Y64" s="33">
        <f>Y$18*$D$64</f>
        <v>72080.21280949458</v>
      </c>
      <c r="Z64" s="33">
        <f>Z$18*$D$64</f>
        <v>144160.42561898916</v>
      </c>
      <c r="AA64" s="84">
        <f>AA$18*$D$64</f>
        <v>225549.8260691631</v>
      </c>
      <c r="AB64" s="57"/>
    </row>
    <row r="65" spans="1:28" x14ac:dyDescent="0.25">
      <c r="A65" s="54"/>
      <c r="B65" s="19"/>
      <c r="C65" s="23"/>
      <c r="D65" s="38"/>
      <c r="E65" s="40">
        <v>0</v>
      </c>
      <c r="F65" s="22"/>
      <c r="G65" s="43">
        <f>G$18*$D$64*$E$65</f>
        <v>0</v>
      </c>
      <c r="H65" s="44">
        <f>H$18*$D$64*$E$65</f>
        <v>0</v>
      </c>
      <c r="I65" s="44">
        <f>I$18*$D$64*$E$65</f>
        <v>0</v>
      </c>
      <c r="J65" s="44">
        <f>J$18*$D$64*$E$65</f>
        <v>0</v>
      </c>
      <c r="K65" s="44">
        <f>K$18*$D$64*$E$65</f>
        <v>0</v>
      </c>
      <c r="L65" s="44">
        <f>L$18*$D$64*$E$65</f>
        <v>0</v>
      </c>
      <c r="M65" s="44">
        <f>M$18*$D$64*$E$65</f>
        <v>0</v>
      </c>
      <c r="N65" s="44">
        <f>N$18*$D$64*$E$65</f>
        <v>0</v>
      </c>
      <c r="O65" s="44">
        <f>O$18*$D$64*$E$65</f>
        <v>0</v>
      </c>
      <c r="P65" s="44">
        <f>P$18*$D$64*$E$65</f>
        <v>0</v>
      </c>
      <c r="Q65" s="44">
        <f>Q$18*$D$64*$E$65</f>
        <v>0</v>
      </c>
      <c r="R65" s="44">
        <f>R$18*$D$64*$E$65</f>
        <v>0</v>
      </c>
      <c r="S65" s="44">
        <f>S$18*$D$64*$E$65</f>
        <v>0</v>
      </c>
      <c r="T65" s="44">
        <f>T$18*$D$64*$E$65</f>
        <v>0</v>
      </c>
      <c r="U65" s="44">
        <f>U$18*$D$64*$E$65</f>
        <v>0</v>
      </c>
      <c r="V65" s="44">
        <f>V$18*$D$64*$E$65</f>
        <v>0</v>
      </c>
      <c r="W65" s="44">
        <f>W$18*$D$64*$E$65</f>
        <v>0</v>
      </c>
      <c r="X65" s="44">
        <f>X$18*$D$64*$E$65</f>
        <v>0</v>
      </c>
      <c r="Y65" s="44">
        <f>Y$18*$D$64*$E$65</f>
        <v>0</v>
      </c>
      <c r="Z65" s="44">
        <f>Z$18*$D$64*$E$65</f>
        <v>0</v>
      </c>
      <c r="AA65" s="85">
        <f>AA$18*$D$64*$E$65</f>
        <v>0</v>
      </c>
      <c r="AB65" s="57"/>
    </row>
    <row r="66" spans="1:28" x14ac:dyDescent="0.25">
      <c r="A66" s="53" t="s">
        <v>131</v>
      </c>
      <c r="B66" s="26"/>
      <c r="C66" s="22"/>
      <c r="D66" s="22"/>
      <c r="E66" s="27"/>
      <c r="F66" s="22"/>
      <c r="G66" s="30">
        <f t="shared" ref="G66:W66" si="15">SUM(G48,G50,G52,G54,G56,G58,G60,G62,G64)</f>
        <v>31.250000000000004</v>
      </c>
      <c r="H66" s="31">
        <f t="shared" si="15"/>
        <v>62.500000000000007</v>
      </c>
      <c r="I66" s="31">
        <f t="shared" si="15"/>
        <v>125.00000000000001</v>
      </c>
      <c r="J66" s="31">
        <f t="shared" si="15"/>
        <v>250.00000000000003</v>
      </c>
      <c r="K66" s="31">
        <f t="shared" si="15"/>
        <v>500.00000000000006</v>
      </c>
      <c r="L66" s="31">
        <f>SUM(L48,L50,L52,L54,L56,L58,L60,L62,L64)</f>
        <v>1000.0000000000001</v>
      </c>
      <c r="M66" s="31">
        <f t="shared" si="15"/>
        <v>2000.0000000000002</v>
      </c>
      <c r="N66" s="31">
        <f t="shared" si="15"/>
        <v>4000.0000000000005</v>
      </c>
      <c r="O66" s="31">
        <f t="shared" si="15"/>
        <v>8000.0000000000009</v>
      </c>
      <c r="P66" s="31">
        <f t="shared" si="15"/>
        <v>16000.000000000002</v>
      </c>
      <c r="Q66" s="31">
        <f t="shared" si="15"/>
        <v>32000.000000000004</v>
      </c>
      <c r="R66" s="31">
        <f t="shared" si="15"/>
        <v>64000.000000000007</v>
      </c>
      <c r="S66" s="31">
        <f t="shared" si="15"/>
        <v>128000.00000000001</v>
      </c>
      <c r="T66" s="31">
        <f t="shared" si="15"/>
        <v>256000.00000000003</v>
      </c>
      <c r="U66" s="31">
        <f t="shared" si="15"/>
        <v>512000.00000000006</v>
      </c>
      <c r="V66" s="31">
        <f t="shared" si="15"/>
        <v>1024000.0000000001</v>
      </c>
      <c r="W66" s="31">
        <f t="shared" si="15"/>
        <v>2048000.0000000002</v>
      </c>
      <c r="X66" s="31">
        <f t="shared" ref="X66:AA67" si="16">SUM(X48,X50,X52,X54,X56,X58,X60,X62,X64)</f>
        <v>4096000.0000000005</v>
      </c>
      <c r="Y66" s="31">
        <f t="shared" si="16"/>
        <v>8192000.0000000009</v>
      </c>
      <c r="Z66" s="31">
        <f t="shared" si="16"/>
        <v>16384000.000000002</v>
      </c>
      <c r="AA66" s="72">
        <f t="shared" si="16"/>
        <v>25634000</v>
      </c>
      <c r="AB66" s="57"/>
    </row>
    <row r="67" spans="1:28" x14ac:dyDescent="0.25">
      <c r="A67" s="55" t="s">
        <v>130</v>
      </c>
      <c r="B67" s="56"/>
      <c r="C67" s="23"/>
      <c r="D67" s="23"/>
      <c r="E67" s="50"/>
      <c r="F67" s="23"/>
      <c r="G67" s="43">
        <f>SUM(G49,G51,G53,G55,G57,G59,G61,G63,G65)</f>
        <v>0.69074841416001642</v>
      </c>
      <c r="H67" s="44">
        <f>SUM(H49,H51,H53,H55,H57,H59,H61,H63,H65)</f>
        <v>1.3814968283200328</v>
      </c>
      <c r="I67" s="44">
        <f t="shared" ref="I67:W67" si="17">SUM(I49,I51,I53,I55,I57,I59,I61,I63,I65)</f>
        <v>2.7629936566400657</v>
      </c>
      <c r="J67" s="44">
        <f t="shared" si="17"/>
        <v>5.5259873132801314</v>
      </c>
      <c r="K67" s="44">
        <f t="shared" si="17"/>
        <v>11.051974626560263</v>
      </c>
      <c r="L67" s="44">
        <f t="shared" si="17"/>
        <v>22.103949253120525</v>
      </c>
      <c r="M67" s="44">
        <f t="shared" si="17"/>
        <v>44.207898506241051</v>
      </c>
      <c r="N67" s="44">
        <f t="shared" si="17"/>
        <v>88.415797012482102</v>
      </c>
      <c r="O67" s="44">
        <f t="shared" si="17"/>
        <v>176.8315940249642</v>
      </c>
      <c r="P67" s="44">
        <f t="shared" si="17"/>
        <v>353.66318804992841</v>
      </c>
      <c r="Q67" s="44">
        <f t="shared" si="17"/>
        <v>707.32637609985682</v>
      </c>
      <c r="R67" s="44">
        <f t="shared" si="17"/>
        <v>1414.6527521997136</v>
      </c>
      <c r="S67" s="44">
        <f t="shared" si="17"/>
        <v>2829.3055043994273</v>
      </c>
      <c r="T67" s="44">
        <f t="shared" si="17"/>
        <v>5658.6110087988545</v>
      </c>
      <c r="U67" s="44">
        <f t="shared" si="17"/>
        <v>11317.222017597709</v>
      </c>
      <c r="V67" s="44">
        <f t="shared" si="17"/>
        <v>22634.444035195418</v>
      </c>
      <c r="W67" s="44">
        <f t="shared" si="17"/>
        <v>45268.888070390836</v>
      </c>
      <c r="X67" s="44">
        <f t="shared" si="16"/>
        <v>90537.776140781672</v>
      </c>
      <c r="Y67" s="44">
        <f t="shared" si="16"/>
        <v>181075.55228156334</v>
      </c>
      <c r="Z67" s="44">
        <f t="shared" si="16"/>
        <v>362151.10456312669</v>
      </c>
      <c r="AA67" s="85">
        <f t="shared" si="16"/>
        <v>566612.63515449141</v>
      </c>
      <c r="AB67" s="57"/>
    </row>
    <row r="68" spans="1:28" x14ac:dyDescent="0.25">
      <c r="A68" s="54"/>
      <c r="B68" s="26"/>
      <c r="C68" s="22"/>
      <c r="D68" s="22"/>
      <c r="E68" s="27"/>
      <c r="F68" s="22"/>
      <c r="G68" s="57"/>
      <c r="H68" s="57"/>
      <c r="I68" s="57"/>
      <c r="J68" s="57"/>
      <c r="K68" s="57"/>
      <c r="L68" s="57"/>
      <c r="M68" s="57"/>
      <c r="N68" s="57"/>
      <c r="O68" s="57"/>
      <c r="P68" s="57"/>
      <c r="Q68" s="57"/>
      <c r="R68" s="57"/>
      <c r="S68" s="57"/>
      <c r="T68" s="57"/>
      <c r="U68" s="57"/>
      <c r="V68" s="57"/>
      <c r="W68" s="57"/>
      <c r="X68" s="57"/>
    </row>
    <row r="69" spans="1:28" x14ac:dyDescent="0.25">
      <c r="A69" s="66" t="s">
        <v>143</v>
      </c>
      <c r="B69" s="26"/>
      <c r="C69" s="22"/>
      <c r="D69" s="22"/>
      <c r="E69" s="27"/>
      <c r="F69" s="22"/>
      <c r="G69" s="57"/>
      <c r="H69" s="57"/>
      <c r="I69" s="57"/>
      <c r="J69" s="57"/>
      <c r="K69" s="57"/>
      <c r="L69" s="57"/>
      <c r="M69" s="57"/>
      <c r="N69" s="57"/>
      <c r="O69" s="57"/>
      <c r="P69" s="57"/>
      <c r="Q69" s="57"/>
      <c r="R69" s="57"/>
      <c r="S69" s="57"/>
      <c r="T69" s="57"/>
      <c r="U69" s="57"/>
      <c r="V69" s="57"/>
      <c r="W69" s="57"/>
      <c r="X69" s="57"/>
    </row>
    <row r="70" spans="1:28" x14ac:dyDescent="0.25">
      <c r="A70" s="16"/>
      <c r="B70" s="21" t="s">
        <v>6</v>
      </c>
      <c r="C70" s="21" t="s">
        <v>4</v>
      </c>
      <c r="D70" s="21"/>
      <c r="E70" s="71" t="s">
        <v>3</v>
      </c>
      <c r="F70" s="21"/>
      <c r="G70" s="21"/>
      <c r="H70" s="21"/>
      <c r="I70" s="21"/>
      <c r="J70" s="21"/>
      <c r="K70" s="21"/>
      <c r="L70" s="21"/>
      <c r="M70" s="21"/>
      <c r="N70" s="21"/>
      <c r="O70" s="21"/>
      <c r="P70" s="21"/>
      <c r="Q70" s="21"/>
      <c r="R70" s="21"/>
      <c r="S70" s="21"/>
      <c r="T70" s="21"/>
      <c r="U70" s="21"/>
      <c r="V70" s="21"/>
      <c r="W70" s="21"/>
      <c r="X70" s="21"/>
      <c r="Y70" s="21"/>
      <c r="Z70" s="21"/>
      <c r="AA70" s="17"/>
      <c r="AB70" s="59"/>
    </row>
    <row r="71" spans="1:28" x14ac:dyDescent="0.25">
      <c r="A71" s="53" t="s">
        <v>2</v>
      </c>
      <c r="B71" s="36">
        <v>0.05</v>
      </c>
      <c r="C71" s="22">
        <f>$B$5 * B71</f>
        <v>1281700</v>
      </c>
      <c r="D71" s="28"/>
      <c r="E71" s="28"/>
      <c r="F71" s="28"/>
      <c r="G71" s="30">
        <f>G$18*$B$71</f>
        <v>1.5625</v>
      </c>
      <c r="H71" s="31">
        <f>H$18*$B$71</f>
        <v>3.125</v>
      </c>
      <c r="I71" s="31">
        <f>I$18*$B$71</f>
        <v>6.25</v>
      </c>
      <c r="J71" s="31">
        <f>J$18*$B$71</f>
        <v>12.5</v>
      </c>
      <c r="K71" s="31">
        <f>K$18*$B$71</f>
        <v>25</v>
      </c>
      <c r="L71" s="31">
        <f>L$18*$B$71</f>
        <v>50</v>
      </c>
      <c r="M71" s="31">
        <f>M$18*$B$71</f>
        <v>100</v>
      </c>
      <c r="N71" s="31">
        <f>N$18*$B$71</f>
        <v>200</v>
      </c>
      <c r="O71" s="31">
        <f>O$18*$B$71</f>
        <v>400</v>
      </c>
      <c r="P71" s="31">
        <f>P$18*$B$71</f>
        <v>800</v>
      </c>
      <c r="Q71" s="31">
        <f>Q$18*$B$71</f>
        <v>1600</v>
      </c>
      <c r="R71" s="31">
        <f>R$18*$B$71</f>
        <v>3200</v>
      </c>
      <c r="S71" s="31">
        <f>S$18*$B$71</f>
        <v>6400</v>
      </c>
      <c r="T71" s="31">
        <f>T$18*$B$71</f>
        <v>12800</v>
      </c>
      <c r="U71" s="31">
        <f>U$18*$B$71</f>
        <v>25600</v>
      </c>
      <c r="V71" s="31">
        <f>V$18*$B$71</f>
        <v>51200</v>
      </c>
      <c r="W71" s="31">
        <f>W$18*$B$71</f>
        <v>102400</v>
      </c>
      <c r="X71" s="31">
        <f>X$18*$B$71</f>
        <v>204800</v>
      </c>
      <c r="Y71" s="31">
        <f>Y$18*$B$71</f>
        <v>409600</v>
      </c>
      <c r="Z71" s="31">
        <f>Z$18*$B$71</f>
        <v>819200</v>
      </c>
      <c r="AA71" s="72">
        <f>AA$18*$B$71</f>
        <v>1281700</v>
      </c>
      <c r="AB71" s="57"/>
    </row>
    <row r="72" spans="1:28" x14ac:dyDescent="0.25">
      <c r="A72" s="53"/>
      <c r="B72" s="28"/>
      <c r="C72" s="28"/>
      <c r="D72" s="37"/>
      <c r="E72" s="58">
        <v>0.105</v>
      </c>
      <c r="F72" s="28"/>
      <c r="G72" s="41">
        <f>G71*$E$72</f>
        <v>0.1640625</v>
      </c>
      <c r="H72" s="42">
        <f t="shared" ref="H72:W72" si="18">H71*$E$72</f>
        <v>0.328125</v>
      </c>
      <c r="I72" s="42">
        <f t="shared" si="18"/>
        <v>0.65625</v>
      </c>
      <c r="J72" s="42">
        <f t="shared" si="18"/>
        <v>1.3125</v>
      </c>
      <c r="K72" s="42">
        <f t="shared" si="18"/>
        <v>2.625</v>
      </c>
      <c r="L72" s="42">
        <f t="shared" si="18"/>
        <v>5.25</v>
      </c>
      <c r="M72" s="42">
        <f t="shared" si="18"/>
        <v>10.5</v>
      </c>
      <c r="N72" s="42">
        <f t="shared" si="18"/>
        <v>21</v>
      </c>
      <c r="O72" s="42">
        <f t="shared" si="18"/>
        <v>42</v>
      </c>
      <c r="P72" s="42">
        <f t="shared" si="18"/>
        <v>84</v>
      </c>
      <c r="Q72" s="42">
        <f t="shared" si="18"/>
        <v>168</v>
      </c>
      <c r="R72" s="42">
        <f t="shared" si="18"/>
        <v>336</v>
      </c>
      <c r="S72" s="42">
        <f t="shared" si="18"/>
        <v>672</v>
      </c>
      <c r="T72" s="42">
        <f t="shared" si="18"/>
        <v>1344</v>
      </c>
      <c r="U72" s="42">
        <f t="shared" si="18"/>
        <v>2688</v>
      </c>
      <c r="V72" s="42">
        <f t="shared" si="18"/>
        <v>5376</v>
      </c>
      <c r="W72" s="42">
        <f t="shared" si="18"/>
        <v>10752</v>
      </c>
      <c r="X72" s="42">
        <f>X71*$E$72</f>
        <v>21504</v>
      </c>
      <c r="Y72" s="42">
        <f>Y71*$E$72</f>
        <v>43008</v>
      </c>
      <c r="Z72" s="42">
        <f>Z71*$E$72</f>
        <v>86016</v>
      </c>
      <c r="AA72" s="83">
        <f>AA71*$E$72</f>
        <v>134578.5</v>
      </c>
      <c r="AB72" s="57"/>
    </row>
    <row r="73" spans="1:28" x14ac:dyDescent="0.25">
      <c r="A73" s="53" t="s">
        <v>5</v>
      </c>
      <c r="B73" s="36">
        <v>4.5999999999999999E-2</v>
      </c>
      <c r="C73" s="22">
        <f>$B$5 * B73</f>
        <v>1179164</v>
      </c>
      <c r="D73" s="59"/>
      <c r="E73" s="28"/>
      <c r="F73" s="28"/>
      <c r="G73" s="32">
        <f>G$18*$B$73</f>
        <v>1.4375</v>
      </c>
      <c r="H73" s="33">
        <f>H$18*$B$73</f>
        <v>2.875</v>
      </c>
      <c r="I73" s="33">
        <f>I$18*$B$73</f>
        <v>5.75</v>
      </c>
      <c r="J73" s="33">
        <f>J$18*$B$73</f>
        <v>11.5</v>
      </c>
      <c r="K73" s="33">
        <f>K$18*$B$73</f>
        <v>23</v>
      </c>
      <c r="L73" s="33">
        <f>L$18*$B$73</f>
        <v>46</v>
      </c>
      <c r="M73" s="33">
        <f>M$18*$B$73</f>
        <v>92</v>
      </c>
      <c r="N73" s="33">
        <f>N$18*$B$73</f>
        <v>184</v>
      </c>
      <c r="O73" s="33">
        <f>O$18*$B$73</f>
        <v>368</v>
      </c>
      <c r="P73" s="33">
        <f>P$18*$B$73</f>
        <v>736</v>
      </c>
      <c r="Q73" s="33">
        <f>Q$18*$B$73</f>
        <v>1472</v>
      </c>
      <c r="R73" s="33">
        <f>R$18*$B$73</f>
        <v>2944</v>
      </c>
      <c r="S73" s="33">
        <f>S$18*$B$73</f>
        <v>5888</v>
      </c>
      <c r="T73" s="33">
        <f>T$18*$B$73</f>
        <v>11776</v>
      </c>
      <c r="U73" s="33">
        <f>U$18*$B$73</f>
        <v>23552</v>
      </c>
      <c r="V73" s="33">
        <f>V$18*$B$73</f>
        <v>47104</v>
      </c>
      <c r="W73" s="33">
        <f>W$18*$B$73</f>
        <v>94208</v>
      </c>
      <c r="X73" s="33">
        <f>X$18*$B$73</f>
        <v>188416</v>
      </c>
      <c r="Y73" s="33">
        <f>Y$18*$B$73</f>
        <v>376832</v>
      </c>
      <c r="Z73" s="33">
        <f>Z$18*$B$73</f>
        <v>753664</v>
      </c>
      <c r="AA73" s="84">
        <f>AA$18*$B$73</f>
        <v>1179164</v>
      </c>
      <c r="AB73" s="57"/>
    </row>
    <row r="74" spans="1:28" x14ac:dyDescent="0.25">
      <c r="A74" s="53"/>
      <c r="B74" s="28"/>
      <c r="C74" s="28"/>
      <c r="D74" s="37"/>
      <c r="E74" s="58">
        <v>7.2999999999999995E-2</v>
      </c>
      <c r="F74" s="28"/>
      <c r="G74" s="41">
        <f t="shared" ref="G74:W74" si="19">G73*$E$74</f>
        <v>0.10493749999999999</v>
      </c>
      <c r="H74" s="42">
        <f t="shared" si="19"/>
        <v>0.20987499999999998</v>
      </c>
      <c r="I74" s="42">
        <f t="shared" si="19"/>
        <v>0.41974999999999996</v>
      </c>
      <c r="J74" s="42">
        <f t="shared" si="19"/>
        <v>0.83949999999999991</v>
      </c>
      <c r="K74" s="42">
        <f t="shared" si="19"/>
        <v>1.6789999999999998</v>
      </c>
      <c r="L74" s="42">
        <f t="shared" si="19"/>
        <v>3.3579999999999997</v>
      </c>
      <c r="M74" s="42">
        <f t="shared" si="19"/>
        <v>6.7159999999999993</v>
      </c>
      <c r="N74" s="42">
        <f t="shared" si="19"/>
        <v>13.431999999999999</v>
      </c>
      <c r="O74" s="42">
        <f t="shared" si="19"/>
        <v>26.863999999999997</v>
      </c>
      <c r="P74" s="42">
        <f t="shared" si="19"/>
        <v>53.727999999999994</v>
      </c>
      <c r="Q74" s="42">
        <f t="shared" si="19"/>
        <v>107.45599999999999</v>
      </c>
      <c r="R74" s="42">
        <f t="shared" si="19"/>
        <v>214.91199999999998</v>
      </c>
      <c r="S74" s="42">
        <f t="shared" si="19"/>
        <v>429.82399999999996</v>
      </c>
      <c r="T74" s="42">
        <f t="shared" si="19"/>
        <v>859.64799999999991</v>
      </c>
      <c r="U74" s="42">
        <f t="shared" si="19"/>
        <v>1719.2959999999998</v>
      </c>
      <c r="V74" s="42">
        <f t="shared" si="19"/>
        <v>3438.5919999999996</v>
      </c>
      <c r="W74" s="42">
        <f t="shared" si="19"/>
        <v>6877.1839999999993</v>
      </c>
      <c r="X74" s="42">
        <f>X73*$E$74</f>
        <v>13754.367999999999</v>
      </c>
      <c r="Y74" s="42">
        <f>Y73*$E$74</f>
        <v>27508.735999999997</v>
      </c>
      <c r="Z74" s="42">
        <f>Z73*$E$74</f>
        <v>55017.471999999994</v>
      </c>
      <c r="AA74" s="83">
        <f>AA73*$E$74</f>
        <v>86078.971999999994</v>
      </c>
      <c r="AB74" s="57"/>
    </row>
    <row r="75" spans="1:28" x14ac:dyDescent="0.25">
      <c r="A75" s="53" t="s">
        <v>7</v>
      </c>
      <c r="B75" s="36">
        <v>0.31</v>
      </c>
      <c r="C75" s="22">
        <f>$B$5 * B75</f>
        <v>7946540</v>
      </c>
      <c r="D75" s="59"/>
      <c r="E75" s="28"/>
      <c r="F75" s="28"/>
      <c r="G75" s="32">
        <f>G$18*$B$75</f>
        <v>9.6875</v>
      </c>
      <c r="H75" s="33">
        <f>H$18*$B$75</f>
        <v>19.375</v>
      </c>
      <c r="I75" s="33">
        <f>I$18*$B$75</f>
        <v>38.75</v>
      </c>
      <c r="J75" s="33">
        <f>J$18*$B$75</f>
        <v>77.5</v>
      </c>
      <c r="K75" s="33">
        <f>K$18*$B$75</f>
        <v>155</v>
      </c>
      <c r="L75" s="33">
        <f>L$18*$B$75</f>
        <v>310</v>
      </c>
      <c r="M75" s="33">
        <f>M$18*$B$75</f>
        <v>620</v>
      </c>
      <c r="N75" s="33">
        <f>N$18*$B$75</f>
        <v>1240</v>
      </c>
      <c r="O75" s="33">
        <f>O$18*$B$75</f>
        <v>2480</v>
      </c>
      <c r="P75" s="33">
        <f>P$18*$B$75</f>
        <v>4960</v>
      </c>
      <c r="Q75" s="33">
        <f>Q$18*$B$75</f>
        <v>9920</v>
      </c>
      <c r="R75" s="33">
        <f>R$18*$B$75</f>
        <v>19840</v>
      </c>
      <c r="S75" s="33">
        <f>S$18*$B$75</f>
        <v>39680</v>
      </c>
      <c r="T75" s="33">
        <f>T$18*$B$75</f>
        <v>79360</v>
      </c>
      <c r="U75" s="33">
        <f>U$18*$B$75</f>
        <v>158720</v>
      </c>
      <c r="V75" s="33">
        <f>V$18*$B$75</f>
        <v>317440</v>
      </c>
      <c r="W75" s="33">
        <f>W$18*$B$75</f>
        <v>634880</v>
      </c>
      <c r="X75" s="33">
        <f>X$18*$B$75</f>
        <v>1269760</v>
      </c>
      <c r="Y75" s="33">
        <f>Y$18*$B$75</f>
        <v>2539520</v>
      </c>
      <c r="Z75" s="33">
        <f>Z$18*$B$75</f>
        <v>5079040</v>
      </c>
      <c r="AA75" s="84">
        <f>AA$18*$B$75</f>
        <v>7946540</v>
      </c>
      <c r="AB75" s="57"/>
    </row>
    <row r="76" spans="1:28" x14ac:dyDescent="0.25">
      <c r="A76" s="53"/>
      <c r="B76" s="28"/>
      <c r="C76" s="28"/>
      <c r="D76" s="37"/>
      <c r="E76" s="58">
        <v>6.3E-2</v>
      </c>
      <c r="F76" s="28"/>
      <c r="G76" s="41">
        <f t="shared" ref="G76:W76" si="20">G75*$E$76</f>
        <v>0.61031250000000004</v>
      </c>
      <c r="H76" s="42">
        <f t="shared" si="20"/>
        <v>1.2206250000000001</v>
      </c>
      <c r="I76" s="42">
        <f t="shared" si="20"/>
        <v>2.4412500000000001</v>
      </c>
      <c r="J76" s="42">
        <f t="shared" si="20"/>
        <v>4.8825000000000003</v>
      </c>
      <c r="K76" s="42">
        <f t="shared" si="20"/>
        <v>9.7650000000000006</v>
      </c>
      <c r="L76" s="42">
        <f t="shared" si="20"/>
        <v>19.53</v>
      </c>
      <c r="M76" s="42">
        <f t="shared" si="20"/>
        <v>39.06</v>
      </c>
      <c r="N76" s="42">
        <f t="shared" si="20"/>
        <v>78.12</v>
      </c>
      <c r="O76" s="42">
        <f t="shared" si="20"/>
        <v>156.24</v>
      </c>
      <c r="P76" s="42">
        <f t="shared" si="20"/>
        <v>312.48</v>
      </c>
      <c r="Q76" s="42">
        <f t="shared" si="20"/>
        <v>624.96</v>
      </c>
      <c r="R76" s="42">
        <f t="shared" si="20"/>
        <v>1249.92</v>
      </c>
      <c r="S76" s="42">
        <f t="shared" si="20"/>
        <v>2499.84</v>
      </c>
      <c r="T76" s="42">
        <f t="shared" si="20"/>
        <v>4999.68</v>
      </c>
      <c r="U76" s="42">
        <f t="shared" si="20"/>
        <v>9999.36</v>
      </c>
      <c r="V76" s="42">
        <f t="shared" si="20"/>
        <v>19998.72</v>
      </c>
      <c r="W76" s="42">
        <f t="shared" si="20"/>
        <v>39997.440000000002</v>
      </c>
      <c r="X76" s="42">
        <f>X75*$E$76</f>
        <v>79994.880000000005</v>
      </c>
      <c r="Y76" s="42">
        <f>Y75*$E$76</f>
        <v>159989.76000000001</v>
      </c>
      <c r="Z76" s="42">
        <f>Z75*$E$76</f>
        <v>319979.52000000002</v>
      </c>
      <c r="AA76" s="83">
        <f>AA75*$E$76</f>
        <v>500632.02</v>
      </c>
      <c r="AB76" s="57"/>
    </row>
    <row r="77" spans="1:28" x14ac:dyDescent="0.25">
      <c r="A77" s="53" t="s">
        <v>8</v>
      </c>
      <c r="B77" s="36">
        <v>0.33700000000000002</v>
      </c>
      <c r="C77" s="22">
        <f>$B$5 * B77</f>
        <v>8638658</v>
      </c>
      <c r="D77" s="59"/>
      <c r="E77" s="28"/>
      <c r="F77" s="28"/>
      <c r="G77" s="32">
        <f>G$18*$B$77</f>
        <v>10.53125</v>
      </c>
      <c r="H77" s="33">
        <f>H$18*$B$77</f>
        <v>21.0625</v>
      </c>
      <c r="I77" s="33">
        <f>I$18*$B$77</f>
        <v>42.125</v>
      </c>
      <c r="J77" s="33">
        <f>J$18*$B$77</f>
        <v>84.25</v>
      </c>
      <c r="K77" s="33">
        <f>K$18*$B$77</f>
        <v>168.5</v>
      </c>
      <c r="L77" s="33">
        <f>L$18*$B$77</f>
        <v>337</v>
      </c>
      <c r="M77" s="33">
        <f>M$18*$B$77</f>
        <v>674</v>
      </c>
      <c r="N77" s="33">
        <f>N$18*$B$77</f>
        <v>1348</v>
      </c>
      <c r="O77" s="33">
        <f>O$18*$B$77</f>
        <v>2696</v>
      </c>
      <c r="P77" s="33">
        <f>P$18*$B$77</f>
        <v>5392</v>
      </c>
      <c r="Q77" s="33">
        <f>Q$18*$B$77</f>
        <v>10784</v>
      </c>
      <c r="R77" s="33">
        <f>R$18*$B$77</f>
        <v>21568</v>
      </c>
      <c r="S77" s="33">
        <f>S$18*$B$77</f>
        <v>43136</v>
      </c>
      <c r="T77" s="33">
        <f>T$18*$B$77</f>
        <v>86272</v>
      </c>
      <c r="U77" s="33">
        <f>U$18*$B$77</f>
        <v>172544</v>
      </c>
      <c r="V77" s="33">
        <f>V$18*$B$77</f>
        <v>345088</v>
      </c>
      <c r="W77" s="33">
        <f>W$18*$B$77</f>
        <v>690176</v>
      </c>
      <c r="X77" s="33">
        <f>X$18*$B$77</f>
        <v>1380352</v>
      </c>
      <c r="Y77" s="33">
        <f>Y$18*$B$77</f>
        <v>2760704</v>
      </c>
      <c r="Z77" s="33">
        <f>Z$18*$B$77</f>
        <v>5521408</v>
      </c>
      <c r="AA77" s="84">
        <f>AA$18*$B$77</f>
        <v>8638658</v>
      </c>
      <c r="AB77" s="57"/>
    </row>
    <row r="78" spans="1:28" x14ac:dyDescent="0.25">
      <c r="A78" s="53"/>
      <c r="B78" s="28"/>
      <c r="C78" s="28"/>
      <c r="D78" s="37"/>
      <c r="E78" s="58">
        <v>0.06</v>
      </c>
      <c r="F78" s="28"/>
      <c r="G78" s="41">
        <f t="shared" ref="G78:W78" si="21">G77*$E$78</f>
        <v>0.63187499999999996</v>
      </c>
      <c r="H78" s="42">
        <f t="shared" si="21"/>
        <v>1.2637499999999999</v>
      </c>
      <c r="I78" s="42">
        <f t="shared" si="21"/>
        <v>2.5274999999999999</v>
      </c>
      <c r="J78" s="42">
        <f t="shared" si="21"/>
        <v>5.0549999999999997</v>
      </c>
      <c r="K78" s="42">
        <f t="shared" si="21"/>
        <v>10.11</v>
      </c>
      <c r="L78" s="42">
        <f t="shared" si="21"/>
        <v>20.22</v>
      </c>
      <c r="M78" s="42">
        <f t="shared" si="21"/>
        <v>40.44</v>
      </c>
      <c r="N78" s="42">
        <f t="shared" si="21"/>
        <v>80.88</v>
      </c>
      <c r="O78" s="42">
        <f t="shared" si="21"/>
        <v>161.76</v>
      </c>
      <c r="P78" s="42">
        <f t="shared" si="21"/>
        <v>323.52</v>
      </c>
      <c r="Q78" s="42">
        <f t="shared" si="21"/>
        <v>647.04</v>
      </c>
      <c r="R78" s="42">
        <f t="shared" si="21"/>
        <v>1294.08</v>
      </c>
      <c r="S78" s="42">
        <f t="shared" si="21"/>
        <v>2588.16</v>
      </c>
      <c r="T78" s="42">
        <f t="shared" si="21"/>
        <v>5176.32</v>
      </c>
      <c r="U78" s="42">
        <f t="shared" si="21"/>
        <v>10352.64</v>
      </c>
      <c r="V78" s="42">
        <f t="shared" si="21"/>
        <v>20705.28</v>
      </c>
      <c r="W78" s="42">
        <f t="shared" si="21"/>
        <v>41410.559999999998</v>
      </c>
      <c r="X78" s="42">
        <f>X77*$E$78</f>
        <v>82821.119999999995</v>
      </c>
      <c r="Y78" s="42">
        <f>Y77*$E$78</f>
        <v>165642.23999999999</v>
      </c>
      <c r="Z78" s="42">
        <f>Z77*$E$78</f>
        <v>331284.47999999998</v>
      </c>
      <c r="AA78" s="83">
        <f>AA77*$E$78</f>
        <v>518319.48</v>
      </c>
      <c r="AB78" s="57"/>
    </row>
    <row r="79" spans="1:28" x14ac:dyDescent="0.25">
      <c r="A79" s="53" t="s">
        <v>9</v>
      </c>
      <c r="B79" s="36">
        <v>1.4999999999999999E-2</v>
      </c>
      <c r="C79" s="22">
        <f>$B$5 * B79</f>
        <v>384510</v>
      </c>
      <c r="D79" s="59"/>
      <c r="E79" s="28"/>
      <c r="F79" s="28"/>
      <c r="G79" s="32">
        <f>G$18*$B$79</f>
        <v>0.46875</v>
      </c>
      <c r="H79" s="33">
        <f>H$18*$B$79</f>
        <v>0.9375</v>
      </c>
      <c r="I79" s="33">
        <f>I$18*$B$79</f>
        <v>1.875</v>
      </c>
      <c r="J79" s="33">
        <f>J$18*$B$79</f>
        <v>3.75</v>
      </c>
      <c r="K79" s="33">
        <f>K$18*$B$79</f>
        <v>7.5</v>
      </c>
      <c r="L79" s="33">
        <f>L$18*$B$79</f>
        <v>15</v>
      </c>
      <c r="M79" s="33">
        <f>M$18*$B$79</f>
        <v>30</v>
      </c>
      <c r="N79" s="33">
        <f>N$18*$B$79</f>
        <v>60</v>
      </c>
      <c r="O79" s="33">
        <f>O$18*$B$79</f>
        <v>120</v>
      </c>
      <c r="P79" s="33">
        <f>P$18*$B$79</f>
        <v>240</v>
      </c>
      <c r="Q79" s="33">
        <f>Q$18*$B$79</f>
        <v>480</v>
      </c>
      <c r="R79" s="33">
        <f>R$18*$B$79</f>
        <v>960</v>
      </c>
      <c r="S79" s="33">
        <f>S$18*$B$79</f>
        <v>1920</v>
      </c>
      <c r="T79" s="33">
        <f>T$18*$B$79</f>
        <v>3840</v>
      </c>
      <c r="U79" s="33">
        <f>U$18*$B$79</f>
        <v>7680</v>
      </c>
      <c r="V79" s="33">
        <f>V$18*$B$79</f>
        <v>15360</v>
      </c>
      <c r="W79" s="33">
        <f>W$18*$B$79</f>
        <v>30720</v>
      </c>
      <c r="X79" s="33">
        <f>X$18*$B$79</f>
        <v>61440</v>
      </c>
      <c r="Y79" s="33">
        <f>Y$18*$B$79</f>
        <v>122880</v>
      </c>
      <c r="Z79" s="33">
        <f>Z$18*$B$79</f>
        <v>245760</v>
      </c>
      <c r="AA79" s="84">
        <f>AA$18*$B$79</f>
        <v>384510</v>
      </c>
      <c r="AB79" s="57"/>
    </row>
    <row r="80" spans="1:28" x14ac:dyDescent="0.25">
      <c r="A80" s="53"/>
      <c r="B80" s="28"/>
      <c r="C80" s="28"/>
      <c r="D80" s="37"/>
      <c r="E80" s="58">
        <v>5.6000000000000001E-2</v>
      </c>
      <c r="F80" s="28"/>
      <c r="G80" s="41">
        <f t="shared" ref="G80:W80" si="22">G79*$E$80</f>
        <v>2.6249999999999999E-2</v>
      </c>
      <c r="H80" s="42">
        <f t="shared" si="22"/>
        <v>5.2499999999999998E-2</v>
      </c>
      <c r="I80" s="42">
        <f t="shared" si="22"/>
        <v>0.105</v>
      </c>
      <c r="J80" s="42">
        <f t="shared" si="22"/>
        <v>0.21</v>
      </c>
      <c r="K80" s="42">
        <f t="shared" si="22"/>
        <v>0.42</v>
      </c>
      <c r="L80" s="42">
        <f t="shared" si="22"/>
        <v>0.84</v>
      </c>
      <c r="M80" s="42">
        <f t="shared" si="22"/>
        <v>1.68</v>
      </c>
      <c r="N80" s="42">
        <f t="shared" si="22"/>
        <v>3.36</v>
      </c>
      <c r="O80" s="42">
        <f t="shared" si="22"/>
        <v>6.72</v>
      </c>
      <c r="P80" s="42">
        <f t="shared" si="22"/>
        <v>13.44</v>
      </c>
      <c r="Q80" s="42">
        <f t="shared" si="22"/>
        <v>26.88</v>
      </c>
      <c r="R80" s="42">
        <f t="shared" si="22"/>
        <v>53.76</v>
      </c>
      <c r="S80" s="42">
        <f t="shared" si="22"/>
        <v>107.52</v>
      </c>
      <c r="T80" s="42">
        <f t="shared" si="22"/>
        <v>215.04</v>
      </c>
      <c r="U80" s="42">
        <f t="shared" si="22"/>
        <v>430.08</v>
      </c>
      <c r="V80" s="42">
        <f t="shared" si="22"/>
        <v>860.16</v>
      </c>
      <c r="W80" s="42">
        <f t="shared" si="22"/>
        <v>1720.32</v>
      </c>
      <c r="X80" s="42">
        <f>X79*$E$80</f>
        <v>3440.64</v>
      </c>
      <c r="Y80" s="42">
        <f>Y79*$E$80</f>
        <v>6881.28</v>
      </c>
      <c r="Z80" s="42">
        <f>Z79*$E$80</f>
        <v>13762.56</v>
      </c>
      <c r="AA80" s="83">
        <f>AA79*$E$80</f>
        <v>21532.560000000001</v>
      </c>
      <c r="AB80" s="57"/>
    </row>
    <row r="81" spans="1:28" x14ac:dyDescent="0.25">
      <c r="A81" s="53" t="s">
        <v>10</v>
      </c>
      <c r="B81" s="36">
        <v>0.161</v>
      </c>
      <c r="C81" s="22">
        <f>$B$5 * B81</f>
        <v>4127074</v>
      </c>
      <c r="D81" s="59"/>
      <c r="E81" s="28"/>
      <c r="F81" s="28"/>
      <c r="G81" s="32">
        <f>G$18*$B$81</f>
        <v>5.03125</v>
      </c>
      <c r="H81" s="33">
        <f>H$18*$B$81</f>
        <v>10.0625</v>
      </c>
      <c r="I81" s="33">
        <f>I$18*$B$81</f>
        <v>20.125</v>
      </c>
      <c r="J81" s="33">
        <f>J$18*$B$81</f>
        <v>40.25</v>
      </c>
      <c r="K81" s="33">
        <f>K$18*$B$81</f>
        <v>80.5</v>
      </c>
      <c r="L81" s="33">
        <f>L$18*$B$81</f>
        <v>161</v>
      </c>
      <c r="M81" s="33">
        <f>M$18*$B$81</f>
        <v>322</v>
      </c>
      <c r="N81" s="33">
        <f>N$18*$B$81</f>
        <v>644</v>
      </c>
      <c r="O81" s="33">
        <f>O$18*$B$81</f>
        <v>1288</v>
      </c>
      <c r="P81" s="33">
        <f>P$18*$B$81</f>
        <v>2576</v>
      </c>
      <c r="Q81" s="33">
        <f>Q$18*$B$81</f>
        <v>5152</v>
      </c>
      <c r="R81" s="33">
        <f>R$18*$B$81</f>
        <v>10304</v>
      </c>
      <c r="S81" s="33">
        <f>S$18*$B$81</f>
        <v>20608</v>
      </c>
      <c r="T81" s="33">
        <f>T$18*$B$81</f>
        <v>41216</v>
      </c>
      <c r="U81" s="33">
        <f>U$18*$B$81</f>
        <v>82432</v>
      </c>
      <c r="V81" s="33">
        <f>V$18*$B$81</f>
        <v>164864</v>
      </c>
      <c r="W81" s="33">
        <f>W$18*$B$81</f>
        <v>329728</v>
      </c>
      <c r="X81" s="33">
        <f>X$18*$B$81</f>
        <v>659456</v>
      </c>
      <c r="Y81" s="33">
        <f>Y$18*$B$81</f>
        <v>1318912</v>
      </c>
      <c r="Z81" s="33">
        <f>Z$18*$B$81</f>
        <v>2637824</v>
      </c>
      <c r="AA81" s="84">
        <f>AA$18*$B$81</f>
        <v>4127074</v>
      </c>
      <c r="AB81" s="57"/>
    </row>
    <row r="82" spans="1:28" x14ac:dyDescent="0.25">
      <c r="A82" s="49"/>
      <c r="B82" s="51"/>
      <c r="C82" s="51"/>
      <c r="D82" s="67"/>
      <c r="E82" s="68" t="s">
        <v>11</v>
      </c>
      <c r="F82" s="51"/>
      <c r="G82" s="43" t="s">
        <v>11</v>
      </c>
      <c r="H82" s="44" t="s">
        <v>11</v>
      </c>
      <c r="I82" s="44" t="s">
        <v>11</v>
      </c>
      <c r="J82" s="44" t="s">
        <v>11</v>
      </c>
      <c r="K82" s="44" t="s">
        <v>11</v>
      </c>
      <c r="L82" s="44" t="s">
        <v>11</v>
      </c>
      <c r="M82" s="44" t="s">
        <v>11</v>
      </c>
      <c r="N82" s="44" t="s">
        <v>11</v>
      </c>
      <c r="O82" s="44" t="s">
        <v>11</v>
      </c>
      <c r="P82" s="44" t="s">
        <v>11</v>
      </c>
      <c r="Q82" s="44" t="s">
        <v>11</v>
      </c>
      <c r="R82" s="44" t="s">
        <v>11</v>
      </c>
      <c r="S82" s="44" t="s">
        <v>11</v>
      </c>
      <c r="T82" s="44" t="s">
        <v>11</v>
      </c>
      <c r="U82" s="44" t="s">
        <v>11</v>
      </c>
      <c r="V82" s="44" t="s">
        <v>11</v>
      </c>
      <c r="W82" s="44" t="s">
        <v>11</v>
      </c>
      <c r="X82" s="44" t="s">
        <v>11</v>
      </c>
      <c r="Y82" s="44" t="s">
        <v>11</v>
      </c>
      <c r="Z82" s="44" t="s">
        <v>11</v>
      </c>
      <c r="AA82" s="85" t="s">
        <v>11</v>
      </c>
      <c r="AB82" s="57"/>
    </row>
    <row r="83" spans="1:28" x14ac:dyDescent="0.25">
      <c r="A83" s="53"/>
      <c r="B83" s="28"/>
      <c r="C83" s="28"/>
      <c r="D83" s="59"/>
      <c r="E83" s="28"/>
      <c r="F83" s="28"/>
      <c r="G83" s="32">
        <f>SUM(G71,G73,G75,G77,G79,G81)</f>
        <v>28.71875</v>
      </c>
      <c r="H83" s="33">
        <f t="shared" ref="H83:W83" si="23">SUM(H71,H73,H75,H77,H79,H81)</f>
        <v>57.4375</v>
      </c>
      <c r="I83" s="33">
        <f t="shared" si="23"/>
        <v>114.875</v>
      </c>
      <c r="J83" s="33">
        <f t="shared" si="23"/>
        <v>229.75</v>
      </c>
      <c r="K83" s="33">
        <f t="shared" si="23"/>
        <v>459.5</v>
      </c>
      <c r="L83" s="33">
        <f t="shared" si="23"/>
        <v>919</v>
      </c>
      <c r="M83" s="33">
        <f>SUM(M71,M73,M75,M77,M79,M81)</f>
        <v>1838</v>
      </c>
      <c r="N83" s="33">
        <f t="shared" si="23"/>
        <v>3676</v>
      </c>
      <c r="O83" s="33">
        <f t="shared" si="23"/>
        <v>7352</v>
      </c>
      <c r="P83" s="33">
        <f t="shared" si="23"/>
        <v>14704</v>
      </c>
      <c r="Q83" s="33">
        <f t="shared" si="23"/>
        <v>29408</v>
      </c>
      <c r="R83" s="33">
        <f t="shared" si="23"/>
        <v>58816</v>
      </c>
      <c r="S83" s="33">
        <f t="shared" si="23"/>
        <v>117632</v>
      </c>
      <c r="T83" s="33">
        <f t="shared" si="23"/>
        <v>235264</v>
      </c>
      <c r="U83" s="33">
        <f t="shared" si="23"/>
        <v>470528</v>
      </c>
      <c r="V83" s="33">
        <f t="shared" si="23"/>
        <v>941056</v>
      </c>
      <c r="W83" s="33">
        <f t="shared" si="23"/>
        <v>1882112</v>
      </c>
      <c r="X83" s="33">
        <f t="shared" ref="X83:AA84" si="24">SUM(X71,X73,X75,X77,X79,X81)</f>
        <v>3764224</v>
      </c>
      <c r="Y83" s="33">
        <f t="shared" si="24"/>
        <v>7528448</v>
      </c>
      <c r="Z83" s="33">
        <f t="shared" si="24"/>
        <v>15056896</v>
      </c>
      <c r="AA83" s="84">
        <f t="shared" si="24"/>
        <v>23557646</v>
      </c>
      <c r="AB83" s="57"/>
    </row>
    <row r="84" spans="1:28" x14ac:dyDescent="0.25">
      <c r="A84" s="49" t="s">
        <v>133</v>
      </c>
      <c r="B84" s="51"/>
      <c r="C84" s="51"/>
      <c r="D84" s="51"/>
      <c r="E84" s="51"/>
      <c r="F84" s="51"/>
      <c r="G84" s="43">
        <f>SUM(G72,G74,G76,G78,G80,G82)</f>
        <v>1.5374375000000002</v>
      </c>
      <c r="H84" s="44">
        <f t="shared" ref="H84:W84" si="25">SUM(H72,H74,H76,H78,H80,H82)</f>
        <v>3.0748750000000005</v>
      </c>
      <c r="I84" s="44">
        <f t="shared" si="25"/>
        <v>6.1497500000000009</v>
      </c>
      <c r="J84" s="44">
        <f t="shared" si="25"/>
        <v>12.299500000000002</v>
      </c>
      <c r="K84" s="44">
        <f t="shared" si="25"/>
        <v>24.599000000000004</v>
      </c>
      <c r="L84" s="44">
        <f t="shared" si="25"/>
        <v>49.198000000000008</v>
      </c>
      <c r="M84" s="44">
        <f t="shared" si="25"/>
        <v>98.396000000000015</v>
      </c>
      <c r="N84" s="44">
        <f t="shared" si="25"/>
        <v>196.79200000000003</v>
      </c>
      <c r="O84" s="44">
        <f t="shared" si="25"/>
        <v>393.58400000000006</v>
      </c>
      <c r="P84" s="44">
        <f t="shared" si="25"/>
        <v>787.16800000000012</v>
      </c>
      <c r="Q84" s="44">
        <f t="shared" si="25"/>
        <v>1574.3360000000002</v>
      </c>
      <c r="R84" s="44">
        <f t="shared" si="25"/>
        <v>3148.6720000000005</v>
      </c>
      <c r="S84" s="44">
        <f t="shared" si="25"/>
        <v>6297.344000000001</v>
      </c>
      <c r="T84" s="44">
        <f t="shared" si="25"/>
        <v>12594.688000000002</v>
      </c>
      <c r="U84" s="44">
        <f t="shared" si="25"/>
        <v>25189.376000000004</v>
      </c>
      <c r="V84" s="44">
        <f t="shared" si="25"/>
        <v>50378.752000000008</v>
      </c>
      <c r="W84" s="44">
        <f t="shared" si="25"/>
        <v>100757.50400000002</v>
      </c>
      <c r="X84" s="44">
        <f t="shared" si="24"/>
        <v>201515.00800000003</v>
      </c>
      <c r="Y84" s="44">
        <f t="shared" si="24"/>
        <v>403030.01600000006</v>
      </c>
      <c r="Z84" s="44">
        <f t="shared" si="24"/>
        <v>806060.03200000012</v>
      </c>
      <c r="AA84" s="85">
        <f t="shared" si="24"/>
        <v>1261141.5320000001</v>
      </c>
      <c r="AB84" s="57"/>
    </row>
  </sheetData>
  <conditionalFormatting sqref="G28:AB28">
    <cfRule type="cellIs" dxfId="10" priority="18" operator="greaterThan">
      <formula>$C$8</formula>
    </cfRule>
  </conditionalFormatting>
  <conditionalFormatting sqref="G30:AA30">
    <cfRule type="cellIs" dxfId="9" priority="17" operator="greaterThan">
      <formula>$C$9</formula>
    </cfRule>
  </conditionalFormatting>
  <conditionalFormatting sqref="G48:AA48">
    <cfRule type="cellIs" dxfId="8" priority="16" operator="greaterThan">
      <formula>$C$48</formula>
    </cfRule>
  </conditionalFormatting>
  <conditionalFormatting sqref="G50:AA50">
    <cfRule type="cellIs" dxfId="7" priority="15" operator="greaterThan">
      <formula>$C$50</formula>
    </cfRule>
  </conditionalFormatting>
  <conditionalFormatting sqref="G52:AA52">
    <cfRule type="cellIs" dxfId="6" priority="14" operator="greaterThan">
      <formula>$C$52</formula>
    </cfRule>
  </conditionalFormatting>
  <conditionalFormatting sqref="G54:AA54">
    <cfRule type="cellIs" dxfId="5" priority="6" operator="greaterThan">
      <formula>$C$54</formula>
    </cfRule>
  </conditionalFormatting>
  <conditionalFormatting sqref="G56:AA56">
    <cfRule type="cellIs" dxfId="4" priority="5" operator="greaterThan">
      <formula>$C$56</formula>
    </cfRule>
  </conditionalFormatting>
  <conditionalFormatting sqref="G58:AA58">
    <cfRule type="cellIs" dxfId="3" priority="4" operator="greaterThan">
      <formula>$C$58</formula>
    </cfRule>
  </conditionalFormatting>
  <conditionalFormatting sqref="G60:AA60">
    <cfRule type="cellIs" dxfId="2" priority="3" operator="greaterThan">
      <formula>$C$60</formula>
    </cfRule>
  </conditionalFormatting>
  <conditionalFormatting sqref="G62:AA62">
    <cfRule type="cellIs" dxfId="1" priority="2" operator="greaterThan">
      <formula>$C$62</formula>
    </cfRule>
  </conditionalFormatting>
  <conditionalFormatting sqref="G64:AA64">
    <cfRule type="cellIs" dxfId="0" priority="1" operator="greaterThan">
      <formula>$C$64</formula>
    </cfRule>
  </conditionalFormatting>
  <hyperlinks>
    <hyperlink ref="D47" r:id="rId1" xr:uid="{98D6456F-EA03-4FCB-8D3D-1822F6B38CCF}"/>
    <hyperlink ref="E47" r:id="rId2" location="case-fatality-rate-of-covid-19-by-age" xr:uid="{0058192C-B05A-45D2-8597-C1F9B3D9241E}"/>
    <hyperlink ref="E70" r:id="rId3" location="case-fatality-rate-of-covid-19-by-preexisting-health-conditions" xr:uid="{110A2613-24A6-4768-B90C-571B307D13E2}"/>
    <hyperlink ref="B5" r:id="rId4" display="https://www.abs.gov.au/ausstats/abs@.nsf/0/1647509ef7e25faaca2568a900154b63?opendocument" xr:uid="{63727E5E-0850-4414-8DD8-E50A09A5AEE8}"/>
    <hyperlink ref="B47" r:id="rId5" xr:uid="{E432DB14-5D35-4B35-8F24-1C070D7F22B3}"/>
  </hyperlinks>
  <pageMargins left="0.7" right="0.7" top="0.75" bottom="0.75" header="0.3" footer="0.3"/>
  <pageSetup paperSize="9"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6" sqref="C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210" t="s">
        <v>231</v>
      </c>
      <c r="C3" s="193">
        <f>Projections!B5</f>
        <v>25634000</v>
      </c>
      <c r="J3" s="2"/>
    </row>
    <row r="4" spans="2:10" x14ac:dyDescent="0.25">
      <c r="B4" s="211" t="s">
        <v>249</v>
      </c>
      <c r="C4" s="193">
        <v>32</v>
      </c>
      <c r="J4" s="2"/>
    </row>
    <row r="5" spans="2:10" x14ac:dyDescent="0.25">
      <c r="B5" s="211" t="s">
        <v>250</v>
      </c>
      <c r="C5" s="191">
        <v>43892</v>
      </c>
      <c r="J5" s="2"/>
    </row>
    <row r="6" spans="2:10" x14ac:dyDescent="0.25">
      <c r="B6" s="211" t="s">
        <v>232</v>
      </c>
      <c r="C6" s="193">
        <v>4560</v>
      </c>
    </row>
    <row r="7" spans="2:10" x14ac:dyDescent="0.25">
      <c r="B7" s="211" t="s">
        <v>234</v>
      </c>
      <c r="C7" s="191">
        <f ca="1">NOW()</f>
        <v>43925.653722106479</v>
      </c>
    </row>
    <row r="8" spans="2:10" x14ac:dyDescent="0.25">
      <c r="B8" s="211" t="s">
        <v>251</v>
      </c>
      <c r="C8" s="192">
        <f ca="1">C7-C5</f>
        <v>33.653722106479108</v>
      </c>
    </row>
    <row r="9" spans="2:10" x14ac:dyDescent="0.25">
      <c r="B9" s="211" t="s">
        <v>233</v>
      </c>
      <c r="C9" s="194">
        <f ca="1">C8/(LOG(C6/C4)/LOG(2))</f>
        <v>4.7036446760122708</v>
      </c>
      <c r="D9" t="s">
        <v>205</v>
      </c>
      <c r="F9" t="s">
        <v>252</v>
      </c>
    </row>
    <row r="10" spans="2:10" x14ac:dyDescent="0.25">
      <c r="B10" s="211" t="s">
        <v>238</v>
      </c>
      <c r="C10" s="193">
        <f>Projections!C8</f>
        <v>66648.400000000009</v>
      </c>
    </row>
    <row r="11" spans="2:10" x14ac:dyDescent="0.25">
      <c r="B11" s="212" t="s">
        <v>239</v>
      </c>
      <c r="C11" s="198">
        <f>Projections!C9</f>
        <v>1896.9159999999999</v>
      </c>
    </row>
    <row r="12" spans="2:10" s="81" customFormat="1" x14ac:dyDescent="0.25">
      <c r="B12" s="74" t="s">
        <v>199</v>
      </c>
      <c r="C12" s="199">
        <f>C6/Projections!B6</f>
        <v>13818.181818181818</v>
      </c>
    </row>
    <row r="13" spans="2:10" s="81" customFormat="1" x14ac:dyDescent="0.25">
      <c r="B13" s="60" t="s">
        <v>265</v>
      </c>
      <c r="C13" s="200">
        <f ca="1">(C4/Projections!B6)*(2^(((C7-21)-C5)/C9))</f>
        <v>625.84310733724681</v>
      </c>
    </row>
    <row r="14" spans="2:10" s="81" customFormat="1" x14ac:dyDescent="0.25">
      <c r="B14" s="61" t="s">
        <v>255</v>
      </c>
      <c r="C14" s="177">
        <f ca="1">C12-C13</f>
        <v>13192.338710844571</v>
      </c>
      <c r="E14" s="196"/>
      <c r="F14" s="197" t="s">
        <v>257</v>
      </c>
      <c r="G14" s="195"/>
    </row>
    <row r="15" spans="2:10" x14ac:dyDescent="0.25">
      <c r="B15" s="16" t="s">
        <v>253</v>
      </c>
      <c r="C15" s="76">
        <f>C6*Projections!B10</f>
        <v>3693.6000000000004</v>
      </c>
      <c r="I15" s="190"/>
    </row>
    <row r="16" spans="2:10" x14ac:dyDescent="0.25">
      <c r="B16" s="53" t="s">
        <v>264</v>
      </c>
      <c r="C16" s="97">
        <f ca="1">(C4*Projections!B10)*(2^(((C7-21)-C5)/C9))</f>
        <v>167.28786259124607</v>
      </c>
      <c r="I16" s="190"/>
    </row>
    <row r="17" spans="2:9" x14ac:dyDescent="0.25">
      <c r="B17" s="53" t="s">
        <v>254</v>
      </c>
      <c r="C17" s="97">
        <f ca="1">C15-C16</f>
        <v>3526.3121374087541</v>
      </c>
      <c r="F17" t="s">
        <v>258</v>
      </c>
      <c r="I17" s="190"/>
    </row>
    <row r="18" spans="2:9" x14ac:dyDescent="0.25">
      <c r="B18" s="16" t="s">
        <v>260</v>
      </c>
      <c r="C18" s="76">
        <f>C6*Projections!B11</f>
        <v>638.40000000000009</v>
      </c>
    </row>
    <row r="19" spans="2:9" x14ac:dyDescent="0.25">
      <c r="B19" s="53" t="s">
        <v>266</v>
      </c>
      <c r="C19" s="97">
        <f ca="1">(C4*Projections!B11)*(2^(((C7-49)-C5)/C9))</f>
        <v>0.46679573221073178</v>
      </c>
    </row>
    <row r="20" spans="2:9" x14ac:dyDescent="0.25">
      <c r="B20" s="53" t="s">
        <v>259</v>
      </c>
      <c r="C20" s="97">
        <f ca="1">C18-C19</f>
        <v>637.93320426778939</v>
      </c>
      <c r="F20" t="s">
        <v>263</v>
      </c>
    </row>
    <row r="21" spans="2:9" x14ac:dyDescent="0.25">
      <c r="B21" s="16" t="s">
        <v>261</v>
      </c>
      <c r="C21" s="76">
        <f>C6*Projections!B12</f>
        <v>228</v>
      </c>
      <c r="I21" s="190"/>
    </row>
    <row r="22" spans="2:9" x14ac:dyDescent="0.25">
      <c r="B22" s="53" t="s">
        <v>267</v>
      </c>
      <c r="C22" s="97">
        <f ca="1">(C4*Projections!B12)*(2^(((C7-49)-C5)/C9))</f>
        <v>0.16671276150383277</v>
      </c>
      <c r="I22" s="190"/>
    </row>
    <row r="23" spans="2:9" x14ac:dyDescent="0.25">
      <c r="B23" s="53" t="s">
        <v>262</v>
      </c>
      <c r="C23" s="97">
        <f ca="1">C21-C22</f>
        <v>227.83328723849615</v>
      </c>
      <c r="I23" s="190"/>
    </row>
    <row r="24" spans="2:9" x14ac:dyDescent="0.25">
      <c r="B24" s="16" t="s">
        <v>268</v>
      </c>
      <c r="C24" s="76">
        <f>C6*Projections!B13</f>
        <v>159.60000000000002</v>
      </c>
    </row>
    <row r="25" spans="2:9" x14ac:dyDescent="0.25">
      <c r="B25" s="49" t="s">
        <v>269</v>
      </c>
      <c r="C25" s="73">
        <f ca="1">(C4*Projections!B13)*(2^(((C7-42)-C5)/C9))</f>
        <v>0.32738745095359062</v>
      </c>
      <c r="F25" t="s">
        <v>270</v>
      </c>
    </row>
    <row r="26" spans="2:9" x14ac:dyDescent="0.25">
      <c r="B26" s="53" t="s">
        <v>244</v>
      </c>
      <c r="C26" s="203">
        <f ca="1">C9*(LOG(C10/C21)/LOG(2))</f>
        <v>38.529400224778094</v>
      </c>
      <c r="D26" t="s">
        <v>205</v>
      </c>
      <c r="F26" s="81" t="s">
        <v>271</v>
      </c>
    </row>
    <row r="27" spans="2:9" x14ac:dyDescent="0.25">
      <c r="B27" s="49" t="s">
        <v>240</v>
      </c>
      <c r="C27" s="202">
        <f ca="1">C7+C26</f>
        <v>43964.183122331255</v>
      </c>
      <c r="F27" t="s">
        <v>272</v>
      </c>
    </row>
    <row r="28" spans="2:9" x14ac:dyDescent="0.25">
      <c r="B28" s="16" t="s">
        <v>245</v>
      </c>
      <c r="C28" s="201">
        <f ca="1">C9*(LOG(C11/C21)/LOG(2))</f>
        <v>14.376925438589153</v>
      </c>
      <c r="D28" t="s">
        <v>205</v>
      </c>
    </row>
    <row r="29" spans="2:9" x14ac:dyDescent="0.25">
      <c r="B29" s="49" t="s">
        <v>241</v>
      </c>
      <c r="C29" s="202">
        <f ca="1">C7+C28</f>
        <v>43940.030647545071</v>
      </c>
      <c r="F29" t="s">
        <v>272</v>
      </c>
    </row>
    <row r="30" spans="2:9" x14ac:dyDescent="0.25">
      <c r="B30" s="16" t="s">
        <v>246</v>
      </c>
      <c r="C30" s="201">
        <f ca="1">C9*(LOG((C3*0.6)/C12)/LOG(2))</f>
        <v>47.602339941051277</v>
      </c>
      <c r="D30" t="s">
        <v>205</v>
      </c>
    </row>
    <row r="31" spans="2:9" x14ac:dyDescent="0.25">
      <c r="B31" s="49" t="s">
        <v>243</v>
      </c>
      <c r="C31" s="202">
        <f ca="1">C7+C30</f>
        <v>43973.256062047527</v>
      </c>
    </row>
    <row r="34" spans="2:6" x14ac:dyDescent="0.25">
      <c r="B34" s="16" t="s">
        <v>247</v>
      </c>
      <c r="C34" s="191">
        <f ca="1">C7+30</f>
        <v>43955.653722106479</v>
      </c>
    </row>
    <row r="35" spans="2:6" x14ac:dyDescent="0.25">
      <c r="B35" s="53" t="s">
        <v>248</v>
      </c>
      <c r="C35" s="97">
        <f ca="1">C6*(2^((C34-C7)/C9))</f>
        <v>379266.10129616299</v>
      </c>
      <c r="F35" t="s">
        <v>256</v>
      </c>
    </row>
    <row r="36" spans="2:6" x14ac:dyDescent="0.25">
      <c r="B36" s="53" t="s">
        <v>242</v>
      </c>
      <c r="C36" s="97">
        <f ca="1">C35/Projections!B6</f>
        <v>1149291.2160489787</v>
      </c>
    </row>
    <row r="37" spans="2:6" x14ac:dyDescent="0.25">
      <c r="B37" s="53" t="s">
        <v>177</v>
      </c>
      <c r="C37" s="97">
        <f ca="1">C35*Projections!B10</f>
        <v>307205.54204989201</v>
      </c>
    </row>
    <row r="38" spans="2:6" x14ac:dyDescent="0.25">
      <c r="B38" s="53" t="s">
        <v>235</v>
      </c>
      <c r="C38" s="97">
        <f ca="1">C35*Projections!B11</f>
        <v>53097.25418146282</v>
      </c>
    </row>
    <row r="39" spans="2:6" x14ac:dyDescent="0.25">
      <c r="B39" s="53" t="s">
        <v>236</v>
      </c>
      <c r="C39" s="97">
        <f ca="1">C35*Projections!B12</f>
        <v>18963.305064808152</v>
      </c>
    </row>
    <row r="40" spans="2:6" x14ac:dyDescent="0.25">
      <c r="B40" s="49" t="s">
        <v>237</v>
      </c>
      <c r="C40" s="73">
        <f ca="1">C35*Projections!B13</f>
        <v>13274.313545365705</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K15"/>
    </sheetView>
  </sheetViews>
  <sheetFormatPr defaultRowHeight="15" x14ac:dyDescent="0.25"/>
  <sheetData>
    <row r="1" spans="1:12" x14ac:dyDescent="0.25">
      <c r="A1" t="s">
        <v>129</v>
      </c>
      <c r="B1" t="s">
        <v>149</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3:C14"/>
  <sheetViews>
    <sheetView workbookViewId="0">
      <selection activeCell="L31" sqref="L31"/>
    </sheetView>
  </sheetViews>
  <sheetFormatPr defaultRowHeight="15" x14ac:dyDescent="0.25"/>
  <sheetData>
    <row r="3" spans="1:3" x14ac:dyDescent="0.25">
      <c r="A3" t="s">
        <v>137</v>
      </c>
      <c r="B3" t="s">
        <v>138</v>
      </c>
      <c r="C3" t="s">
        <v>139</v>
      </c>
    </row>
    <row r="4" spans="1:3" x14ac:dyDescent="0.25">
      <c r="A4" s="53" t="s">
        <v>13</v>
      </c>
      <c r="B4">
        <v>134</v>
      </c>
      <c r="C4" s="3">
        <f t="shared" ref="C4:C12" si="0">B4/$B$14</f>
        <v>2.7419684878248415E-2</v>
      </c>
    </row>
    <row r="5" spans="1:3" x14ac:dyDescent="0.25">
      <c r="A5" s="53" t="s">
        <v>14</v>
      </c>
      <c r="B5">
        <v>528</v>
      </c>
      <c r="C5" s="3">
        <f t="shared" si="0"/>
        <v>0.10804174340085942</v>
      </c>
    </row>
    <row r="6" spans="1:3" x14ac:dyDescent="0.25">
      <c r="A6" s="53" t="s">
        <v>15</v>
      </c>
      <c r="B6">
        <v>822</v>
      </c>
      <c r="C6" s="3">
        <f t="shared" si="0"/>
        <v>0.1682013505217925</v>
      </c>
    </row>
    <row r="7" spans="1:3" x14ac:dyDescent="0.25">
      <c r="A7" s="53" t="s">
        <v>16</v>
      </c>
      <c r="B7">
        <v>760</v>
      </c>
      <c r="C7" s="3">
        <f t="shared" si="0"/>
        <v>0.1555146306527522</v>
      </c>
    </row>
    <row r="8" spans="1:3" x14ac:dyDescent="0.25">
      <c r="A8" s="53" t="s">
        <v>17</v>
      </c>
      <c r="B8">
        <v>639</v>
      </c>
      <c r="C8" s="3">
        <f t="shared" si="0"/>
        <v>0.13075506445672191</v>
      </c>
    </row>
    <row r="9" spans="1:3" x14ac:dyDescent="0.25">
      <c r="A9" s="53" t="s">
        <v>18</v>
      </c>
      <c r="B9">
        <v>761</v>
      </c>
      <c r="C9" s="3">
        <f t="shared" si="0"/>
        <v>0.15571925516676899</v>
      </c>
    </row>
    <row r="10" spans="1:3" x14ac:dyDescent="0.25">
      <c r="A10" s="53" t="s">
        <v>19</v>
      </c>
      <c r="B10">
        <v>1065</v>
      </c>
      <c r="C10" s="3">
        <f t="shared" si="0"/>
        <v>0.21792510742786986</v>
      </c>
    </row>
    <row r="11" spans="1:3" ht="15.75" customHeight="1" x14ac:dyDescent="0.25">
      <c r="A11" s="54" t="s">
        <v>20</v>
      </c>
      <c r="B11">
        <v>135</v>
      </c>
      <c r="C11" s="3">
        <f t="shared" si="0"/>
        <v>2.7624309392265192E-2</v>
      </c>
    </row>
    <row r="12" spans="1:3" x14ac:dyDescent="0.25">
      <c r="A12" s="54" t="s">
        <v>21</v>
      </c>
      <c r="B12">
        <v>43</v>
      </c>
      <c r="C12" s="3">
        <f t="shared" si="0"/>
        <v>8.7988541027215067E-3</v>
      </c>
    </row>
    <row r="14" spans="1:3" x14ac:dyDescent="0.25">
      <c r="A14" t="s">
        <v>140</v>
      </c>
      <c r="B14">
        <f>SUM(B4:B12)</f>
        <v>4887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2020-04-04T04:41:21Z</dcterms:modified>
</cp:coreProperties>
</file>