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6F5F013-F841-45A3-BD48-E3909893272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7" i="1" l="1"/>
  <c r="T44" i="1" l="1"/>
  <c r="U44" i="1"/>
  <c r="V44" i="1"/>
  <c r="W44" i="1"/>
  <c r="X44" i="1"/>
  <c r="Y44" i="1"/>
  <c r="Z44" i="1"/>
  <c r="AA44" i="1"/>
  <c r="AB44" i="1"/>
  <c r="R47" i="1" l="1"/>
  <c r="J22" i="1" l="1"/>
  <c r="L47" i="1"/>
  <c r="M47" i="1"/>
  <c r="N47" i="1"/>
  <c r="O47" i="1"/>
  <c r="P47" i="1"/>
  <c r="Q47" i="1"/>
  <c r="K47" i="1"/>
  <c r="J47" i="1"/>
  <c r="J35" i="1" l="1"/>
  <c r="J23" i="1" s="1"/>
  <c r="E34" i="4" l="1"/>
  <c r="C45" i="4"/>
  <c r="AI24" i="1"/>
  <c r="AH20" i="1"/>
  <c r="AI44" i="1"/>
  <c r="AH44" i="1"/>
  <c r="AF24" i="1"/>
  <c r="AH21" i="1"/>
  <c r="AE24" i="1"/>
  <c r="AD24" i="1"/>
  <c r="AC24" i="1"/>
  <c r="AG24" i="1"/>
  <c r="C11" i="1"/>
  <c r="C10" i="1"/>
  <c r="B68" i="1"/>
  <c r="B66" i="1"/>
  <c r="B64" i="1"/>
  <c r="B62" i="1"/>
  <c r="B60" i="1"/>
  <c r="B58" i="1"/>
  <c r="B56" i="1"/>
  <c r="B54" i="1"/>
  <c r="B52"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3" i="1"/>
  <c r="AI21" i="1" l="1"/>
  <c r="AI20" i="1" s="1"/>
  <c r="AI28" i="1" s="1"/>
  <c r="AH24" i="1"/>
  <c r="AI26" i="1" l="1"/>
  <c r="AI25" i="1"/>
  <c r="C5" i="5"/>
  <c r="C4" i="5"/>
  <c r="K19" i="1"/>
  <c r="K35" i="1" s="1"/>
  <c r="L19" i="1" l="1"/>
  <c r="L35" i="1" s="1"/>
  <c r="K45" i="1"/>
  <c r="M19" i="1" l="1"/>
  <c r="K43" i="1"/>
  <c r="J45" i="1"/>
  <c r="L30" i="1" s="1"/>
  <c r="J42" i="1"/>
  <c r="N19" i="1" l="1"/>
  <c r="N35" i="1" s="1"/>
  <c r="M35" i="1"/>
  <c r="M32" i="1"/>
  <c r="L43" i="1"/>
  <c r="J30" i="1"/>
  <c r="J31" i="1" s="1"/>
  <c r="J32" i="1"/>
  <c r="J33" i="1" s="1"/>
  <c r="O19" i="1" l="1"/>
  <c r="O35" i="1" s="1"/>
  <c r="N32" i="1"/>
  <c r="AC44" i="1"/>
  <c r="AD44" i="1" s="1"/>
  <c r="AE44" i="1" s="1"/>
  <c r="AF44" i="1" s="1"/>
  <c r="AG44" i="1" s="1"/>
  <c r="M43" i="1"/>
  <c r="J28" i="1"/>
  <c r="J29" i="1" s="1"/>
  <c r="J24" i="1"/>
  <c r="J26" i="1" s="1"/>
  <c r="J27" i="1" s="1"/>
  <c r="C12" i="5"/>
  <c r="C7" i="5"/>
  <c r="C8" i="5" s="1"/>
  <c r="C9" i="5" s="1"/>
  <c r="C18" i="5"/>
  <c r="C15" i="5"/>
  <c r="C24" i="5"/>
  <c r="C3" i="5"/>
  <c r="P19" i="1" l="1"/>
  <c r="P35" i="1" s="1"/>
  <c r="C30" i="5"/>
  <c r="J25" i="1"/>
  <c r="N43" i="1"/>
  <c r="C34" i="5"/>
  <c r="Q19" i="1" l="1"/>
  <c r="Q35" i="1" s="1"/>
  <c r="O43" i="1"/>
  <c r="C13" i="5"/>
  <c r="C14" i="5" s="1"/>
  <c r="J38" i="1"/>
  <c r="J36" i="1"/>
  <c r="J39" i="1"/>
  <c r="J37" i="1"/>
  <c r="R19" i="1" l="1"/>
  <c r="P43" i="1"/>
  <c r="AI34" i="1"/>
  <c r="AI32" i="1"/>
  <c r="AI30" i="1"/>
  <c r="C22" i="5"/>
  <c r="C23" i="5" s="1"/>
  <c r="C35" i="5"/>
  <c r="C40" i="5" s="1"/>
  <c r="C25" i="5"/>
  <c r="C19" i="5"/>
  <c r="C20" i="5" s="1"/>
  <c r="C16" i="5"/>
  <c r="C17" i="5" s="1"/>
  <c r="C31" i="5"/>
  <c r="AP25" i="4"/>
  <c r="E31" i="4"/>
  <c r="B17" i="4" s="1"/>
  <c r="R45" i="1" l="1"/>
  <c r="S19" i="1"/>
  <c r="T19"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9" i="1"/>
  <c r="E18" i="4"/>
  <c r="K21" i="4" s="1"/>
  <c r="N20" i="4"/>
  <c r="H17" i="4"/>
  <c r="J75" i="1"/>
  <c r="J76" i="1" s="1"/>
  <c r="V19" i="1" l="1"/>
  <c r="E19" i="4"/>
  <c r="Q20" i="4"/>
  <c r="H18" i="4"/>
  <c r="N22" i="4" s="1"/>
  <c r="K17" i="4"/>
  <c r="Y24" i="4"/>
  <c r="W19" i="1" l="1"/>
  <c r="H19" i="4"/>
  <c r="T20" i="4"/>
  <c r="K18" i="4"/>
  <c r="K19" i="4" s="1"/>
  <c r="N21" i="4"/>
  <c r="AB24" i="4" s="1"/>
  <c r="N17" i="4"/>
  <c r="X19" i="1" l="1"/>
  <c r="Q17" i="4"/>
  <c r="T17" i="4" s="1"/>
  <c r="W20" i="4"/>
  <c r="N18" i="4"/>
  <c r="Q21" i="4"/>
  <c r="AE24" i="4" s="1"/>
  <c r="Q22" i="4"/>
  <c r="N19" i="4"/>
  <c r="Y19" i="1" l="1"/>
  <c r="Z19" i="1" s="1"/>
  <c r="AA19" i="1" s="1"/>
  <c r="AB19" i="1" s="1"/>
  <c r="T18" i="4"/>
  <c r="T19" i="4" s="1"/>
  <c r="AC20" i="4"/>
  <c r="Z20" i="4"/>
  <c r="Q18" i="4"/>
  <c r="Q19" i="4" s="1"/>
  <c r="T21" i="4"/>
  <c r="AH24" i="4" s="1"/>
  <c r="T22" i="4"/>
  <c r="T23" i="4"/>
  <c r="W21" i="4"/>
  <c r="AK24" i="4" s="1"/>
  <c r="W17" i="4"/>
  <c r="AC19" i="1" l="1"/>
  <c r="AC43" i="1" s="1"/>
  <c r="D16" i="1"/>
  <c r="W23" i="4"/>
  <c r="W18" i="4"/>
  <c r="W19" i="4" s="1"/>
  <c r="AF20" i="4"/>
  <c r="W22" i="4"/>
  <c r="Z21" i="4"/>
  <c r="AN24" i="4" s="1"/>
  <c r="Z23" i="4"/>
  <c r="Z22" i="4"/>
  <c r="Z17" i="4"/>
  <c r="C85" i="1"/>
  <c r="C83" i="1"/>
  <c r="C81" i="1"/>
  <c r="C79" i="1"/>
  <c r="C77" i="1"/>
  <c r="C75" i="1"/>
  <c r="J34" i="1"/>
  <c r="D54" i="1"/>
  <c r="AC39" i="1" l="1"/>
  <c r="AC38" i="1"/>
  <c r="AC37" i="1"/>
  <c r="AC42" i="1"/>
  <c r="AC36" i="1"/>
  <c r="AC45" i="1"/>
  <c r="AD19" i="1"/>
  <c r="AD43" i="1" s="1"/>
  <c r="Z18" i="4"/>
  <c r="Z19" i="4" s="1"/>
  <c r="AI20" i="4"/>
  <c r="AC21" i="4"/>
  <c r="AC22" i="4"/>
  <c r="AC23" i="4"/>
  <c r="AC17" i="4"/>
  <c r="D58" i="1"/>
  <c r="D52" i="1"/>
  <c r="D68" i="1"/>
  <c r="D66" i="1"/>
  <c r="D64" i="1"/>
  <c r="D62" i="1"/>
  <c r="D60" i="1"/>
  <c r="D56" i="1"/>
  <c r="C10" i="5"/>
  <c r="C26" i="5" s="1"/>
  <c r="C27" i="5" s="1"/>
  <c r="C11" i="5"/>
  <c r="J55" i="1"/>
  <c r="J85" i="1"/>
  <c r="J83" i="1"/>
  <c r="J81" i="1"/>
  <c r="J82" i="1" s="1"/>
  <c r="J79" i="1"/>
  <c r="J80" i="1" s="1"/>
  <c r="J77" i="1"/>
  <c r="J78" i="1" s="1"/>
  <c r="C54" i="1"/>
  <c r="C56" i="1"/>
  <c r="C58" i="1"/>
  <c r="C60" i="1"/>
  <c r="C62" i="1"/>
  <c r="C64" i="1"/>
  <c r="C66" i="1"/>
  <c r="C68" i="1"/>
  <c r="C52" i="1"/>
  <c r="J21" i="1"/>
  <c r="K20" i="1"/>
  <c r="AD42" i="1" l="1"/>
  <c r="AD45" i="1"/>
  <c r="AE19" i="1"/>
  <c r="AF19" i="1" s="1"/>
  <c r="AG19" i="1" s="1"/>
  <c r="C28" i="5"/>
  <c r="C29" i="5" s="1"/>
  <c r="AL20" i="4"/>
  <c r="AC18" i="4"/>
  <c r="AC19" i="4" s="1"/>
  <c r="J69" i="1"/>
  <c r="K30" i="1"/>
  <c r="K32" i="1"/>
  <c r="K33" i="1" s="1"/>
  <c r="K28" i="1"/>
  <c r="K29" i="1" s="1"/>
  <c r="K36" i="1"/>
  <c r="K39" i="1"/>
  <c r="K42" i="1"/>
  <c r="K37" i="1"/>
  <c r="K38" i="1"/>
  <c r="K24" i="1"/>
  <c r="AF22" i="4"/>
  <c r="AF23" i="4"/>
  <c r="AF21" i="4"/>
  <c r="AF17" i="4"/>
  <c r="J53" i="1"/>
  <c r="J52" i="1"/>
  <c r="J61" i="1"/>
  <c r="J60" i="1"/>
  <c r="J64" i="1"/>
  <c r="J63" i="1"/>
  <c r="J66" i="1"/>
  <c r="J56" i="1"/>
  <c r="L20" i="1"/>
  <c r="L28" i="1" s="1"/>
  <c r="L29" i="1" s="1"/>
  <c r="K79" i="1"/>
  <c r="K80" i="1" s="1"/>
  <c r="J57" i="1"/>
  <c r="K68" i="1"/>
  <c r="K77" i="1"/>
  <c r="K78" i="1" s="1"/>
  <c r="J65" i="1"/>
  <c r="K66" i="1"/>
  <c r="K85" i="1"/>
  <c r="J54" i="1"/>
  <c r="J62" i="1"/>
  <c r="K83" i="1"/>
  <c r="K84" i="1" s="1"/>
  <c r="K81" i="1"/>
  <c r="K82" i="1" s="1"/>
  <c r="K64" i="1"/>
  <c r="K57" i="1"/>
  <c r="K61" i="1"/>
  <c r="K65" i="1"/>
  <c r="K69" i="1"/>
  <c r="J87" i="1"/>
  <c r="K75" i="1"/>
  <c r="K76" i="1" s="1"/>
  <c r="J58" i="1"/>
  <c r="K54" i="1"/>
  <c r="J59" i="1"/>
  <c r="J67" i="1"/>
  <c r="K58" i="1"/>
  <c r="K55" i="1"/>
  <c r="K62" i="1"/>
  <c r="J68" i="1"/>
  <c r="K52" i="1"/>
  <c r="K59" i="1"/>
  <c r="K63" i="1"/>
  <c r="K67" i="1"/>
  <c r="K56" i="1"/>
  <c r="K53" i="1"/>
  <c r="K60" i="1"/>
  <c r="J84" i="1"/>
  <c r="J88" i="1" s="1"/>
  <c r="K21" i="1"/>
  <c r="K34" i="1"/>
  <c r="AF45" i="1" l="1"/>
  <c r="AF43" i="1"/>
  <c r="AF42" i="1"/>
  <c r="AE45" i="1"/>
  <c r="AE42" i="1"/>
  <c r="AE43" i="1"/>
  <c r="AH19" i="1"/>
  <c r="AI19" i="1" s="1"/>
  <c r="AI45" i="1" s="1"/>
  <c r="AI35" i="1" s="1"/>
  <c r="AG42" i="1"/>
  <c r="AG43" i="1"/>
  <c r="AG45" i="1"/>
  <c r="AO20" i="4"/>
  <c r="AF18" i="4"/>
  <c r="AF19" i="4" s="1"/>
  <c r="K31" i="1"/>
  <c r="K22" i="1" s="1"/>
  <c r="K23" i="1" s="1"/>
  <c r="L77" i="1"/>
  <c r="L78" i="1" s="1"/>
  <c r="L58" i="1"/>
  <c r="L32" i="1"/>
  <c r="L33" i="1" s="1"/>
  <c r="L83" i="1"/>
  <c r="L84" i="1" s="1"/>
  <c r="L54" i="1"/>
  <c r="L53" i="1"/>
  <c r="L75" i="1"/>
  <c r="L76" i="1" s="1"/>
  <c r="L55" i="1"/>
  <c r="L21" i="1"/>
  <c r="K25" i="1"/>
  <c r="K26" i="1"/>
  <c r="K27" i="1" s="1"/>
  <c r="L45" i="1"/>
  <c r="M20" i="1"/>
  <c r="M28" i="1" s="1"/>
  <c r="M29" i="1" s="1"/>
  <c r="L24" i="1"/>
  <c r="L34" i="1"/>
  <c r="L68" i="1"/>
  <c r="L67" i="1"/>
  <c r="L79" i="1"/>
  <c r="L80" i="1" s="1"/>
  <c r="L63" i="1"/>
  <c r="L62" i="1"/>
  <c r="L38" i="1"/>
  <c r="L36" i="1"/>
  <c r="L39" i="1"/>
  <c r="L42" i="1"/>
  <c r="L37" i="1"/>
  <c r="AI23" i="4"/>
  <c r="AI21" i="4"/>
  <c r="AI22" i="4"/>
  <c r="AI17" i="4"/>
  <c r="AI18" i="4" s="1"/>
  <c r="J71" i="1"/>
  <c r="K71" i="1"/>
  <c r="L65" i="1"/>
  <c r="L64" i="1"/>
  <c r="L60" i="1"/>
  <c r="L57" i="1"/>
  <c r="L59" i="1"/>
  <c r="L52" i="1"/>
  <c r="L61" i="1"/>
  <c r="L66" i="1"/>
  <c r="L85" i="1"/>
  <c r="L56" i="1"/>
  <c r="L81" i="1"/>
  <c r="L82" i="1" s="1"/>
  <c r="L69" i="1"/>
  <c r="K87" i="1"/>
  <c r="J70" i="1"/>
  <c r="K70" i="1"/>
  <c r="K88" i="1"/>
  <c r="AH45" i="1" l="1"/>
  <c r="AH42" i="1"/>
  <c r="AH43" i="1"/>
  <c r="M59" i="1"/>
  <c r="M57" i="1"/>
  <c r="M55" i="1"/>
  <c r="M69" i="1"/>
  <c r="M77" i="1"/>
  <c r="M78" i="1" s="1"/>
  <c r="M65" i="1"/>
  <c r="M64" i="1"/>
  <c r="M56" i="1"/>
  <c r="M67" i="1"/>
  <c r="M62" i="1"/>
  <c r="M85" i="1"/>
  <c r="M52" i="1"/>
  <c r="M63" i="1"/>
  <c r="M61" i="1"/>
  <c r="M54" i="1"/>
  <c r="M75" i="1"/>
  <c r="M76" i="1" s="1"/>
  <c r="M58" i="1"/>
  <c r="N20" i="1"/>
  <c r="N64" i="1" s="1"/>
  <c r="M68" i="1"/>
  <c r="M66" i="1"/>
  <c r="M34" i="1"/>
  <c r="M79" i="1"/>
  <c r="M80" i="1" s="1"/>
  <c r="L88" i="1"/>
  <c r="M53" i="1"/>
  <c r="M81" i="1"/>
  <c r="M82" i="1" s="1"/>
  <c r="M83" i="1"/>
  <c r="M84" i="1" s="1"/>
  <c r="M21" i="1"/>
  <c r="M60" i="1"/>
  <c r="M45" i="1"/>
  <c r="L25" i="1"/>
  <c r="L26" i="1"/>
  <c r="L27" i="1" s="1"/>
  <c r="M37" i="1"/>
  <c r="M38" i="1"/>
  <c r="M39" i="1"/>
  <c r="M42" i="1"/>
  <c r="M36" i="1"/>
  <c r="L87" i="1"/>
  <c r="M24" i="1"/>
  <c r="AL22" i="4"/>
  <c r="AL21" i="4"/>
  <c r="AL23" i="4"/>
  <c r="AL17" i="4"/>
  <c r="AL18" i="4" s="1"/>
  <c r="AI19" i="4"/>
  <c r="L70" i="1"/>
  <c r="L71" i="1"/>
  <c r="N68" i="1" l="1"/>
  <c r="N65" i="1"/>
  <c r="N77" i="1"/>
  <c r="N78" i="1" s="1"/>
  <c r="N62" i="1"/>
  <c r="N63" i="1"/>
  <c r="N54" i="1"/>
  <c r="N60" i="1"/>
  <c r="N75" i="1"/>
  <c r="N76" i="1" s="1"/>
  <c r="M71" i="1"/>
  <c r="N61" i="1"/>
  <c r="N53" i="1"/>
  <c r="N83" i="1"/>
  <c r="N84" i="1" s="1"/>
  <c r="N67" i="1"/>
  <c r="N59" i="1"/>
  <c r="N66" i="1"/>
  <c r="N81" i="1"/>
  <c r="N82" i="1" s="1"/>
  <c r="M88" i="1"/>
  <c r="N28" i="1"/>
  <c r="N29" i="1" s="1"/>
  <c r="N21" i="1"/>
  <c r="N55" i="1"/>
  <c r="N56" i="1"/>
  <c r="N79" i="1"/>
  <c r="N80" i="1" s="1"/>
  <c r="N24" i="1"/>
  <c r="N26" i="1" s="1"/>
  <c r="N27" i="1" s="1"/>
  <c r="N34" i="1"/>
  <c r="N58" i="1"/>
  <c r="O20" i="1"/>
  <c r="O65" i="1" s="1"/>
  <c r="N69" i="1"/>
  <c r="M70" i="1"/>
  <c r="N57" i="1"/>
  <c r="N85" i="1"/>
  <c r="M87" i="1"/>
  <c r="N52" i="1"/>
  <c r="N45" i="1"/>
  <c r="M25" i="1"/>
  <c r="M26" i="1"/>
  <c r="M27" i="1" s="1"/>
  <c r="N37" i="1"/>
  <c r="N42" i="1"/>
  <c r="N38" i="1"/>
  <c r="N39" i="1"/>
  <c r="N36" i="1"/>
  <c r="AO21" i="4"/>
  <c r="AO22" i="4"/>
  <c r="AO23" i="4"/>
  <c r="AO17" i="4"/>
  <c r="AO18" i="4" s="1"/>
  <c r="AO19" i="4" s="1"/>
  <c r="AL19" i="4"/>
  <c r="O62" i="1"/>
  <c r="O52" i="1"/>
  <c r="O55" i="1" l="1"/>
  <c r="N70" i="1"/>
  <c r="N88" i="1"/>
  <c r="O68" i="1"/>
  <c r="O34" i="1"/>
  <c r="P20" i="1"/>
  <c r="P66" i="1" s="1"/>
  <c r="O57" i="1"/>
  <c r="O83" i="1"/>
  <c r="O84" i="1" s="1"/>
  <c r="O63" i="1"/>
  <c r="O64" i="1"/>
  <c r="N87" i="1"/>
  <c r="O60" i="1"/>
  <c r="N71" i="1"/>
  <c r="O21" i="1"/>
  <c r="O58" i="1"/>
  <c r="O81" i="1"/>
  <c r="O82" i="1" s="1"/>
  <c r="O28" i="1"/>
  <c r="O77" i="1"/>
  <c r="O78" i="1" s="1"/>
  <c r="O59" i="1"/>
  <c r="O24" i="1"/>
  <c r="O25" i="1" s="1"/>
  <c r="O67" i="1"/>
  <c r="O66" i="1"/>
  <c r="O61" i="1"/>
  <c r="O79" i="1"/>
  <c r="O80" i="1" s="1"/>
  <c r="O54" i="1"/>
  <c r="O75" i="1"/>
  <c r="O76" i="1" s="1"/>
  <c r="O85" i="1"/>
  <c r="O56" i="1"/>
  <c r="N25" i="1"/>
  <c r="O53" i="1"/>
  <c r="O69" i="1"/>
  <c r="P24" i="1"/>
  <c r="P28" i="1"/>
  <c r="O45" i="1"/>
  <c r="O37" i="1"/>
  <c r="O38" i="1"/>
  <c r="O36" i="1"/>
  <c r="O39" i="1"/>
  <c r="O42" i="1"/>
  <c r="P34" i="1" l="1"/>
  <c r="P63" i="1"/>
  <c r="P75" i="1"/>
  <c r="P76" i="1" s="1"/>
  <c r="P85" i="1"/>
  <c r="P60" i="1"/>
  <c r="P61" i="1"/>
  <c r="P53" i="1"/>
  <c r="P67" i="1"/>
  <c r="P54" i="1"/>
  <c r="P52" i="1"/>
  <c r="P57" i="1"/>
  <c r="P64" i="1"/>
  <c r="P65" i="1"/>
  <c r="P21" i="1"/>
  <c r="P77" i="1"/>
  <c r="P78" i="1" s="1"/>
  <c r="P62" i="1"/>
  <c r="P55" i="1"/>
  <c r="P81" i="1"/>
  <c r="P82" i="1" s="1"/>
  <c r="P79" i="1"/>
  <c r="P80" i="1" s="1"/>
  <c r="P59" i="1"/>
  <c r="P58" i="1"/>
  <c r="Q20" i="1"/>
  <c r="Q62" i="1" s="1"/>
  <c r="P69" i="1"/>
  <c r="P68" i="1"/>
  <c r="P83" i="1"/>
  <c r="P84" i="1" s="1"/>
  <c r="P56" i="1"/>
  <c r="O88" i="1"/>
  <c r="O71" i="1"/>
  <c r="O87" i="1"/>
  <c r="O70" i="1"/>
  <c r="O26" i="1"/>
  <c r="P45" i="1"/>
  <c r="P25" i="1"/>
  <c r="P26" i="1"/>
  <c r="P37" i="1"/>
  <c r="P38" i="1"/>
  <c r="P39" i="1"/>
  <c r="P36" i="1"/>
  <c r="P42" i="1"/>
  <c r="Q65" i="1" l="1"/>
  <c r="Q77" i="1"/>
  <c r="Q78" i="1" s="1"/>
  <c r="Q52" i="1"/>
  <c r="Q75" i="1"/>
  <c r="Q76" i="1" s="1"/>
  <c r="Q34" i="1"/>
  <c r="Q63" i="1"/>
  <c r="Q68" i="1"/>
  <c r="Q85" i="1"/>
  <c r="Q57" i="1"/>
  <c r="R20" i="1"/>
  <c r="R28" i="1" s="1"/>
  <c r="Q64" i="1"/>
  <c r="Q69" i="1"/>
  <c r="Q53" i="1"/>
  <c r="P70" i="1"/>
  <c r="Q59" i="1"/>
  <c r="P71" i="1"/>
  <c r="P87" i="1"/>
  <c r="Q55" i="1"/>
  <c r="Q66" i="1"/>
  <c r="Q61" i="1"/>
  <c r="Q60" i="1"/>
  <c r="Q79" i="1"/>
  <c r="Q80" i="1" s="1"/>
  <c r="P88" i="1"/>
  <c r="Q24" i="1"/>
  <c r="Q25" i="1" s="1"/>
  <c r="Q81" i="1"/>
  <c r="Q82" i="1" s="1"/>
  <c r="Q28" i="1"/>
  <c r="Q21" i="1"/>
  <c r="Q54" i="1"/>
  <c r="Q56" i="1"/>
  <c r="Q67" i="1"/>
  <c r="Q83" i="1"/>
  <c r="Q84" i="1" s="1"/>
  <c r="Q58" i="1"/>
  <c r="Q45" i="1"/>
  <c r="Q43" i="1"/>
  <c r="Q42" i="1"/>
  <c r="Q37" i="1"/>
  <c r="Q39" i="1"/>
  <c r="Q38" i="1"/>
  <c r="Q36" i="1"/>
  <c r="R65" i="1" l="1"/>
  <c r="R68" i="1"/>
  <c r="R69" i="1"/>
  <c r="R21" i="1"/>
  <c r="R83" i="1"/>
  <c r="R84" i="1" s="1"/>
  <c r="R81" i="1"/>
  <c r="R82" i="1" s="1"/>
  <c r="R79" i="1"/>
  <c r="R80" i="1" s="1"/>
  <c r="R60" i="1"/>
  <c r="R77" i="1"/>
  <c r="R78" i="1" s="1"/>
  <c r="R63" i="1"/>
  <c r="R55" i="1"/>
  <c r="R53" i="1"/>
  <c r="R52" i="1"/>
  <c r="R61" i="1"/>
  <c r="R67" i="1"/>
  <c r="R34" i="1"/>
  <c r="R54" i="1"/>
  <c r="R62" i="1"/>
  <c r="R66" i="1"/>
  <c r="R75" i="1"/>
  <c r="R76" i="1" s="1"/>
  <c r="R59" i="1"/>
  <c r="R64" i="1"/>
  <c r="R58" i="1"/>
  <c r="R57" i="1"/>
  <c r="S20" i="1"/>
  <c r="S34" i="1" s="1"/>
  <c r="R56" i="1"/>
  <c r="R85" i="1"/>
  <c r="R24" i="1"/>
  <c r="R25" i="1" s="1"/>
  <c r="Q71" i="1"/>
  <c r="Q26" i="1"/>
  <c r="Q70" i="1"/>
  <c r="Q87" i="1"/>
  <c r="Q88" i="1"/>
  <c r="R42" i="1"/>
  <c r="R43" i="1"/>
  <c r="R37" i="1"/>
  <c r="R39" i="1"/>
  <c r="R36" i="1"/>
  <c r="R38" i="1"/>
  <c r="S24" i="1" l="1"/>
  <c r="S25" i="1" s="1"/>
  <c r="S21" i="1"/>
  <c r="S58" i="1"/>
  <c r="S81" i="1"/>
  <c r="S82" i="1" s="1"/>
  <c r="S85" i="1"/>
  <c r="R88" i="1"/>
  <c r="R87" i="1"/>
  <c r="R71" i="1"/>
  <c r="R70" i="1"/>
  <c r="S55" i="1"/>
  <c r="S57" i="1"/>
  <c r="S65" i="1"/>
  <c r="S52" i="1"/>
  <c r="T20" i="1"/>
  <c r="T28" i="1" s="1"/>
  <c r="S66" i="1"/>
  <c r="S79" i="1"/>
  <c r="S80" i="1" s="1"/>
  <c r="S75" i="1"/>
  <c r="S76" i="1" s="1"/>
  <c r="S68" i="1"/>
  <c r="S77" i="1"/>
  <c r="S78" i="1" s="1"/>
  <c r="S63" i="1"/>
  <c r="S59" i="1"/>
  <c r="S64" i="1"/>
  <c r="S54" i="1"/>
  <c r="S28" i="1"/>
  <c r="S62" i="1"/>
  <c r="S60" i="1"/>
  <c r="S53" i="1"/>
  <c r="S69" i="1"/>
  <c r="S61" i="1"/>
  <c r="S83" i="1"/>
  <c r="S84" i="1" s="1"/>
  <c r="S67" i="1"/>
  <c r="S56" i="1"/>
  <c r="R26" i="1"/>
  <c r="S45" i="1"/>
  <c r="S43" i="1"/>
  <c r="S42" i="1"/>
  <c r="S38" i="1"/>
  <c r="S39" i="1"/>
  <c r="S36" i="1"/>
  <c r="S37" i="1"/>
  <c r="S26" i="1" l="1"/>
  <c r="T57" i="1"/>
  <c r="T62" i="1"/>
  <c r="T60" i="1"/>
  <c r="T77" i="1"/>
  <c r="T78" i="1" s="1"/>
  <c r="T64" i="1"/>
  <c r="S70" i="1"/>
  <c r="T68" i="1"/>
  <c r="T75" i="1"/>
  <c r="T76" i="1" s="1"/>
  <c r="T54" i="1"/>
  <c r="T61" i="1"/>
  <c r="T34" i="1"/>
  <c r="T79" i="1"/>
  <c r="T80" i="1" s="1"/>
  <c r="T66" i="1"/>
  <c r="T63" i="1"/>
  <c r="T69" i="1"/>
  <c r="T55" i="1"/>
  <c r="T59" i="1"/>
  <c r="T81" i="1"/>
  <c r="T82" i="1" s="1"/>
  <c r="T67" i="1"/>
  <c r="U20" i="1"/>
  <c r="U21" i="1" s="1"/>
  <c r="T52" i="1"/>
  <c r="T24" i="1"/>
  <c r="T26" i="1" s="1"/>
  <c r="S71" i="1"/>
  <c r="T65" i="1"/>
  <c r="T58" i="1"/>
  <c r="T83" i="1"/>
  <c r="T84" i="1" s="1"/>
  <c r="T53" i="1"/>
  <c r="T56" i="1"/>
  <c r="T85" i="1"/>
  <c r="T21" i="1"/>
  <c r="S87" i="1"/>
  <c r="S88" i="1"/>
  <c r="T45" i="1"/>
  <c r="T43" i="1"/>
  <c r="T42" i="1"/>
  <c r="T39" i="1"/>
  <c r="T36" i="1"/>
  <c r="T38" i="1"/>
  <c r="T37" i="1"/>
  <c r="U66" i="1" l="1"/>
  <c r="T25" i="1"/>
  <c r="U79" i="1"/>
  <c r="U80" i="1" s="1"/>
  <c r="U64" i="1"/>
  <c r="U57" i="1"/>
  <c r="U83" i="1"/>
  <c r="U84" i="1" s="1"/>
  <c r="U85" i="1"/>
  <c r="U69" i="1"/>
  <c r="U59" i="1"/>
  <c r="U60" i="1"/>
  <c r="U58" i="1"/>
  <c r="U55" i="1"/>
  <c r="U68" i="1"/>
  <c r="U52" i="1"/>
  <c r="T87" i="1"/>
  <c r="T70" i="1"/>
  <c r="U62" i="1"/>
  <c r="U67" i="1"/>
  <c r="U34" i="1"/>
  <c r="U65" i="1"/>
  <c r="U28" i="1"/>
  <c r="U56" i="1"/>
  <c r="U54" i="1"/>
  <c r="V20" i="1"/>
  <c r="V28" i="1" s="1"/>
  <c r="U53" i="1"/>
  <c r="U24" i="1"/>
  <c r="U26" i="1" s="1"/>
  <c r="U63" i="1"/>
  <c r="U81" i="1"/>
  <c r="U82" i="1" s="1"/>
  <c r="U61" i="1"/>
  <c r="T71" i="1"/>
  <c r="T88" i="1"/>
  <c r="U77" i="1"/>
  <c r="U78" i="1" s="1"/>
  <c r="U75" i="1"/>
  <c r="U76" i="1" s="1"/>
  <c r="U43" i="1"/>
  <c r="U45" i="1"/>
  <c r="U36" i="1"/>
  <c r="U38" i="1"/>
  <c r="U42" i="1"/>
  <c r="U37" i="1"/>
  <c r="U39" i="1"/>
  <c r="V77" i="1" l="1"/>
  <c r="V78" i="1" s="1"/>
  <c r="V66" i="1"/>
  <c r="V59" i="1"/>
  <c r="V56" i="1"/>
  <c r="V62" i="1"/>
  <c r="V85" i="1"/>
  <c r="V21" i="1"/>
  <c r="V79" i="1"/>
  <c r="V80" i="1" s="1"/>
  <c r="V55" i="1"/>
  <c r="V24" i="1"/>
  <c r="V25" i="1" s="1"/>
  <c r="U71" i="1"/>
  <c r="V63" i="1"/>
  <c r="V60" i="1"/>
  <c r="U70" i="1"/>
  <c r="V52" i="1"/>
  <c r="V53" i="1"/>
  <c r="V61" i="1"/>
  <c r="V57" i="1"/>
  <c r="V54" i="1"/>
  <c r="V64" i="1"/>
  <c r="V81" i="1"/>
  <c r="V82" i="1" s="1"/>
  <c r="V67" i="1"/>
  <c r="V58" i="1"/>
  <c r="U25" i="1"/>
  <c r="V68" i="1"/>
  <c r="W20" i="1"/>
  <c r="W28" i="1" s="1"/>
  <c r="V83" i="1"/>
  <c r="V84" i="1" s="1"/>
  <c r="U87" i="1"/>
  <c r="V75" i="1"/>
  <c r="V76" i="1" s="1"/>
  <c r="V65" i="1"/>
  <c r="V69" i="1"/>
  <c r="V34" i="1"/>
  <c r="U88" i="1"/>
  <c r="V43" i="1"/>
  <c r="R35" i="1" s="1"/>
  <c r="V45" i="1"/>
  <c r="V36" i="1"/>
  <c r="V38" i="1"/>
  <c r="V39" i="1"/>
  <c r="V42" i="1"/>
  <c r="V37" i="1"/>
  <c r="V70" i="1" l="1"/>
  <c r="V26" i="1"/>
  <c r="W58" i="1"/>
  <c r="V88" i="1"/>
  <c r="W56" i="1"/>
  <c r="W62" i="1"/>
  <c r="W57" i="1"/>
  <c r="X20" i="1"/>
  <c r="X69" i="1" s="1"/>
  <c r="W24" i="1"/>
  <c r="W26" i="1" s="1"/>
  <c r="W79" i="1"/>
  <c r="W80" i="1" s="1"/>
  <c r="W64" i="1"/>
  <c r="W34" i="1"/>
  <c r="W65" i="1"/>
  <c r="W59" i="1"/>
  <c r="W68" i="1"/>
  <c r="W54" i="1"/>
  <c r="W66" i="1"/>
  <c r="V71" i="1"/>
  <c r="W55" i="1"/>
  <c r="W77" i="1"/>
  <c r="W78" i="1" s="1"/>
  <c r="W21" i="1"/>
  <c r="W69" i="1"/>
  <c r="W52" i="1"/>
  <c r="W63" i="1"/>
  <c r="W85" i="1"/>
  <c r="W53" i="1"/>
  <c r="W61" i="1"/>
  <c r="V87" i="1"/>
  <c r="W75" i="1"/>
  <c r="W60" i="1"/>
  <c r="W67" i="1"/>
  <c r="W83" i="1"/>
  <c r="W84" i="1" s="1"/>
  <c r="W81" i="1"/>
  <c r="W82" i="1" s="1"/>
  <c r="W43" i="1"/>
  <c r="W45" i="1"/>
  <c r="X24" i="1"/>
  <c r="X28" i="1"/>
  <c r="W39" i="1"/>
  <c r="W38" i="1"/>
  <c r="W36" i="1"/>
  <c r="W42" i="1"/>
  <c r="W37" i="1"/>
  <c r="X59" i="1"/>
  <c r="X56" i="1"/>
  <c r="X77" i="1"/>
  <c r="X78" i="1" s="1"/>
  <c r="X54" i="1"/>
  <c r="X64" i="1"/>
  <c r="X60" i="1" l="1"/>
  <c r="AE30" i="1"/>
  <c r="X58" i="1"/>
  <c r="X55" i="1"/>
  <c r="X67" i="1"/>
  <c r="X68" i="1"/>
  <c r="X52" i="1"/>
  <c r="Y20" i="1"/>
  <c r="Y55" i="1" s="1"/>
  <c r="X85" i="1"/>
  <c r="X63" i="1"/>
  <c r="X53" i="1"/>
  <c r="X65" i="1"/>
  <c r="X79" i="1"/>
  <c r="X80" i="1" s="1"/>
  <c r="X61" i="1"/>
  <c r="W25" i="1"/>
  <c r="W71" i="1"/>
  <c r="L31" i="1"/>
  <c r="M33" i="1"/>
  <c r="M30" i="1"/>
  <c r="N33" i="1"/>
  <c r="O27" i="1"/>
  <c r="O32" i="1"/>
  <c r="O33" i="1" s="1"/>
  <c r="P32" i="1"/>
  <c r="P33" i="1" s="1"/>
  <c r="P27" i="1"/>
  <c r="Q27" i="1"/>
  <c r="Q32" i="1"/>
  <c r="Q33" i="1" s="1"/>
  <c r="S35" i="1"/>
  <c r="T35" i="1"/>
  <c r="U35" i="1"/>
  <c r="V35" i="1"/>
  <c r="W35" i="1"/>
  <c r="O29" i="1"/>
  <c r="P29" i="1"/>
  <c r="Q29" i="1"/>
  <c r="W87" i="1"/>
  <c r="W70" i="1"/>
  <c r="X21" i="1"/>
  <c r="X66" i="1"/>
  <c r="W76" i="1"/>
  <c r="W88" i="1" s="1"/>
  <c r="X57" i="1"/>
  <c r="X62" i="1"/>
  <c r="X34" i="1"/>
  <c r="X75" i="1"/>
  <c r="X76" i="1" s="1"/>
  <c r="X81" i="1"/>
  <c r="X82" i="1" s="1"/>
  <c r="X83" i="1"/>
  <c r="X84" i="1" s="1"/>
  <c r="S27" i="1"/>
  <c r="T27" i="1"/>
  <c r="R27" i="1"/>
  <c r="U27" i="1"/>
  <c r="V27" i="1"/>
  <c r="N30" i="1"/>
  <c r="T29" i="1"/>
  <c r="O30" i="1"/>
  <c r="O31" i="1" s="1"/>
  <c r="T32" i="1"/>
  <c r="T33" i="1" s="1"/>
  <c r="R29" i="1"/>
  <c r="S30" i="1"/>
  <c r="S32" i="1"/>
  <c r="S33" i="1" s="1"/>
  <c r="Q30" i="1"/>
  <c r="Q31" i="1" s="1"/>
  <c r="S29" i="1"/>
  <c r="R32" i="1"/>
  <c r="R33" i="1" s="1"/>
  <c r="R30" i="1"/>
  <c r="P30" i="1"/>
  <c r="P31" i="1" s="1"/>
  <c r="T30" i="1"/>
  <c r="Y24" i="1"/>
  <c r="X43" i="1"/>
  <c r="X45" i="1"/>
  <c r="X25" i="1"/>
  <c r="X26" i="1"/>
  <c r="X39" i="1"/>
  <c r="X36" i="1"/>
  <c r="X38" i="1"/>
  <c r="X42" i="1"/>
  <c r="X37" i="1"/>
  <c r="Y34" i="1"/>
  <c r="Y57" i="1"/>
  <c r="Y53" i="1"/>
  <c r="Y62" i="1"/>
  <c r="Y83" i="1"/>
  <c r="Y84" i="1" s="1"/>
  <c r="Y61" i="1"/>
  <c r="Y54" i="1"/>
  <c r="Y59" i="1"/>
  <c r="Y75" i="1"/>
  <c r="Y65" i="1"/>
  <c r="Y21" i="1"/>
  <c r="Y77" i="1"/>
  <c r="Y78" i="1" s="1"/>
  <c r="Y68" i="1"/>
  <c r="Y67" i="1"/>
  <c r="Y66" i="1"/>
  <c r="Y60" i="1"/>
  <c r="S31" i="1" l="1"/>
  <c r="R31" i="1"/>
  <c r="M31" i="1"/>
  <c r="M22" i="1" s="1"/>
  <c r="M23" i="1" s="1"/>
  <c r="Q22" i="1"/>
  <c r="Q23" i="1" s="1"/>
  <c r="X70" i="1"/>
  <c r="X71" i="1"/>
  <c r="Y64" i="1"/>
  <c r="Y63" i="1"/>
  <c r="Y79" i="1"/>
  <c r="Y80" i="1" s="1"/>
  <c r="Y85" i="1"/>
  <c r="Y58" i="1"/>
  <c r="Z20" i="1"/>
  <c r="Z83" i="1" s="1"/>
  <c r="Z84" i="1" s="1"/>
  <c r="Y28" i="1"/>
  <c r="Y81" i="1"/>
  <c r="Y82" i="1" s="1"/>
  <c r="Y52" i="1"/>
  <c r="Y69" i="1"/>
  <c r="Y56" i="1"/>
  <c r="T31" i="1"/>
  <c r="T22" i="1" s="1"/>
  <c r="T23" i="1" s="1"/>
  <c r="L22" i="1"/>
  <c r="L23" i="1" s="1"/>
  <c r="X87" i="1"/>
  <c r="X88" i="1"/>
  <c r="N31" i="1"/>
  <c r="N22" i="1" s="1"/>
  <c r="N23" i="1" s="1"/>
  <c r="S22" i="1"/>
  <c r="S23" i="1" s="1"/>
  <c r="O22" i="1"/>
  <c r="O23" i="1" s="1"/>
  <c r="P22" i="1"/>
  <c r="P23" i="1" s="1"/>
  <c r="R22" i="1"/>
  <c r="R23" i="1" s="1"/>
  <c r="Y45" i="1"/>
  <c r="Y43" i="1"/>
  <c r="Y25" i="1"/>
  <c r="Y26" i="1"/>
  <c r="Y36" i="1"/>
  <c r="Y38" i="1"/>
  <c r="Y42" i="1"/>
  <c r="Y37" i="1"/>
  <c r="Y39" i="1"/>
  <c r="Z34" i="1"/>
  <c r="AA20" i="1"/>
  <c r="Y76" i="1"/>
  <c r="Y87" i="1"/>
  <c r="Z75" i="1"/>
  <c r="Z21" i="1"/>
  <c r="W27" i="1" l="1"/>
  <c r="X35" i="1"/>
  <c r="Z81" i="1"/>
  <c r="Z82" i="1" s="1"/>
  <c r="Z67" i="1"/>
  <c r="Z59" i="1"/>
  <c r="Z62" i="1"/>
  <c r="Z77" i="1"/>
  <c r="Z78" i="1" s="1"/>
  <c r="Z85" i="1"/>
  <c r="Z53" i="1"/>
  <c r="Y71" i="1"/>
  <c r="Y70" i="1"/>
  <c r="Z52" i="1"/>
  <c r="Z66" i="1"/>
  <c r="Z55" i="1"/>
  <c r="Z69" i="1"/>
  <c r="Z68" i="1"/>
  <c r="Z61" i="1"/>
  <c r="Z54" i="1"/>
  <c r="Z64" i="1"/>
  <c r="Z58" i="1"/>
  <c r="Z57" i="1"/>
  <c r="Z56" i="1"/>
  <c r="Z63" i="1"/>
  <c r="Z65" i="1"/>
  <c r="Y88" i="1"/>
  <c r="Z28" i="1"/>
  <c r="Z60" i="1"/>
  <c r="Z24" i="1"/>
  <c r="Z25" i="1" s="1"/>
  <c r="Z79" i="1"/>
  <c r="Z80" i="1" s="1"/>
  <c r="AA24" i="1"/>
  <c r="AA26" i="1" s="1"/>
  <c r="AA28" i="1"/>
  <c r="Z45" i="1"/>
  <c r="Z43" i="1"/>
  <c r="Z42" i="1"/>
  <c r="Z37" i="1"/>
  <c r="Z36" i="1"/>
  <c r="Z38" i="1"/>
  <c r="Z39" i="1"/>
  <c r="AA34" i="1"/>
  <c r="AB20" i="1"/>
  <c r="AC20" i="1" s="1"/>
  <c r="AA75" i="1"/>
  <c r="AA81" i="1"/>
  <c r="AA82" i="1" s="1"/>
  <c r="AA77" i="1"/>
  <c r="AA78" i="1" s="1"/>
  <c r="AA21" i="1"/>
  <c r="AA83" i="1"/>
  <c r="AA84" i="1" s="1"/>
  <c r="AA79" i="1"/>
  <c r="AA80" i="1" s="1"/>
  <c r="AA85" i="1"/>
  <c r="AA54" i="1"/>
  <c r="AA55" i="1"/>
  <c r="AA61" i="1"/>
  <c r="AA56" i="1"/>
  <c r="AA69" i="1"/>
  <c r="AA60" i="1"/>
  <c r="AA68" i="1"/>
  <c r="AA66" i="1"/>
  <c r="AA52" i="1"/>
  <c r="AA57" i="1"/>
  <c r="AA67" i="1"/>
  <c r="AA62" i="1"/>
  <c r="AA53" i="1"/>
  <c r="AA63" i="1"/>
  <c r="AA64" i="1"/>
  <c r="AA58" i="1"/>
  <c r="AA65" i="1"/>
  <c r="AA59" i="1"/>
  <c r="Z76" i="1"/>
  <c r="Z70" i="1" l="1"/>
  <c r="Z71" i="1"/>
  <c r="AC54" i="1"/>
  <c r="AC58" i="1"/>
  <c r="AC62" i="1"/>
  <c r="AC66" i="1"/>
  <c r="AC77" i="1"/>
  <c r="AC78" i="1" s="1"/>
  <c r="AC81" i="1"/>
  <c r="AC82" i="1" s="1"/>
  <c r="AC85" i="1"/>
  <c r="AC59" i="1"/>
  <c r="AC67" i="1"/>
  <c r="AC34" i="1"/>
  <c r="AC61" i="1"/>
  <c r="AC55" i="1"/>
  <c r="AC63" i="1"/>
  <c r="AC65" i="1"/>
  <c r="AC28" i="1"/>
  <c r="AC53" i="1"/>
  <c r="AD20" i="1"/>
  <c r="AC21" i="1"/>
  <c r="AC52" i="1"/>
  <c r="AC56" i="1"/>
  <c r="AC60" i="1"/>
  <c r="AC64" i="1"/>
  <c r="AC68" i="1"/>
  <c r="AC75" i="1"/>
  <c r="AC79" i="1"/>
  <c r="AC80" i="1" s="1"/>
  <c r="AC83" i="1"/>
  <c r="AC84" i="1" s="1"/>
  <c r="AC57" i="1"/>
  <c r="AC69" i="1"/>
  <c r="Z26" i="1"/>
  <c r="Z87" i="1"/>
  <c r="Z88" i="1"/>
  <c r="V29" i="1"/>
  <c r="W29" i="1"/>
  <c r="U29" i="1"/>
  <c r="U32" i="1"/>
  <c r="U33" i="1" s="1"/>
  <c r="U30" i="1"/>
  <c r="V30" i="1"/>
  <c r="V32" i="1"/>
  <c r="V33" i="1" s="1"/>
  <c r="W32" i="1"/>
  <c r="W33" i="1" s="1"/>
  <c r="Y35" i="1"/>
  <c r="Z35" i="1"/>
  <c r="AB24" i="1"/>
  <c r="AB26" i="1" s="1"/>
  <c r="AB28" i="1"/>
  <c r="AA43" i="1"/>
  <c r="AA45" i="1"/>
  <c r="AA25" i="1"/>
  <c r="AA37" i="1"/>
  <c r="AA38" i="1"/>
  <c r="AA36" i="1"/>
  <c r="AA39" i="1"/>
  <c r="AA42" i="1"/>
  <c r="AB34" i="1"/>
  <c r="AA76" i="1"/>
  <c r="AA88" i="1" s="1"/>
  <c r="AA87" i="1"/>
  <c r="AA70" i="1"/>
  <c r="AA71" i="1"/>
  <c r="AB75" i="1"/>
  <c r="AB81" i="1"/>
  <c r="AB82" i="1" s="1"/>
  <c r="AB83" i="1"/>
  <c r="AB84" i="1" s="1"/>
  <c r="AB79" i="1"/>
  <c r="AB80" i="1" s="1"/>
  <c r="AB85" i="1"/>
  <c r="AB77" i="1"/>
  <c r="AB78" i="1" s="1"/>
  <c r="AB55" i="1"/>
  <c r="AB21" i="1"/>
  <c r="AB54" i="1"/>
  <c r="AB60" i="1"/>
  <c r="AB56" i="1"/>
  <c r="AB69" i="1"/>
  <c r="AB53" i="1"/>
  <c r="AB61" i="1"/>
  <c r="AB57" i="1"/>
  <c r="AB63" i="1"/>
  <c r="AB68" i="1"/>
  <c r="AB59" i="1"/>
  <c r="AB52" i="1"/>
  <c r="AB62" i="1"/>
  <c r="AB64" i="1"/>
  <c r="AB58" i="1"/>
  <c r="AB67" i="1"/>
  <c r="AB66" i="1"/>
  <c r="AB65" i="1"/>
  <c r="AD69" i="1" l="1"/>
  <c r="AD63" i="1"/>
  <c r="AD34" i="1"/>
  <c r="AD53" i="1"/>
  <c r="AD54" i="1"/>
  <c r="AD58" i="1"/>
  <c r="AD62" i="1"/>
  <c r="AD66" i="1"/>
  <c r="AD77" i="1"/>
  <c r="AD78" i="1" s="1"/>
  <c r="AD81" i="1"/>
  <c r="AD82" i="1" s="1"/>
  <c r="AD85" i="1"/>
  <c r="AD65" i="1"/>
  <c r="AD67" i="1"/>
  <c r="AD28" i="1"/>
  <c r="AE20" i="1"/>
  <c r="AD55" i="1"/>
  <c r="AD59" i="1"/>
  <c r="AD61" i="1"/>
  <c r="AD21" i="1"/>
  <c r="AD52" i="1"/>
  <c r="AD56" i="1"/>
  <c r="AD60" i="1"/>
  <c r="AD64" i="1"/>
  <c r="AD68" i="1"/>
  <c r="AD75" i="1"/>
  <c r="AD79" i="1"/>
  <c r="AD80" i="1" s="1"/>
  <c r="AD83" i="1"/>
  <c r="AD84" i="1" s="1"/>
  <c r="AD57" i="1"/>
  <c r="AC25" i="1"/>
  <c r="AC26" i="1"/>
  <c r="AC71" i="1"/>
  <c r="AC70" i="1"/>
  <c r="AC87" i="1"/>
  <c r="AC76" i="1"/>
  <c r="AC88" i="1" s="1"/>
  <c r="V31" i="1"/>
  <c r="V22" i="1" s="1"/>
  <c r="V23" i="1" s="1"/>
  <c r="U31" i="1"/>
  <c r="U22" i="1" s="1"/>
  <c r="U23" i="1" s="1"/>
  <c r="Y29" i="1"/>
  <c r="AB43" i="1"/>
  <c r="AB45" i="1"/>
  <c r="AB25" i="1"/>
  <c r="AB38" i="1"/>
  <c r="AB37" i="1"/>
  <c r="AB36" i="1"/>
  <c r="AB39" i="1"/>
  <c r="AB42" i="1"/>
  <c r="AB71" i="1"/>
  <c r="AB87" i="1"/>
  <c r="AB76" i="1"/>
  <c r="AB88" i="1" s="1"/>
  <c r="AB70" i="1"/>
  <c r="AD35" i="1" l="1"/>
  <c r="AC35" i="1"/>
  <c r="AD71" i="1"/>
  <c r="AD70" i="1"/>
  <c r="AC32" i="1"/>
  <c r="AC33" i="1" s="1"/>
  <c r="AC30" i="1"/>
  <c r="AD32" i="1"/>
  <c r="AD33" i="1" s="1"/>
  <c r="AE32" i="1"/>
  <c r="AE33" i="1" s="1"/>
  <c r="AE31" i="1" s="1"/>
  <c r="AE35" i="1"/>
  <c r="AD30" i="1"/>
  <c r="AC27" i="1"/>
  <c r="AE53" i="1"/>
  <c r="AE57" i="1"/>
  <c r="AE61" i="1"/>
  <c r="AE65" i="1"/>
  <c r="AE69" i="1"/>
  <c r="AE56" i="1"/>
  <c r="AE77" i="1"/>
  <c r="AE78" i="1" s="1"/>
  <c r="AE85" i="1"/>
  <c r="AE60" i="1"/>
  <c r="AE75" i="1"/>
  <c r="AE81" i="1"/>
  <c r="AE82" i="1" s="1"/>
  <c r="AE52" i="1"/>
  <c r="AE68" i="1"/>
  <c r="AE83" i="1"/>
  <c r="AE84" i="1" s="1"/>
  <c r="AE54" i="1"/>
  <c r="AE58" i="1"/>
  <c r="AE62" i="1"/>
  <c r="AE66" i="1"/>
  <c r="AE28" i="1"/>
  <c r="AE29" i="1" s="1"/>
  <c r="AE55" i="1"/>
  <c r="AE59" i="1"/>
  <c r="AE63" i="1"/>
  <c r="AE67" i="1"/>
  <c r="AE21" i="1"/>
  <c r="AE64" i="1"/>
  <c r="AE79" i="1"/>
  <c r="AE80" i="1" s="1"/>
  <c r="AE34" i="1"/>
  <c r="AD29" i="1"/>
  <c r="AD87" i="1"/>
  <c r="AD76" i="1"/>
  <c r="AD88" i="1" s="1"/>
  <c r="AD26" i="1"/>
  <c r="AD27" i="1" s="1"/>
  <c r="AD25" i="1"/>
  <c r="AC29" i="1"/>
  <c r="X27" i="1"/>
  <c r="Y27" i="1"/>
  <c r="W30" i="1"/>
  <c r="W31" i="1" s="1"/>
  <c r="W22" i="1" s="1"/>
  <c r="W23" i="1" s="1"/>
  <c r="Z27" i="1"/>
  <c r="X32" i="1"/>
  <c r="X33" i="1" s="1"/>
  <c r="AA27" i="1"/>
  <c r="Y32" i="1"/>
  <c r="Y33" i="1" s="1"/>
  <c r="X29" i="1"/>
  <c r="AG30" i="1"/>
  <c r="AB27" i="1"/>
  <c r="AH35" i="1"/>
  <c r="AD31" i="1" l="1"/>
  <c r="AE70" i="1"/>
  <c r="AC31" i="1"/>
  <c r="AC22" i="1" s="1"/>
  <c r="AC23" i="1" s="1"/>
  <c r="AE71" i="1"/>
  <c r="AE76" i="1"/>
  <c r="AE88" i="1" s="1"/>
  <c r="AE87" i="1"/>
  <c r="AE25" i="1"/>
  <c r="AE26" i="1"/>
  <c r="AE27" i="1" s="1"/>
  <c r="AD22" i="1"/>
  <c r="AD23" i="1" s="1"/>
  <c r="AE22" i="1"/>
  <c r="AE23" i="1" s="1"/>
  <c r="AH32" i="1"/>
  <c r="AH33" i="1" s="1"/>
  <c r="AG32" i="1"/>
  <c r="AG33" i="1" s="1"/>
  <c r="AG31" i="1" s="1"/>
  <c r="AF30" i="1"/>
  <c r="AG35" i="1"/>
  <c r="AF35" i="1"/>
  <c r="AF20" i="1"/>
  <c r="AF25" i="1" s="1"/>
  <c r="AF32" i="1"/>
  <c r="AF33" i="1" s="1"/>
  <c r="X30" i="1"/>
  <c r="X31" i="1" s="1"/>
  <c r="AA35" i="1"/>
  <c r="AB35" i="1"/>
  <c r="AF31" i="1" l="1"/>
  <c r="AF75" i="1"/>
  <c r="AF81" i="1"/>
  <c r="AF82" i="1" s="1"/>
  <c r="AF66" i="1"/>
  <c r="AF85" i="1"/>
  <c r="AF53" i="1"/>
  <c r="AF55" i="1"/>
  <c r="AF57" i="1"/>
  <c r="AF59" i="1"/>
  <c r="AF61" i="1"/>
  <c r="AF63" i="1"/>
  <c r="AF65" i="1"/>
  <c r="AF67" i="1"/>
  <c r="AF69" i="1"/>
  <c r="AF56" i="1"/>
  <c r="AF68" i="1"/>
  <c r="AF52" i="1"/>
  <c r="AF60" i="1"/>
  <c r="AF79" i="1"/>
  <c r="AF80" i="1" s="1"/>
  <c r="AF83" i="1"/>
  <c r="AF84" i="1" s="1"/>
  <c r="AF58" i="1"/>
  <c r="AF54" i="1"/>
  <c r="AF77" i="1"/>
  <c r="AF78" i="1" s="1"/>
  <c r="AF64" i="1"/>
  <c r="AF62" i="1"/>
  <c r="X22" i="1"/>
  <c r="X23" i="1" s="1"/>
  <c r="AB29" i="1"/>
  <c r="AF21" i="1"/>
  <c r="AF28" i="1"/>
  <c r="AF34" i="1"/>
  <c r="AG20" i="1"/>
  <c r="AA30" i="1"/>
  <c r="Y30" i="1"/>
  <c r="Y31" i="1" s="1"/>
  <c r="AA29" i="1"/>
  <c r="Z30" i="1"/>
  <c r="AB32" i="1"/>
  <c r="AB33" i="1" s="1"/>
  <c r="Z32" i="1"/>
  <c r="Z33" i="1" s="1"/>
  <c r="Z29" i="1"/>
  <c r="AB30" i="1"/>
  <c r="AA32" i="1"/>
  <c r="AA33" i="1" s="1"/>
  <c r="AI43" i="1"/>
  <c r="AH30" i="1" s="1"/>
  <c r="AH31" i="1" s="1"/>
  <c r="AI42" i="1"/>
  <c r="AF70" i="1" l="1"/>
  <c r="AF71" i="1"/>
  <c r="AF76" i="1"/>
  <c r="AF88" i="1" s="1"/>
  <c r="AF87" i="1"/>
  <c r="AF26" i="1"/>
  <c r="AF27" i="1" s="1"/>
  <c r="AG75" i="1"/>
  <c r="AG81" i="1"/>
  <c r="AG82" i="1" s="1"/>
  <c r="AG79" i="1"/>
  <c r="AG80" i="1" s="1"/>
  <c r="AG85" i="1"/>
  <c r="AG53" i="1"/>
  <c r="AG55" i="1"/>
  <c r="AG57" i="1"/>
  <c r="AG59" i="1"/>
  <c r="AG61" i="1"/>
  <c r="AG63" i="1"/>
  <c r="AG65" i="1"/>
  <c r="AG67" i="1"/>
  <c r="AG69" i="1"/>
  <c r="AG83" i="1"/>
  <c r="AG84" i="1" s="1"/>
  <c r="AG52" i="1"/>
  <c r="AG54" i="1"/>
  <c r="AG56" i="1"/>
  <c r="AG58" i="1"/>
  <c r="AG60" i="1"/>
  <c r="AG62" i="1"/>
  <c r="AG64" i="1"/>
  <c r="AG66" i="1"/>
  <c r="AG68" i="1"/>
  <c r="AG77" i="1"/>
  <c r="AG78" i="1" s="1"/>
  <c r="Y22" i="1"/>
  <c r="Y23" i="1" s="1"/>
  <c r="AG21" i="1"/>
  <c r="AG34" i="1"/>
  <c r="AG28" i="1"/>
  <c r="AG29" i="1" s="1"/>
  <c r="AG22" i="1" s="1"/>
  <c r="AG23" i="1" s="1"/>
  <c r="AF29" i="1"/>
  <c r="AF22" i="1" s="1"/>
  <c r="AF23" i="1" s="1"/>
  <c r="AA31" i="1"/>
  <c r="AA22" i="1" s="1"/>
  <c r="AA23" i="1" s="1"/>
  <c r="Z31" i="1"/>
  <c r="Z22" i="1" s="1"/>
  <c r="Z23" i="1" s="1"/>
  <c r="AB31" i="1"/>
  <c r="AB22" i="1" s="1"/>
  <c r="AB23" i="1" s="1"/>
  <c r="AG71" i="1" l="1"/>
  <c r="AH77" i="1"/>
  <c r="AH78" i="1" s="1"/>
  <c r="AH75" i="1"/>
  <c r="AH81" i="1"/>
  <c r="AH82" i="1" s="1"/>
  <c r="AH85" i="1"/>
  <c r="AH53" i="1"/>
  <c r="AH55" i="1"/>
  <c r="AH57" i="1"/>
  <c r="AH59" i="1"/>
  <c r="AH61" i="1"/>
  <c r="AH63" i="1"/>
  <c r="AH65" i="1"/>
  <c r="AH67" i="1"/>
  <c r="AH69" i="1"/>
  <c r="AH79" i="1"/>
  <c r="AH80" i="1" s="1"/>
  <c r="AH83" i="1"/>
  <c r="AH84" i="1" s="1"/>
  <c r="AH52" i="1"/>
  <c r="AH54" i="1"/>
  <c r="AH56" i="1"/>
  <c r="AH58" i="1"/>
  <c r="AH60" i="1"/>
  <c r="AH62" i="1"/>
  <c r="AH64" i="1"/>
  <c r="AH66" i="1"/>
  <c r="AH68" i="1"/>
  <c r="AG26" i="1"/>
  <c r="AG27" i="1" s="1"/>
  <c r="AG25" i="1"/>
  <c r="AG76" i="1"/>
  <c r="AG88" i="1" s="1"/>
  <c r="AG87" i="1"/>
  <c r="AG70" i="1"/>
  <c r="AH34" i="1"/>
  <c r="AH28" i="1"/>
  <c r="AH29" i="1" l="1"/>
  <c r="AH22" i="1" s="1"/>
  <c r="AH23" i="1" s="1"/>
  <c r="AH70" i="1"/>
  <c r="AH71" i="1"/>
  <c r="AH25" i="1"/>
  <c r="AH26" i="1"/>
  <c r="AH27" i="1" s="1"/>
  <c r="AH76" i="1"/>
  <c r="AH88" i="1" s="1"/>
  <c r="AH87" i="1"/>
</calcChain>
</file>

<file path=xl/sharedStrings.xml><?xml version="1.0" encoding="utf-8"?>
<sst xmlns="http://schemas.openxmlformats.org/spreadsheetml/2006/main" count="276" uniqueCount="205">
  <si>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</si>
  <si>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</si>
  <si>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</si>
  <si>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</si>
  <si>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</si>
  <si>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</si>
  <si>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</si>
  <si>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</si>
  <si>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</si>
  <si>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</si>
  <si>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</si>
  <si>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</si>
  <si>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</si>
  <si>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</si>
  <si>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</si>
  <si>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</si>
  <si>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</si>
  <si>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</si>
  <si>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</si>
  <si>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</si>
  <si>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</si>
  <si>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</si>
  <si>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</si>
  <si>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</si>
  <si>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</si>
  <si>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</si>
  <si>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</si>
  <si>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</si>
  <si>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</si>
  <si>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</si>
  <si>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</si>
  <si>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</si>
  <si>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</si>
  <si>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</si>
  <si>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</si>
  <si>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</si>
  <si>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</si>
  <si>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</si>
  <si>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</si>
  <si>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</si>
  <si>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</si>
  <si>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</si>
  <si>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</si>
  <si>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</si>
  <si>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</si>
  <si>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</si>
  <si>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</si>
  <si>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</si>
  <si>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</si>
  <si>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</si>
  <si>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</si>
  <si>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</si>
  <si>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</si>
  <si>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</si>
  <si>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</si>
  <si>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</si>
  <si>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</si>
  <si>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</si>
  <si>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</si>
  <si>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</si>
  <si>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</si>
  <si>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</si>
  <si>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</si>
  <si>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</si>
  <si>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</si>
  <si>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</si>
  <si>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</si>
  <si>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</si>
  <si>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</si>
  <si>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</si>
  <si>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</si>
  <si>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</si>
  <si>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</si>
  <si>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</si>
  <si>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</si>
  <si>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</si>
  <si>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</si>
  <si>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</si>
  <si>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</si>
  <si>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</si>
  <si>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</si>
  <si>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</si>
  <si>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</si>
  <si>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</si>
  <si>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</si>
  <si>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</si>
  <si>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</si>
  <si>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</si>
  <si>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</si>
  <si>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</si>
  <si>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</si>
  <si>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</si>
  <si>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</si>
  <si>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</si>
  <si>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</si>
  <si>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</si>
  <si>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</si>
  <si>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</si>
  <si>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</si>
  <si>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</si>
  <si>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</si>
  <si>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</si>
  <si>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</si>
  <si>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</si>
  <si>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</si>
  <si>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</si>
  <si>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</si>
  <si>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</si>
  <si>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</si>
  <si>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</si>
  <si>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</si>
  <si>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</si>
  <si>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</si>
  <si>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</si>
  <si>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</si>
  <si>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</si>
  <si>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</si>
  <si>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</si>
  <si>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</si>
  <si>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</si>
  <si>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</si>
  <si>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</si>
  <si>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</si>
  <si>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</si>
  <si>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</si>
  <si>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</si>
  <si>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</si>
  <si>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</si>
  <si>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</si>
  <si>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</si>
  <si>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</si>
  <si>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</si>
  <si>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</si>
  <si>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</si>
  <si>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</si>
  <si>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</si>
  <si>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</si>
  <si>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</si>
  <si>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</si>
  <si>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</si>
  <si>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</si>
  <si>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</si>
  <si>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</si>
  <si>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</si>
  <si>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</si>
  <si>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</si>
  <si>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</si>
  <si>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</si>
  <si>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</si>
  <si>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</si>
  <si>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</si>
  <si>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</si>
  <si>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</si>
  <si>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</si>
  <si>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</si>
  <si>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</si>
  <si>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</si>
  <si>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</si>
  <si>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</si>
  <si>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</si>
  <si>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</si>
  <si>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</si>
  <si>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</si>
  <si>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</si>
  <si>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</si>
  <si>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</si>
  <si>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</si>
  <si>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</si>
  <si>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</si>
  <si>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</si>
  <si>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</si>
  <si>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</si>
  <si>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</si>
  <si>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</si>
  <si>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</si>
  <si>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</si>
  <si>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</si>
  <si>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</si>
  <si>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</si>
  <si>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</si>
  <si>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</si>
  <si>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</si>
  <si>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</si>
  <si>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</si>
  <si>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</si>
  <si>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</si>
  <si>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</si>
  <si>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</si>
  <si>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</si>
  <si>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</si>
  <si>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</si>
  <si>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</si>
  <si>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</si>
  <si>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</si>
  <si>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</si>
  <si>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</si>
  <si>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</si>
  <si>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</si>
  <si>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</si>
  <si>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</si>
  <si>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</si>
  <si>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</si>
  <si>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</si>
  <si>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</si>
  <si>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Travel restrictions 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</si>
</sst>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0" borderId="0" xfId="0" applyNumberFormat="1"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274.72527472527469</c:v>
                </c:pt>
                <c:pt idx="1">
                  <c:v>549.45054945054937</c:v>
                </c:pt>
                <c:pt idx="2">
                  <c:v>1098.9010989010987</c:v>
                </c:pt>
                <c:pt idx="3">
                  <c:v>2197.8021978021975</c:v>
                </c:pt>
                <c:pt idx="4">
                  <c:v>4395.604395604395</c:v>
                </c:pt>
                <c:pt idx="5">
                  <c:v>8791.20879120879</c:v>
                </c:pt>
                <c:pt idx="6">
                  <c:v>17582.41758241758</c:v>
                </c:pt>
                <c:pt idx="7">
                  <c:v>35164.83516483516</c:v>
                </c:pt>
                <c:pt idx="8">
                  <c:v>70329.67032967032</c:v>
                </c:pt>
                <c:pt idx="9">
                  <c:v>140659.34065934064</c:v>
                </c:pt>
                <c:pt idx="10">
                  <c:v>281318.68131868128</c:v>
                </c:pt>
                <c:pt idx="11">
                  <c:v>562637.36263736256</c:v>
                </c:pt>
                <c:pt idx="12">
                  <c:v>1125274.7252747251</c:v>
                </c:pt>
                <c:pt idx="13">
                  <c:v>2250549.4505494502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259.34065934065927</c:v>
                </c:pt>
                <c:pt idx="1">
                  <c:v>518.68131868131854</c:v>
                </c:pt>
                <c:pt idx="2">
                  <c:v>1037.3626373626371</c:v>
                </c:pt>
                <c:pt idx="3">
                  <c:v>2074.7252747252742</c:v>
                </c:pt>
                <c:pt idx="4">
                  <c:v>4149.4505494505484</c:v>
                </c:pt>
                <c:pt idx="5">
                  <c:v>8298.9010989010967</c:v>
                </c:pt>
                <c:pt idx="6">
                  <c:v>16597.802197802193</c:v>
                </c:pt>
                <c:pt idx="7">
                  <c:v>33195.604395604387</c:v>
                </c:pt>
                <c:pt idx="8">
                  <c:v>66391.208791208774</c:v>
                </c:pt>
                <c:pt idx="9">
                  <c:v>132782.41758241755</c:v>
                </c:pt>
                <c:pt idx="10">
                  <c:v>265564.83516483509</c:v>
                </c:pt>
                <c:pt idx="11">
                  <c:v>531129.67032967019</c:v>
                </c:pt>
                <c:pt idx="12">
                  <c:v>1062259.3406593404</c:v>
                </c:pt>
                <c:pt idx="13">
                  <c:v>2124518.6813186808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Projections!$J$20:$AH$20</c15:sqref>
                  </c15:fullRef>
                </c:ext>
              </c:extLst>
              <c:f>Projections!$J$20:$T$20</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4-8BCC-427B-903C-670C749E04E9}"/>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Projections!$J$44:$AH$44</c15:sqref>
                  </c15:fullRef>
                </c:ext>
              </c:extLst>
              <c:f>Projections!$J$44:$T$44</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Projections!$J$34:$AH$34</c15:sqref>
                  </c15:fullRef>
                </c:ext>
              </c:extLst>
              <c:f>Projections!$J$34:$T$34</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50BE-40C1-B679-81AF0BCE3FCD}"/>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Projections!$J$48:$AH$48</c15:sqref>
                  </c15:fullRef>
                </c:ext>
              </c:extLst>
              <c:f>Projections!$J$48:$T$48</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0-A3C2-4B4C-996C-CDB1A252886F}"/>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1-A3C2-4B4C-996C-CDB1A252886F}"/>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2-A3C2-4B4C-996C-CDB1A252886F}"/>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A3C2-4B4C-996C-CDB1A252886F}"/>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Projections!$J$20:$AH$20</c15:sqref>
                  </c15:fullRef>
                </c:ext>
              </c:extLst>
              <c:f>Projections!$J$20:$T$20</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0-9DE3-43B6-B60B-9B4AA4851702}"/>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Projections!$J$44:$AH$44</c15:sqref>
                  </c15:fullRef>
                </c:ext>
              </c:extLst>
              <c:f>Projections!$J$44:$T$44</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Projections!$J$34:$AH$34</c15:sqref>
                  </c15:fullRef>
                </c:ext>
              </c:extLst>
              <c:f>Projections!$J$34:$T$34</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FE1B-4946-A476-7952C5C71231}"/>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Projections!$J$19:$T$19</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Projections!$J$48:$AH$48</c15:sqref>
                  </c15:fullRef>
                </c:ext>
              </c:extLst>
              <c:f>Projections!$J$48:$T$48</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15.384615384615415</c:v>
                </c:pt>
                <c:pt idx="3">
                  <c:v>30.76923076923083</c:v>
                </c:pt>
                <c:pt idx="4">
                  <c:v>49.846153846153946</c:v>
                </c:pt>
                <c:pt idx="5">
                  <c:v>99.692307692307892</c:v>
                </c:pt>
                <c:pt idx="6">
                  <c:v>199.38461538461578</c:v>
                </c:pt>
                <c:pt idx="7">
                  <c:v>386.30769230769306</c:v>
                </c:pt>
                <c:pt idx="8">
                  <c:v>772.61538461538612</c:v>
                </c:pt>
                <c:pt idx="9">
                  <c:v>1545.2307692307722</c:v>
                </c:pt>
                <c:pt idx="10">
                  <c:v>3090.4615384615445</c:v>
                </c:pt>
                <c:pt idx="11">
                  <c:v>6180.923076923089</c:v>
                </c:pt>
                <c:pt idx="12">
                  <c:v>12374.307692307717</c:v>
                </c:pt>
                <c:pt idx="13">
                  <c:v>24748.615384615434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11.692307692307716</c:v>
                </c:pt>
                <c:pt idx="5">
                  <c:v>23.384615384615433</c:v>
                </c:pt>
                <c:pt idx="6">
                  <c:v>34.461538461538531</c:v>
                </c:pt>
                <c:pt idx="7">
                  <c:v>68.923076923077062</c:v>
                </c:pt>
                <c:pt idx="8">
                  <c:v>137.84615384615412</c:v>
                </c:pt>
                <c:pt idx="9">
                  <c:v>275.69230769230825</c:v>
                </c:pt>
                <c:pt idx="10">
                  <c:v>551.3846153846165</c:v>
                </c:pt>
                <c:pt idx="11">
                  <c:v>1102.769230769233</c:v>
                </c:pt>
                <c:pt idx="12">
                  <c:v>2205.538461538466</c:v>
                </c:pt>
                <c:pt idx="13">
                  <c:v>4411.076923076932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12.307692307692333</c:v>
                </c:pt>
                <c:pt idx="7">
                  <c:v>24.615384615384666</c:v>
                </c:pt>
                <c:pt idx="8">
                  <c:v>49.230769230769333</c:v>
                </c:pt>
                <c:pt idx="9">
                  <c:v>98.461538461538666</c:v>
                </c:pt>
                <c:pt idx="10">
                  <c:v>196.92307692307733</c:v>
                </c:pt>
                <c:pt idx="11">
                  <c:v>393.84615384615466</c:v>
                </c:pt>
                <c:pt idx="12">
                  <c:v>787.69230769230933</c:v>
                </c:pt>
                <c:pt idx="13">
                  <c:v>1575.3846153846187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274.72527472527469</c:v>
                </c:pt>
                <c:pt idx="1">
                  <c:v>549.45054945054937</c:v>
                </c:pt>
                <c:pt idx="2">
                  <c:v>1098.9010989010987</c:v>
                </c:pt>
                <c:pt idx="3">
                  <c:v>2197.8021978021975</c:v>
                </c:pt>
                <c:pt idx="4">
                  <c:v>4395.604395604395</c:v>
                </c:pt>
                <c:pt idx="5">
                  <c:v>8791.20879120879</c:v>
                </c:pt>
                <c:pt idx="6">
                  <c:v>17582.41758241758</c:v>
                </c:pt>
                <c:pt idx="7">
                  <c:v>35164.83516483516</c:v>
                </c:pt>
                <c:pt idx="8">
                  <c:v>70329.67032967032</c:v>
                </c:pt>
                <c:pt idx="9">
                  <c:v>140659.34065934064</c:v>
                </c:pt>
                <c:pt idx="10">
                  <c:v>281318.68131868128</c:v>
                </c:pt>
                <c:pt idx="11">
                  <c:v>562637.36263736256</c:v>
                </c:pt>
                <c:pt idx="12">
                  <c:v>1125274.7252747251</c:v>
                </c:pt>
                <c:pt idx="13">
                  <c:v>2250549.4505494502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259.34065934065927</c:v>
                </c:pt>
                <c:pt idx="1">
                  <c:v>518.68131868131854</c:v>
                </c:pt>
                <c:pt idx="2">
                  <c:v>1037.3626373626371</c:v>
                </c:pt>
                <c:pt idx="3">
                  <c:v>2074.7252747252742</c:v>
                </c:pt>
                <c:pt idx="4">
                  <c:v>4149.4505494505484</c:v>
                </c:pt>
                <c:pt idx="5">
                  <c:v>8298.9010989010967</c:v>
                </c:pt>
                <c:pt idx="6">
                  <c:v>16597.802197802193</c:v>
                </c:pt>
                <c:pt idx="7">
                  <c:v>33195.604395604387</c:v>
                </c:pt>
                <c:pt idx="8">
                  <c:v>66391.208791208774</c:v>
                </c:pt>
                <c:pt idx="9">
                  <c:v>132782.41758241755</c:v>
                </c:pt>
                <c:pt idx="10">
                  <c:v>265564.83516483509</c:v>
                </c:pt>
                <c:pt idx="11">
                  <c:v>531129.67032967019</c:v>
                </c:pt>
                <c:pt idx="12">
                  <c:v>1062259.3406593404</c:v>
                </c:pt>
                <c:pt idx="13">
                  <c:v>2124518.6813186808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15.384615384615396</c:v>
                </c:pt>
                <c:pt idx="4">
                  <c:v>30.769230769230791</c:v>
                </c:pt>
                <c:pt idx="5">
                  <c:v>61.538461538461583</c:v>
                </c:pt>
                <c:pt idx="6">
                  <c:v>123.07692307692317</c:v>
                </c:pt>
                <c:pt idx="7">
                  <c:v>246.15384615384633</c:v>
                </c:pt>
                <c:pt idx="8">
                  <c:v>492.30769230769266</c:v>
                </c:pt>
                <c:pt idx="9">
                  <c:v>984.61538461538532</c:v>
                </c:pt>
                <c:pt idx="10">
                  <c:v>1969.2307692307706</c:v>
                </c:pt>
                <c:pt idx="11">
                  <c:v>3938.4615384615413</c:v>
                </c:pt>
                <c:pt idx="12">
                  <c:v>7876.9230769230826</c:v>
                </c:pt>
                <c:pt idx="13">
                  <c:v>15753.846153846165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15.384615384615415</c:v>
                </c:pt>
                <c:pt idx="3">
                  <c:v>30.76923076923083</c:v>
                </c:pt>
                <c:pt idx="4">
                  <c:v>49.846153846153946</c:v>
                </c:pt>
                <c:pt idx="5">
                  <c:v>99.692307692307892</c:v>
                </c:pt>
                <c:pt idx="6">
                  <c:v>199.38461538461578</c:v>
                </c:pt>
                <c:pt idx="7">
                  <c:v>386.30769230769306</c:v>
                </c:pt>
                <c:pt idx="8">
                  <c:v>772.61538461538612</c:v>
                </c:pt>
                <c:pt idx="9">
                  <c:v>1545.2307692307722</c:v>
                </c:pt>
                <c:pt idx="10">
                  <c:v>3090.4615384615445</c:v>
                </c:pt>
                <c:pt idx="11">
                  <c:v>6180.923076923089</c:v>
                </c:pt>
                <c:pt idx="12">
                  <c:v>12374.307692307717</c:v>
                </c:pt>
                <c:pt idx="13">
                  <c:v>24748.615384615434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11.692307692307716</c:v>
                </c:pt>
                <c:pt idx="5">
                  <c:v>23.384615384615433</c:v>
                </c:pt>
                <c:pt idx="6">
                  <c:v>34.461538461538531</c:v>
                </c:pt>
                <c:pt idx="7">
                  <c:v>68.923076923077062</c:v>
                </c:pt>
                <c:pt idx="8">
                  <c:v>137.84615384615412</c:v>
                </c:pt>
                <c:pt idx="9">
                  <c:v>275.69230769230825</c:v>
                </c:pt>
                <c:pt idx="10">
                  <c:v>551.3846153846165</c:v>
                </c:pt>
                <c:pt idx="11">
                  <c:v>1102.769230769233</c:v>
                </c:pt>
                <c:pt idx="12">
                  <c:v>2205.538461538466</c:v>
                </c:pt>
                <c:pt idx="13">
                  <c:v>4411.076923076932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43926.832545949073</c:v>
                </c:pt>
                <c:pt idx="1">
                  <c:v>43929.832545949073</c:v>
                </c:pt>
                <c:pt idx="2">
                  <c:v>43932.832545949073</c:v>
                </c:pt>
                <c:pt idx="3">
                  <c:v>43935.832545949073</c:v>
                </c:pt>
                <c:pt idx="4">
                  <c:v>43938.832545949073</c:v>
                </c:pt>
                <c:pt idx="5">
                  <c:v>43941.832545949073</c:v>
                </c:pt>
                <c:pt idx="6">
                  <c:v>43944.832545949073</c:v>
                </c:pt>
                <c:pt idx="7">
                  <c:v>43947.832545949073</c:v>
                </c:pt>
                <c:pt idx="8">
                  <c:v>43950.832545949073</c:v>
                </c:pt>
                <c:pt idx="9">
                  <c:v>43953.832545949073</c:v>
                </c:pt>
                <c:pt idx="10">
                  <c:v>43956.832545949073</c:v>
                </c:pt>
                <c:pt idx="11">
                  <c:v>43959.832545949073</c:v>
                </c:pt>
                <c:pt idx="12">
                  <c:v>43962.832545949073</c:v>
                </c:pt>
                <c:pt idx="13">
                  <c:v>43965.832545949073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12.307692307692333</c:v>
                </c:pt>
                <c:pt idx="7">
                  <c:v>24.615384615384666</c:v>
                </c:pt>
                <c:pt idx="8">
                  <c:v>49.230769230769333</c:v>
                </c:pt>
                <c:pt idx="9">
                  <c:v>98.461538461538666</c:v>
                </c:pt>
                <c:pt idx="10">
                  <c:v>196.92307692307733</c:v>
                </c:pt>
                <c:pt idx="11">
                  <c:v>393.84615384615466</c:v>
                </c:pt>
                <c:pt idx="12">
                  <c:v>787.69230769230933</c:v>
                </c:pt>
                <c:pt idx="13">
                  <c:v>1575.3846153846187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3-5231-4BE2-97ED-54F0C3DB105C}"/>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2-9381-4A4E-BB43-DCD8EC2F4E00}"/>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0-9381-4A4E-BB43-DCD8EC2F4E00}"/>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9381-4A4E-BB43-DCD8EC2F4E00}"/>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6</xdr:row>
      <xdr:rowOff>180975</xdr:rowOff>
    </xdr:from>
    <xdr:to>
      <xdr:col>47</xdr:col>
      <xdr:colOff>600075</xdr:colOff>
      <xdr:row>33</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78</xdr:row>
      <xdr:rowOff>5814</xdr:rowOff>
    </xdr:from>
    <xdr:to>
      <xdr:col>48</xdr:col>
      <xdr:colOff>19050</xdr:colOff>
      <xdr:row>101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102</xdr:row>
      <xdr:rowOff>10576</xdr:rowOff>
    </xdr:from>
    <xdr:to>
      <xdr:col>48</xdr:col>
      <xdr:colOff>28575</xdr:colOff>
      <xdr:row>118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119</xdr:row>
      <xdr:rowOff>182025</xdr:rowOff>
    </xdr:from>
    <xdr:to>
      <xdr:col>48</xdr:col>
      <xdr:colOff>38099</xdr:colOff>
      <xdr:row>135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137</xdr:row>
      <xdr:rowOff>10575</xdr:rowOff>
    </xdr:from>
    <xdr:to>
      <xdr:col>48</xdr:col>
      <xdr:colOff>19050</xdr:colOff>
      <xdr:row>156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40</xdr:row>
      <xdr:rowOff>4762</xdr:rowOff>
    </xdr:from>
    <xdr:to>
      <xdr:col>48</xdr:col>
      <xdr:colOff>19050</xdr:colOff>
      <xdr:row>60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61</xdr:row>
      <xdr:rowOff>2721</xdr:rowOff>
    </xdr:from>
    <xdr:to>
      <xdr:col>47</xdr:col>
      <xdr:colOff>590550</xdr:colOff>
      <xdr:row>76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6</xdr:row>
      <xdr:rowOff>180975</xdr:rowOff>
    </xdr:from>
    <xdr:to>
      <xdr:col>61</xdr:col>
      <xdr:colOff>161925</xdr:colOff>
      <xdr:row>33</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77</xdr:row>
      <xdr:rowOff>177264</xdr:rowOff>
    </xdr:from>
    <xdr:to>
      <xdr:col>61</xdr:col>
      <xdr:colOff>209550</xdr:colOff>
      <xdr:row>100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102</xdr:row>
      <xdr:rowOff>1051</xdr:rowOff>
    </xdr:from>
    <xdr:to>
      <xdr:col>61</xdr:col>
      <xdr:colOff>200025</xdr:colOff>
      <xdr:row>118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119</xdr:row>
      <xdr:rowOff>182025</xdr:rowOff>
    </xdr:from>
    <xdr:to>
      <xdr:col>61</xdr:col>
      <xdr:colOff>219074</xdr:colOff>
      <xdr:row>135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137</xdr:row>
      <xdr:rowOff>10575</xdr:rowOff>
    </xdr:from>
    <xdr:to>
      <xdr:col>61</xdr:col>
      <xdr:colOff>228600</xdr:colOff>
      <xdr:row>156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40</xdr:row>
      <xdr:rowOff>14287</xdr:rowOff>
    </xdr:from>
    <xdr:to>
      <xdr:col>61</xdr:col>
      <xdr:colOff>200025</xdr:colOff>
      <xdr:row>60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61</xdr:row>
      <xdr:rowOff>2721</xdr:rowOff>
    </xdr:from>
    <xdr:to>
      <xdr:col>61</xdr:col>
      <xdr:colOff>161925</xdr:colOff>
      <xdr:row>76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/Projections!B8</f>
        <v>274.72527472527469</v>
      </c>
      <c r="C17" s="100"/>
      <c r="D17" s="101"/>
      <c r="E17" s="95">
        <f>B17*2</f>
        <v>549.45054945054937</v>
      </c>
      <c r="F17" s="100"/>
      <c r="G17" s="95"/>
      <c r="H17" s="95">
        <f>E17*2</f>
        <v>1098.9010989010987</v>
      </c>
      <c r="I17" s="100"/>
      <c r="J17" s="101"/>
      <c r="K17" s="92">
        <f>H17*2</f>
        <v>2197.8021978021975</v>
      </c>
      <c r="L17" s="90"/>
      <c r="M17" s="91"/>
      <c r="N17" s="92">
        <f>K17*2</f>
        <v>4395.604395604395</v>
      </c>
      <c r="O17" s="90"/>
      <c r="P17" s="91"/>
      <c r="Q17" s="92">
        <f>N17*2</f>
        <v>8791.20879120879</v>
      </c>
      <c r="R17" s="90"/>
      <c r="S17" s="91"/>
      <c r="T17" s="92">
        <f>Q17*2</f>
        <v>17582.41758241758</v>
      </c>
      <c r="U17" s="90"/>
      <c r="V17" s="91"/>
      <c r="W17" s="92">
        <f>T17*2</f>
        <v>35164.83516483516</v>
      </c>
      <c r="X17" s="90"/>
      <c r="Y17" s="91"/>
      <c r="Z17" s="92">
        <f>W17*2</f>
        <v>70329.67032967032</v>
      </c>
      <c r="AA17" s="90"/>
      <c r="AB17" s="91"/>
      <c r="AC17" s="92">
        <f>Z17*2</f>
        <v>140659.34065934064</v>
      </c>
      <c r="AD17" s="90"/>
      <c r="AE17" s="91"/>
      <c r="AF17" s="92">
        <f>AC17*2</f>
        <v>281318.68131868128</v>
      </c>
      <c r="AG17" s="90"/>
      <c r="AH17" s="91"/>
      <c r="AI17" s="92">
        <f>AF17*2</f>
        <v>562637.36263736256</v>
      </c>
      <c r="AJ17" s="90"/>
      <c r="AK17" s="91"/>
      <c r="AL17" s="92">
        <f>AI17*2</f>
        <v>1125274.7252747251</v>
      </c>
      <c r="AM17" s="90"/>
      <c r="AN17" s="91"/>
      <c r="AO17" s="92">
        <f>AL17*2</f>
        <v>2250549.4505494502</v>
      </c>
      <c r="AP17" s="95"/>
      <c r="AQ17" t="s">
        <v>90</v>
      </c>
    </row>
    <row r="18" spans="1:43" s="69" customFormat="1" x14ac:dyDescent="0.25">
      <c r="A18" t="s">
        <v>165</v>
      </c>
      <c r="B18" s="85">
        <f>B17*$E$34</f>
        <v>259.34065934065927</v>
      </c>
      <c r="C18" s="102"/>
      <c r="D18" s="102"/>
      <c r="E18" s="102">
        <f>E17*$E$34</f>
        <v>518.68131868131854</v>
      </c>
      <c r="F18" s="102"/>
      <c r="G18" s="33"/>
      <c r="H18" s="102">
        <f>H17*$E$34</f>
        <v>1037.3626373626371</v>
      </c>
      <c r="I18" s="102"/>
      <c r="J18" s="102"/>
      <c r="K18" s="102">
        <f>K17*$E$34</f>
        <v>2074.7252747252742</v>
      </c>
      <c r="L18" s="102"/>
      <c r="M18" s="102"/>
      <c r="N18" s="102">
        <f>N17*$E$34</f>
        <v>4149.4505494505484</v>
      </c>
      <c r="O18" s="102"/>
      <c r="P18" s="102"/>
      <c r="Q18" s="102">
        <f>Q17*$E$34</f>
        <v>8298.9010989010967</v>
      </c>
      <c r="R18" s="102"/>
      <c r="S18" s="102"/>
      <c r="T18" s="102">
        <f>T17*$E$34</f>
        <v>16597.802197802193</v>
      </c>
      <c r="U18" s="102"/>
      <c r="V18" s="102"/>
      <c r="W18" s="102">
        <f>W17*$E$34</f>
        <v>33195.604395604387</v>
      </c>
      <c r="X18" s="102"/>
      <c r="Y18" s="102"/>
      <c r="Z18" s="102">
        <f>Z17*$E$34</f>
        <v>66391.208791208774</v>
      </c>
      <c r="AA18" s="102"/>
      <c r="AB18" s="102"/>
      <c r="AC18" s="102">
        <f>AC17*$E$34</f>
        <v>132782.41758241755</v>
      </c>
      <c r="AD18" s="102"/>
      <c r="AE18" s="102"/>
      <c r="AF18" s="102">
        <f>AF17*$E$34</f>
        <v>265564.83516483509</v>
      </c>
      <c r="AG18" s="102"/>
      <c r="AH18" s="102"/>
      <c r="AI18" s="102">
        <f>AI17*$E$34</f>
        <v>531129.67032967019</v>
      </c>
      <c r="AJ18" s="102"/>
      <c r="AK18" s="102"/>
      <c r="AL18" s="102">
        <f>AL17*$E$34</f>
        <v>1062259.3406593404</v>
      </c>
      <c r="AM18" s="102"/>
      <c r="AN18" s="102"/>
      <c r="AO18" s="102">
        <f>AO17*$E$34</f>
        <v>2124518.6813186808</v>
      </c>
      <c r="AP18" s="33"/>
      <c r="AQ18" t="s">
        <v>165</v>
      </c>
    </row>
    <row r="19" spans="1:43" s="69" customFormat="1" x14ac:dyDescent="0.25">
      <c r="A19" t="s">
        <v>167</v>
      </c>
      <c r="B19" s="83">
        <f>B18</f>
        <v>259.34065934065927</v>
      </c>
      <c r="C19" s="84"/>
      <c r="D19" s="84"/>
      <c r="E19" s="84">
        <f>E18</f>
        <v>518.68131868131854</v>
      </c>
      <c r="F19" s="84"/>
      <c r="G19" s="34"/>
      <c r="H19" s="84">
        <f>H18</f>
        <v>1037.3626373626371</v>
      </c>
      <c r="I19" s="84"/>
      <c r="J19" s="84"/>
      <c r="K19" s="84">
        <f>K18</f>
        <v>2074.7252747252742</v>
      </c>
      <c r="L19" s="84"/>
      <c r="M19" s="84"/>
      <c r="N19" s="84">
        <f>N18</f>
        <v>4149.4505494505484</v>
      </c>
      <c r="O19" s="84"/>
      <c r="P19" s="84"/>
      <c r="Q19" s="84">
        <f>Q18</f>
        <v>8298.9010989010967</v>
      </c>
      <c r="R19" s="84"/>
      <c r="S19" s="84"/>
      <c r="T19" s="84">
        <f>T18</f>
        <v>16597.802197802193</v>
      </c>
      <c r="U19" s="84"/>
      <c r="V19" s="84"/>
      <c r="W19" s="118">
        <f>W18-B18</f>
        <v>32936.263736263725</v>
      </c>
      <c r="X19" s="118"/>
      <c r="Y19" s="118"/>
      <c r="Z19" s="118">
        <f>Z18-E18</f>
        <v>65872.52747252745</v>
      </c>
      <c r="AA19" s="118"/>
      <c r="AB19" s="118"/>
      <c r="AC19" s="118">
        <f>AC18-H18</f>
        <v>131745.0549450549</v>
      </c>
      <c r="AD19" s="118"/>
      <c r="AE19" s="118"/>
      <c r="AF19" s="118">
        <f>AF18-K18</f>
        <v>263490.1098901098</v>
      </c>
      <c r="AG19" s="118"/>
      <c r="AH19" s="118"/>
      <c r="AI19" s="118">
        <f>AI18-N18</f>
        <v>526980.2197802196</v>
      </c>
      <c r="AJ19" s="118"/>
      <c r="AK19" s="118"/>
      <c r="AL19" s="118">
        <f>AL18-Q18</f>
        <v>1053960.4395604392</v>
      </c>
      <c r="AM19" s="118"/>
      <c r="AN19" s="118"/>
      <c r="AO19" s="118">
        <f>AO18-T18</f>
        <v>2107920.8791208784</v>
      </c>
      <c r="AP19" s="119"/>
      <c r="AQ19" t="s">
        <v>167</v>
      </c>
    </row>
    <row r="20" spans="1:43" s="69" customFormat="1" x14ac:dyDescent="0.25">
      <c r="A20" t="s">
        <v>91</v>
      </c>
      <c r="B20" s="85"/>
      <c r="C20" s="102"/>
      <c r="D20" s="102"/>
      <c r="E20" s="102"/>
      <c r="F20" s="102"/>
      <c r="G20" s="33"/>
      <c r="H20" s="103"/>
      <c r="I20" s="104"/>
      <c r="J20" s="105"/>
      <c r="K20" s="128">
        <f>B17*(1-$E$34)</f>
        <v>15.384615384615396</v>
      </c>
      <c r="L20" s="125"/>
      <c r="M20" s="126"/>
      <c r="N20" s="127">
        <f>E17*(1-$E$34)</f>
        <v>30.769230769230791</v>
      </c>
      <c r="O20" s="125"/>
      <c r="P20" s="126"/>
      <c r="Q20" s="127">
        <f>H17*(1-$E$34)</f>
        <v>61.538461538461583</v>
      </c>
      <c r="R20" s="125"/>
      <c r="S20" s="126"/>
      <c r="T20" s="127">
        <f>K17*(1-$E$34)</f>
        <v>123.07692307692317</v>
      </c>
      <c r="U20" s="125"/>
      <c r="V20" s="126"/>
      <c r="W20" s="127">
        <f>N17*(1-$E$34)</f>
        <v>246.15384615384633</v>
      </c>
      <c r="X20" s="125"/>
      <c r="Y20" s="126"/>
      <c r="Z20" s="127">
        <f>Q17*(1-$E$34)</f>
        <v>492.30769230769266</v>
      </c>
      <c r="AA20" s="125"/>
      <c r="AB20" s="126"/>
      <c r="AC20" s="127">
        <f>T17*(1-$E$34)</f>
        <v>984.61538461538532</v>
      </c>
      <c r="AD20" s="125"/>
      <c r="AE20" s="126"/>
      <c r="AF20" s="127">
        <f>W17*(1-$E$34)</f>
        <v>1969.2307692307706</v>
      </c>
      <c r="AG20" s="125"/>
      <c r="AH20" s="126"/>
      <c r="AI20" s="127">
        <f>Z17*(1-$E$34)</f>
        <v>3938.4615384615413</v>
      </c>
      <c r="AJ20" s="125"/>
      <c r="AK20" s="126"/>
      <c r="AL20" s="127">
        <f>AC17*(1-$E$34)</f>
        <v>7876.9230769230826</v>
      </c>
      <c r="AM20" s="125"/>
      <c r="AN20" s="126"/>
      <c r="AO20" s="127">
        <f>AF17*(1-$E$34)</f>
        <v>15753.846153846165</v>
      </c>
      <c r="AP20" s="76"/>
      <c r="AQ20" t="s">
        <v>91</v>
      </c>
    </row>
    <row r="21" spans="1:43" s="69" customFormat="1" x14ac:dyDescent="0.25">
      <c r="A21" s="69" t="s">
        <v>72</v>
      </c>
      <c r="B21" s="77"/>
      <c r="C21" s="78"/>
      <c r="D21" s="78"/>
      <c r="E21" s="78"/>
      <c r="F21" s="78"/>
      <c r="G21" s="79"/>
      <c r="H21" s="120">
        <f>B17-B18</f>
        <v>15.384615384615415</v>
      </c>
      <c r="I21" s="120"/>
      <c r="J21" s="120"/>
      <c r="K21" s="120">
        <f>E17-E18</f>
        <v>30.76923076923083</v>
      </c>
      <c r="L21" s="120"/>
      <c r="M21" s="120"/>
      <c r="N21" s="120">
        <f>(H17-H18)*$E$35</f>
        <v>49.846153846153946</v>
      </c>
      <c r="O21" s="120"/>
      <c r="P21" s="120"/>
      <c r="Q21" s="120">
        <f>(K17-K18)*$E$35</f>
        <v>99.692307692307892</v>
      </c>
      <c r="R21" s="120"/>
      <c r="S21" s="120"/>
      <c r="T21" s="120">
        <f>(N17-N18)*$E$35</f>
        <v>199.38461538461578</v>
      </c>
      <c r="U21" s="120"/>
      <c r="V21" s="120"/>
      <c r="W21" s="120">
        <f>((Q17-Q18)*$E$35)-(H21*$E$35)</f>
        <v>386.30769230769306</v>
      </c>
      <c r="X21" s="120"/>
      <c r="Y21" s="120"/>
      <c r="Z21" s="120">
        <f>((T17-T18)*$E$35)-(K21*$E$35)</f>
        <v>772.61538461538612</v>
      </c>
      <c r="AA21" s="120"/>
      <c r="AB21" s="120"/>
      <c r="AC21" s="120">
        <f>((W17-W18)*$E$35)-N21</f>
        <v>1545.2307692307722</v>
      </c>
      <c r="AD21" s="120"/>
      <c r="AE21" s="120"/>
      <c r="AF21" s="120">
        <f>((Z17-Z18)*$E$35)-Q21</f>
        <v>3090.4615384615445</v>
      </c>
      <c r="AG21" s="120"/>
      <c r="AH21" s="120"/>
      <c r="AI21" s="120">
        <f>((AC17-AC18)*$E$35)-T21</f>
        <v>6180.923076923089</v>
      </c>
      <c r="AJ21" s="120"/>
      <c r="AK21" s="120"/>
      <c r="AL21" s="120">
        <f>((AF17-AF18)*$E$35)-W21</f>
        <v>12374.307692307717</v>
      </c>
      <c r="AM21" s="120"/>
      <c r="AN21" s="120"/>
      <c r="AO21" s="120">
        <f>((AI17-AI18)*$E$35)-Z21</f>
        <v>24748.615384615434</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11.692307692307716</v>
      </c>
      <c r="O22" s="122"/>
      <c r="P22" s="122"/>
      <c r="Q22" s="122">
        <f>(K17-K18)*($E$36+$E$37)</f>
        <v>23.384615384615433</v>
      </c>
      <c r="R22" s="122"/>
      <c r="S22" s="122"/>
      <c r="T22" s="122">
        <f>(N17-N18)*$E$36</f>
        <v>34.461538461538531</v>
      </c>
      <c r="U22" s="122"/>
      <c r="V22" s="122"/>
      <c r="W22" s="122">
        <f>(Q17-Q18)*$E$36</f>
        <v>68.923076923077062</v>
      </c>
      <c r="X22" s="122"/>
      <c r="Y22" s="122"/>
      <c r="Z22" s="122">
        <f>(T17-T18)*$E$36</f>
        <v>137.84615384615412</v>
      </c>
      <c r="AA22" s="122"/>
      <c r="AB22" s="122"/>
      <c r="AC22" s="122">
        <f>(W17-W18)*$E$36</f>
        <v>275.69230769230825</v>
      </c>
      <c r="AD22" s="122"/>
      <c r="AE22" s="122"/>
      <c r="AF22" s="122">
        <f>(Z17-Z18)*$E$36</f>
        <v>551.3846153846165</v>
      </c>
      <c r="AG22" s="122"/>
      <c r="AH22" s="122"/>
      <c r="AI22" s="122">
        <f>(AC17-AC18)*$E$36</f>
        <v>1102.769230769233</v>
      </c>
      <c r="AJ22" s="122"/>
      <c r="AK22" s="122"/>
      <c r="AL22" s="122">
        <f>(AF17-AF18)*$E$36</f>
        <v>2205.538461538466</v>
      </c>
      <c r="AM22" s="122"/>
      <c r="AN22" s="122"/>
      <c r="AO22" s="122">
        <f>(AI17-AI18)*$E$36</f>
        <v>4411.076923076932</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12.307692307692333</v>
      </c>
      <c r="U23" s="40"/>
      <c r="V23" s="40"/>
      <c r="W23" s="40">
        <f>(Q17-Q18)*$E$37</f>
        <v>24.615384615384666</v>
      </c>
      <c r="X23" s="40"/>
      <c r="Y23" s="40"/>
      <c r="Z23" s="40">
        <f>(T17-T18)*$E$37</f>
        <v>49.230769230769333</v>
      </c>
      <c r="AA23" s="40"/>
      <c r="AB23" s="40"/>
      <c r="AC23" s="40">
        <f>(W17-W18)*$E$37</f>
        <v>98.461538461538666</v>
      </c>
      <c r="AD23" s="40"/>
      <c r="AE23" s="40"/>
      <c r="AF23" s="40">
        <f>(Z17-Z18)*$E$37</f>
        <v>196.92307692307733</v>
      </c>
      <c r="AG23" s="40"/>
      <c r="AH23" s="40"/>
      <c r="AI23" s="40">
        <f>(AC17-AC18)*$E$37</f>
        <v>393.84615384615466</v>
      </c>
      <c r="AJ23" s="40"/>
      <c r="AK23" s="40"/>
      <c r="AL23" s="40">
        <f>(AF17-AF18)*$E$37</f>
        <v>787.69230769230933</v>
      </c>
      <c r="AM23" s="40"/>
      <c r="AN23" s="40"/>
      <c r="AO23" s="40">
        <f>(AI17-AI18)*$E$37</f>
        <v>1575.3846153846187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12.461538461538487</v>
      </c>
      <c r="W24" s="106"/>
      <c r="X24" s="106"/>
      <c r="Y24" s="106">
        <f>K21*$E$35</f>
        <v>24.923076923076973</v>
      </c>
      <c r="Z24" s="106"/>
      <c r="AA24" s="106"/>
      <c r="AB24" s="106">
        <f>N21</f>
        <v>49.846153846153946</v>
      </c>
      <c r="AC24" s="106"/>
      <c r="AD24" s="106"/>
      <c r="AE24" s="106">
        <f>Q21</f>
        <v>99.692307692307892</v>
      </c>
      <c r="AF24" s="106"/>
      <c r="AG24" s="106"/>
      <c r="AH24" s="106">
        <f>T21</f>
        <v>199.38461538461578</v>
      </c>
      <c r="AI24" s="106"/>
      <c r="AJ24" s="106"/>
      <c r="AK24" s="106">
        <f>W21</f>
        <v>386.30769230769306</v>
      </c>
      <c r="AL24" s="106"/>
      <c r="AM24" s="106"/>
      <c r="AN24" s="106">
        <f>Z21</f>
        <v>772.61538461538612</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43926.832545949073</v>
      </c>
      <c r="C26" s="87">
        <f t="shared" ca="1" si="0"/>
        <v>43927.832545949073</v>
      </c>
      <c r="D26" s="87">
        <f t="shared" ca="1" si="0"/>
        <v>43928.832545949073</v>
      </c>
      <c r="E26" s="87">
        <f t="shared" ca="1" si="0"/>
        <v>43929.832545949073</v>
      </c>
      <c r="F26" s="87">
        <f t="shared" ca="1" si="0"/>
        <v>43930.832545949073</v>
      </c>
      <c r="G26" s="88">
        <f t="shared" ca="1" si="0"/>
        <v>43931.832545949073</v>
      </c>
      <c r="H26" s="87">
        <f t="shared" ref="H26:U26" ca="1" si="1">I26-1</f>
        <v>43932.832545949073</v>
      </c>
      <c r="I26" s="87">
        <f t="shared" ca="1" si="1"/>
        <v>43933.832545949073</v>
      </c>
      <c r="J26" s="87">
        <f t="shared" ca="1" si="1"/>
        <v>43934.832545949073</v>
      </c>
      <c r="K26" s="87">
        <f t="shared" ca="1" si="1"/>
        <v>43935.832545949073</v>
      </c>
      <c r="L26" s="87">
        <f t="shared" ca="1" si="1"/>
        <v>43936.832545949073</v>
      </c>
      <c r="M26" s="87">
        <f t="shared" ca="1" si="1"/>
        <v>43937.832545949073</v>
      </c>
      <c r="N26" s="88">
        <f t="shared" ca="1" si="1"/>
        <v>43938.832545949073</v>
      </c>
      <c r="O26" s="86">
        <f t="shared" ca="1" si="1"/>
        <v>43939.832545949073</v>
      </c>
      <c r="P26" s="87">
        <f t="shared" ca="1" si="1"/>
        <v>43940.832545949073</v>
      </c>
      <c r="Q26" s="87">
        <f t="shared" ca="1" si="1"/>
        <v>43941.832545949073</v>
      </c>
      <c r="R26" s="87">
        <f t="shared" ca="1" si="1"/>
        <v>43942.832545949073</v>
      </c>
      <c r="S26" s="87">
        <f t="shared" ca="1" si="1"/>
        <v>43943.832545949073</v>
      </c>
      <c r="T26" s="87">
        <f t="shared" ca="1" si="1"/>
        <v>43944.832545949073</v>
      </c>
      <c r="U26" s="88">
        <f t="shared" ca="1" si="1"/>
        <v>43945.832545949073</v>
      </c>
      <c r="V26" s="86">
        <f t="shared" ref="V26:AN26" ca="1" si="2">W26-1</f>
        <v>43946.832545949073</v>
      </c>
      <c r="W26" s="87">
        <f t="shared" ca="1" si="2"/>
        <v>43947.832545949073</v>
      </c>
      <c r="X26" s="87">
        <f t="shared" ca="1" si="2"/>
        <v>43948.832545949073</v>
      </c>
      <c r="Y26" s="87">
        <f t="shared" ca="1" si="2"/>
        <v>43949.832545949073</v>
      </c>
      <c r="Z26" s="87">
        <f t="shared" ca="1" si="2"/>
        <v>43950.832545949073</v>
      </c>
      <c r="AA26" s="87">
        <f t="shared" ca="1" si="2"/>
        <v>43951.832545949073</v>
      </c>
      <c r="AB26" s="88">
        <f t="shared" ca="1" si="2"/>
        <v>43952.832545949073</v>
      </c>
      <c r="AC26" s="86">
        <f t="shared" ca="1" si="2"/>
        <v>43953.832545949073</v>
      </c>
      <c r="AD26" s="87">
        <f t="shared" ca="1" si="2"/>
        <v>43954.832545949073</v>
      </c>
      <c r="AE26" s="87">
        <f t="shared" ca="1" si="2"/>
        <v>43955.832545949073</v>
      </c>
      <c r="AF26" s="87">
        <f t="shared" ca="1" si="2"/>
        <v>43956.832545949073</v>
      </c>
      <c r="AG26" s="87">
        <f t="shared" ca="1" si="2"/>
        <v>43957.832545949073</v>
      </c>
      <c r="AH26" s="87">
        <f t="shared" ca="1" si="2"/>
        <v>43958.832545949073</v>
      </c>
      <c r="AI26" s="88">
        <f t="shared" ca="1" si="2"/>
        <v>43959.832545949073</v>
      </c>
      <c r="AJ26" s="86">
        <f t="shared" ca="1" si="2"/>
        <v>43960.832545949073</v>
      </c>
      <c r="AK26" s="87">
        <f t="shared" ca="1" si="2"/>
        <v>43961.832545949073</v>
      </c>
      <c r="AL26" s="87">
        <f t="shared" ca="1" si="2"/>
        <v>43962.832545949073</v>
      </c>
      <c r="AM26" s="87">
        <f t="shared" ca="1" si="2"/>
        <v>43963.832545949073</v>
      </c>
      <c r="AN26" s="87">
        <f t="shared" ca="1" si="2"/>
        <v>43964.832545949073</v>
      </c>
      <c r="AO26" s="87">
        <f ca="1">AP26-1</f>
        <v>43965.832545949073</v>
      </c>
      <c r="AP26" s="108">
        <f ca="1">NOW()</f>
        <v>43966.832545949073</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84" t="s">
        <v>66</v>
      </c>
      <c r="C28" s="285"/>
      <c r="D28" s="285"/>
      <c r="E28" s="285"/>
      <c r="F28" s="285"/>
      <c r="G28" s="286"/>
      <c r="H28" s="290" t="s">
        <v>55</v>
      </c>
      <c r="I28" s="290"/>
      <c r="J28" s="290"/>
      <c r="K28" s="290"/>
      <c r="L28" s="290"/>
      <c r="M28" s="290"/>
      <c r="N28" s="291"/>
      <c r="O28" s="289" t="s">
        <v>56</v>
      </c>
      <c r="P28" s="290"/>
      <c r="Q28" s="290"/>
      <c r="R28" s="290"/>
      <c r="S28" s="290"/>
      <c r="T28" s="290"/>
      <c r="U28" s="291"/>
      <c r="V28" s="289" t="s">
        <v>57</v>
      </c>
      <c r="W28" s="290"/>
      <c r="X28" s="290"/>
      <c r="Y28" s="290"/>
      <c r="Z28" s="290"/>
      <c r="AA28" s="290"/>
      <c r="AB28" s="291"/>
      <c r="AC28" s="289" t="s">
        <v>58</v>
      </c>
      <c r="AD28" s="290"/>
      <c r="AE28" s="290"/>
      <c r="AF28" s="290"/>
      <c r="AG28" s="290"/>
      <c r="AH28" s="290"/>
      <c r="AI28" s="291"/>
      <c r="AJ28" s="289" t="s">
        <v>59</v>
      </c>
      <c r="AK28" s="290"/>
      <c r="AL28" s="290"/>
      <c r="AM28" s="290"/>
      <c r="AN28" s="290"/>
      <c r="AO28" s="290"/>
      <c r="AP28" s="291"/>
    </row>
    <row r="29" spans="1:43" x14ac:dyDescent="0.25">
      <c r="B29" s="51" t="s">
        <v>78</v>
      </c>
      <c r="C29" s="93"/>
      <c r="D29" s="93"/>
      <c r="E29" s="93"/>
      <c r="F29" s="93"/>
      <c r="G29" s="94"/>
      <c r="H29" s="287" t="s">
        <v>65</v>
      </c>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c r="AK29" s="287"/>
      <c r="AL29" s="287"/>
      <c r="AM29" s="287"/>
      <c r="AN29" s="287"/>
      <c r="AO29" s="287"/>
      <c r="AP29" s="288"/>
    </row>
    <row r="31" spans="1:43" x14ac:dyDescent="0.25">
      <c r="B31" s="57" t="s">
        <v>67</v>
      </c>
      <c r="C31" s="135" t="s">
        <v>188</v>
      </c>
      <c r="D31" s="9"/>
      <c r="E31" s="82">
        <f>VLOOKUP(C31,B43:C54,2,FALSE)</f>
        <v>6.5000000000000002E-2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1-Projections!B8</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Projections!B15</f>
        <v>6.5000000000000002E-2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5"/>
  <sheetViews>
    <sheetView tabSelected="1" zoomScaleNormal="100" workbookViewId="0">
      <selection activeCell="X8" sqref="X8"/>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4" x14ac:dyDescent="0.25">
      <c r="C1" t="s">
        <v>116</v>
      </c>
    </row>
    <row r="2" spans="1:34" x14ac:dyDescent="0.25">
      <c r="C2" s="149">
        <v>43866</v>
      </c>
      <c r="D2" s="150" t="s">
        <v>195</v>
      </c>
      <c r="E2" s="150"/>
      <c r="F2" s="150"/>
      <c r="G2" s="150"/>
      <c r="H2" s="149">
        <v>43880</v>
      </c>
      <c r="S2" s="69"/>
      <c r="T2" s="69"/>
      <c r="U2" s="69"/>
      <c r="V2" s="69"/>
      <c r="W2" s="69"/>
      <c r="X2" s="69"/>
      <c r="Y2" s="69"/>
      <c r="Z2" s="69"/>
    </row>
    <row r="3" spans="1:34" s="69" customFormat="1" x14ac:dyDescent="0.25">
      <c r="C3" s="156"/>
      <c r="D3" s="156">
        <v>43876</v>
      </c>
      <c r="E3" s="69" t="s">
        <v>203</v>
      </c>
      <c r="H3" s="156"/>
    </row>
    <row r="4" spans="1:34" x14ac:dyDescent="0.25">
      <c r="D4" s="156"/>
      <c r="E4" s="270">
        <v>43878</v>
      </c>
      <c r="F4" s="271" t="s">
        <v>197</v>
      </c>
      <c r="G4" s="271"/>
      <c r="H4" s="271"/>
      <c r="I4" s="270">
        <v>43892</v>
      </c>
      <c r="S4" s="69"/>
      <c r="T4" s="69"/>
      <c r="U4" s="69"/>
      <c r="V4" s="69"/>
      <c r="W4" s="69"/>
      <c r="X4" s="69"/>
      <c r="Y4" s="69"/>
      <c r="Z4" s="69"/>
    </row>
    <row r="5" spans="1:34" x14ac:dyDescent="0.25">
      <c r="D5" s="69"/>
      <c r="E5" s="69"/>
      <c r="F5" s="156"/>
      <c r="G5" s="156"/>
      <c r="H5" s="156"/>
      <c r="I5" s="156"/>
      <c r="J5" s="69"/>
      <c r="K5" s="149">
        <v>43905</v>
      </c>
      <c r="L5" s="150" t="s">
        <v>192</v>
      </c>
      <c r="M5" s="150"/>
      <c r="N5" s="149"/>
      <c r="O5" s="149">
        <v>43919</v>
      </c>
      <c r="P5" s="69"/>
      <c r="Q5" s="69"/>
      <c r="R5" s="69"/>
      <c r="S5" s="156"/>
      <c r="T5" s="69"/>
      <c r="U5" s="69"/>
      <c r="V5" s="69"/>
      <c r="W5" s="69"/>
      <c r="X5" s="69"/>
      <c r="Y5" s="69"/>
      <c r="Z5" s="69"/>
    </row>
    <row r="6" spans="1:34" x14ac:dyDescent="0.25">
      <c r="D6" s="69"/>
      <c r="E6" s="69"/>
      <c r="F6" s="69"/>
      <c r="G6" s="69"/>
      <c r="H6" s="69"/>
      <c r="I6" s="69"/>
      <c r="J6" s="156"/>
      <c r="K6" s="69"/>
      <c r="L6" s="149">
        <v>43910</v>
      </c>
      <c r="M6" s="150" t="s">
        <v>194</v>
      </c>
      <c r="N6" s="150"/>
      <c r="O6" s="149">
        <v>43924</v>
      </c>
      <c r="S6" s="69"/>
      <c r="T6" s="69"/>
      <c r="U6" s="69"/>
      <c r="V6" s="69"/>
      <c r="W6" s="69"/>
      <c r="X6" s="69"/>
      <c r="Y6" s="69"/>
      <c r="Z6" s="69"/>
      <c r="AA6" s="206"/>
    </row>
    <row r="7" spans="1:34" x14ac:dyDescent="0.25">
      <c r="A7" s="57" t="s">
        <v>184</v>
      </c>
      <c r="B7" s="240">
        <v>272886000</v>
      </c>
      <c r="C7" t="s">
        <v>176</v>
      </c>
      <c r="D7" s="69"/>
      <c r="E7" s="69"/>
      <c r="F7" s="69"/>
      <c r="G7" s="69"/>
      <c r="H7" s="156"/>
      <c r="I7" s="69"/>
      <c r="J7" s="69"/>
      <c r="K7" s="69"/>
      <c r="L7" s="156"/>
      <c r="M7" s="156"/>
      <c r="N7" s="69"/>
      <c r="O7" s="149">
        <v>43921</v>
      </c>
      <c r="P7" s="150" t="s">
        <v>191</v>
      </c>
      <c r="Q7" s="150"/>
      <c r="R7" s="149">
        <v>43935</v>
      </c>
      <c r="S7" s="69"/>
      <c r="T7" s="69"/>
      <c r="U7" s="69"/>
      <c r="V7" s="69"/>
      <c r="W7" s="69"/>
      <c r="X7" s="69"/>
      <c r="Y7" s="69"/>
      <c r="Z7" s="69"/>
    </row>
    <row r="8" spans="1:34" x14ac:dyDescent="0.25">
      <c r="A8" s="4" t="s">
        <v>113</v>
      </c>
      <c r="B8" s="247">
        <v>5.6000000000000001E-2</v>
      </c>
      <c r="C8" t="s">
        <v>112</v>
      </c>
      <c r="D8" s="69"/>
      <c r="E8" s="69"/>
      <c r="F8" s="69"/>
      <c r="G8" s="69"/>
      <c r="H8" s="69"/>
      <c r="I8" s="69"/>
      <c r="J8" s="69"/>
      <c r="K8" s="69"/>
      <c r="L8" s="156"/>
      <c r="M8" s="156"/>
      <c r="N8" s="156"/>
      <c r="O8" s="156"/>
      <c r="P8" s="149">
        <v>43931</v>
      </c>
      <c r="Q8" s="149" t="s">
        <v>193</v>
      </c>
      <c r="R8" s="149">
        <v>43945</v>
      </c>
      <c r="S8" s="69"/>
      <c r="T8" s="69"/>
      <c r="U8" s="156"/>
      <c r="V8" s="156"/>
      <c r="W8" s="156"/>
      <c r="X8" s="156"/>
      <c r="Y8" s="69"/>
      <c r="Z8" s="69"/>
    </row>
    <row r="9" spans="1:34" x14ac:dyDescent="0.25">
      <c r="A9" s="37" t="s">
        <v>115</v>
      </c>
      <c r="B9" s="111">
        <v>0.05</v>
      </c>
      <c r="C9" s="248"/>
      <c r="D9" s="69"/>
      <c r="E9" s="69"/>
      <c r="F9" s="69"/>
      <c r="G9" s="69"/>
      <c r="H9" s="69"/>
      <c r="I9" s="69"/>
      <c r="J9" s="69"/>
      <c r="K9" s="69"/>
      <c r="L9" s="69"/>
      <c r="M9" s="69"/>
      <c r="N9" s="156"/>
      <c r="O9" s="47"/>
      <c r="P9" s="47"/>
      <c r="Q9" s="206">
        <v>43934</v>
      </c>
      <c r="R9" t="s">
        <v>202</v>
      </c>
      <c r="S9" s="69"/>
      <c r="T9" s="156"/>
      <c r="U9" s="69"/>
      <c r="V9" s="69"/>
      <c r="W9" s="283"/>
      <c r="X9" s="156"/>
      <c r="Y9" s="69"/>
      <c r="Z9" s="69"/>
    </row>
    <row r="10" spans="1:34" x14ac:dyDescent="0.25">
      <c r="A10" s="4" t="s">
        <v>186</v>
      </c>
      <c r="B10" s="263">
        <v>0.6</v>
      </c>
      <c r="C10" s="64">
        <f>(B7/1000)*B10</f>
        <v>163731.6</v>
      </c>
      <c r="D10" s="69" t="s">
        <v>180</v>
      </c>
      <c r="E10" s="69"/>
      <c r="F10" s="69"/>
      <c r="G10" s="69"/>
      <c r="H10" s="69"/>
      <c r="I10" s="69"/>
      <c r="J10" s="69"/>
      <c r="K10" s="69"/>
      <c r="L10" s="156"/>
      <c r="M10" s="156"/>
      <c r="N10" s="156"/>
      <c r="O10" s="156"/>
      <c r="P10" s="69"/>
      <c r="Q10" s="156">
        <v>43940</v>
      </c>
      <c r="R10" s="156" t="s">
        <v>199</v>
      </c>
      <c r="T10" s="69"/>
      <c r="U10" s="156"/>
      <c r="V10" s="69"/>
      <c r="W10" s="69"/>
      <c r="X10" s="156"/>
      <c r="Y10" s="69"/>
      <c r="Z10" s="69"/>
    </row>
    <row r="11" spans="1:34" x14ac:dyDescent="0.25">
      <c r="A11" s="37" t="s">
        <v>187</v>
      </c>
      <c r="B11" s="249">
        <v>2.7</v>
      </c>
      <c r="C11" s="61">
        <f>(B7/100000)*B11</f>
        <v>7367.9220000000005</v>
      </c>
      <c r="D11" s="158"/>
      <c r="E11" s="69"/>
      <c r="F11" s="69"/>
      <c r="G11" s="69"/>
      <c r="H11" s="69"/>
      <c r="I11" s="69"/>
      <c r="J11" s="69"/>
      <c r="K11" s="69"/>
      <c r="L11" s="69"/>
      <c r="M11" s="69"/>
      <c r="N11" s="69"/>
      <c r="O11" s="156"/>
      <c r="P11" s="69"/>
      <c r="Q11" s="149">
        <v>43944</v>
      </c>
      <c r="R11" s="150" t="s">
        <v>201</v>
      </c>
      <c r="S11" s="149">
        <v>43958</v>
      </c>
      <c r="T11" s="69"/>
      <c r="U11" s="69"/>
      <c r="V11" s="156"/>
      <c r="W11" s="69"/>
      <c r="X11" s="69"/>
      <c r="Y11" s="156"/>
      <c r="Z11" s="69"/>
    </row>
    <row r="12" spans="1:34" x14ac:dyDescent="0.25">
      <c r="A12" s="4" t="s">
        <v>72</v>
      </c>
      <c r="B12" s="109">
        <v>0.81</v>
      </c>
      <c r="C12" s="2"/>
      <c r="D12" s="69"/>
      <c r="E12" s="69"/>
      <c r="F12" s="69"/>
      <c r="G12" s="69"/>
      <c r="H12" s="69"/>
      <c r="I12" s="69"/>
      <c r="J12" s="69"/>
      <c r="K12" s="69"/>
      <c r="L12" s="69"/>
      <c r="M12" s="69"/>
      <c r="N12" s="69"/>
      <c r="O12" s="69"/>
      <c r="P12" s="143"/>
      <c r="Q12" s="156"/>
      <c r="R12" s="270">
        <v>43958</v>
      </c>
      <c r="S12" s="271" t="s">
        <v>204</v>
      </c>
      <c r="T12" s="69"/>
      <c r="U12" s="69"/>
      <c r="V12" s="156"/>
      <c r="W12" s="69"/>
      <c r="X12" s="69"/>
      <c r="Y12" s="69"/>
      <c r="Z12" s="69"/>
    </row>
    <row r="13" spans="1:34" x14ac:dyDescent="0.25">
      <c r="A13" s="41" t="s">
        <v>73</v>
      </c>
      <c r="B13" s="110">
        <v>0.14000000000000001</v>
      </c>
      <c r="C13" s="2"/>
      <c r="D13" s="69"/>
      <c r="E13" s="69"/>
      <c r="F13" s="69"/>
      <c r="G13" s="69"/>
      <c r="H13" s="69"/>
      <c r="I13" s="69"/>
      <c r="J13" s="69"/>
      <c r="K13" s="69"/>
      <c r="L13" s="69"/>
      <c r="M13" s="69"/>
      <c r="N13" s="69"/>
      <c r="O13" s="47"/>
      <c r="P13" s="69"/>
      <c r="Q13" s="269"/>
      <c r="R13" s="220"/>
      <c r="S13" s="156"/>
      <c r="T13" s="69"/>
      <c r="U13" s="69"/>
      <c r="V13" s="283"/>
      <c r="W13" s="69"/>
      <c r="X13" s="69"/>
      <c r="Y13" s="69"/>
      <c r="Z13" s="69"/>
    </row>
    <row r="14" spans="1:34" x14ac:dyDescent="0.25">
      <c r="A14" s="37" t="s">
        <v>108</v>
      </c>
      <c r="B14" s="111">
        <v>0.05</v>
      </c>
      <c r="C14" s="2"/>
      <c r="D14" s="202" t="s">
        <v>169</v>
      </c>
      <c r="M14" s="206"/>
      <c r="N14" s="16"/>
      <c r="O14" s="16"/>
      <c r="P14" s="16"/>
      <c r="Q14" s="231"/>
      <c r="R14" s="188"/>
      <c r="S14" s="16"/>
      <c r="V14" s="206"/>
      <c r="AC14" s="166"/>
      <c r="AD14" s="166"/>
      <c r="AE14" s="166"/>
      <c r="AF14" s="166"/>
      <c r="AG14" s="166"/>
      <c r="AH14" s="166"/>
    </row>
    <row r="15" spans="1:34" x14ac:dyDescent="0.25">
      <c r="A15" s="37" t="s">
        <v>114</v>
      </c>
      <c r="B15" s="65">
        <v>6.5000000000000002E-2</v>
      </c>
      <c r="C15" s="2"/>
      <c r="D15" s="170" t="s">
        <v>161</v>
      </c>
      <c r="O15" s="231"/>
      <c r="P15" s="16"/>
      <c r="Q15" s="16"/>
      <c r="R15" s="231"/>
      <c r="S15" s="16"/>
      <c r="V15" s="206"/>
      <c r="AB15" s="167"/>
    </row>
    <row r="16" spans="1:34" x14ac:dyDescent="0.25">
      <c r="A16" s="146" t="s">
        <v>101</v>
      </c>
      <c r="B16" s="147">
        <v>43892</v>
      </c>
      <c r="C16" s="2"/>
      <c r="D16" s="272">
        <f>(AB19-J19)/(LOG(AB20/J20)/LOG(2))</f>
        <v>13.611111111111111</v>
      </c>
      <c r="E16" s="166"/>
      <c r="M16" s="16"/>
      <c r="N16" s="16"/>
      <c r="O16" s="16"/>
      <c r="P16" s="16"/>
      <c r="Q16" s="16"/>
      <c r="R16" s="16"/>
      <c r="S16" s="16"/>
    </row>
    <row r="17" spans="1:38" x14ac:dyDescent="0.25">
      <c r="A17" s="16"/>
      <c r="B17" s="50" t="s">
        <v>52</v>
      </c>
      <c r="C17" s="10"/>
      <c r="D17" s="16"/>
      <c r="E17" s="16"/>
      <c r="F17" s="16"/>
      <c r="G17" s="16"/>
      <c r="H17" s="16"/>
      <c r="I17" s="16"/>
      <c r="J17" s="16" t="s">
        <v>200</v>
      </c>
      <c r="K17" s="16"/>
      <c r="L17" s="16"/>
      <c r="M17" s="16"/>
      <c r="N17" s="16"/>
      <c r="O17" s="16"/>
      <c r="P17" s="16"/>
      <c r="Q17" s="16"/>
      <c r="R17" s="16"/>
      <c r="S17" s="16"/>
      <c r="T17" s="16"/>
      <c r="U17" s="16"/>
      <c r="V17" s="16"/>
      <c r="W17" s="16"/>
      <c r="X17" s="16"/>
      <c r="Y17" s="16"/>
      <c r="Z17" s="16"/>
      <c r="AA17" s="16"/>
      <c r="AI17" s="145"/>
    </row>
    <row r="18" spans="1:38" x14ac:dyDescent="0.25">
      <c r="A18" s="53" t="s">
        <v>40</v>
      </c>
      <c r="B18" s="182">
        <v>43900</v>
      </c>
      <c r="C18" s="182">
        <v>43912</v>
      </c>
      <c r="D18" s="182">
        <v>43917</v>
      </c>
      <c r="E18" s="182">
        <v>43933</v>
      </c>
      <c r="F18" s="182">
        <v>43945</v>
      </c>
      <c r="G18" s="182"/>
      <c r="H18" s="182"/>
      <c r="I18" s="182"/>
      <c r="J18" t="s">
        <v>185</v>
      </c>
      <c r="K18" s="47"/>
      <c r="L18" s="16"/>
      <c r="M18" s="16"/>
      <c r="N18" s="16"/>
      <c r="O18" s="16"/>
      <c r="P18" s="16"/>
      <c r="Q18" s="16"/>
      <c r="R18" s="16"/>
      <c r="S18" s="173"/>
      <c r="T18" s="16"/>
      <c r="U18" s="16"/>
      <c r="V18" s="16"/>
      <c r="X18" s="16"/>
      <c r="Y18" s="16"/>
      <c r="Z18" s="16"/>
      <c r="AA18" s="16"/>
      <c r="AC18" t="s">
        <v>170</v>
      </c>
      <c r="AE18" s="202"/>
      <c r="AI18" s="226" t="s">
        <v>175</v>
      </c>
    </row>
    <row r="19" spans="1:38" x14ac:dyDescent="0.25">
      <c r="A19" s="4" t="s">
        <v>11</v>
      </c>
      <c r="B19" s="296">
        <v>3</v>
      </c>
      <c r="C19" s="262">
        <v>5</v>
      </c>
      <c r="D19" s="148">
        <v>8</v>
      </c>
      <c r="E19" s="81">
        <v>12</v>
      </c>
      <c r="F19" s="209">
        <v>20</v>
      </c>
      <c r="G19" s="209"/>
      <c r="H19" s="209"/>
      <c r="I19" s="209"/>
      <c r="J19" s="297">
        <v>43900</v>
      </c>
      <c r="K19" s="298">
        <f t="shared" ref="K19:AG19" si="0">J19+HLOOKUP(J19+1, $B$18:$I$19,2,TRUE)</f>
        <v>43903</v>
      </c>
      <c r="L19" s="298">
        <f t="shared" si="0"/>
        <v>43906</v>
      </c>
      <c r="M19" s="298">
        <f t="shared" si="0"/>
        <v>43909</v>
      </c>
      <c r="N19" s="292">
        <f t="shared" si="0"/>
        <v>43912</v>
      </c>
      <c r="O19" s="293">
        <f t="shared" si="0"/>
        <v>43917</v>
      </c>
      <c r="P19" s="293">
        <f t="shared" si="0"/>
        <v>43925</v>
      </c>
      <c r="Q19" s="293">
        <f t="shared" si="0"/>
        <v>43933</v>
      </c>
      <c r="R19" s="294">
        <f t="shared" si="0"/>
        <v>43945</v>
      </c>
      <c r="S19" s="295">
        <f>R19+HLOOKUP(R19+1, $B$18:$I$19,2,TRUE)</f>
        <v>43965</v>
      </c>
      <c r="T19" s="215">
        <f t="shared" si="0"/>
        <v>43985</v>
      </c>
      <c r="U19" s="215">
        <f t="shared" si="0"/>
        <v>44005</v>
      </c>
      <c r="V19" s="215">
        <f t="shared" si="0"/>
        <v>44025</v>
      </c>
      <c r="W19" s="215">
        <f t="shared" si="0"/>
        <v>44045</v>
      </c>
      <c r="X19" s="215">
        <f t="shared" si="0"/>
        <v>44065</v>
      </c>
      <c r="Y19" s="215">
        <f t="shared" si="0"/>
        <v>44085</v>
      </c>
      <c r="Z19" s="215">
        <f t="shared" si="0"/>
        <v>44105</v>
      </c>
      <c r="AA19" s="215">
        <f t="shared" si="0"/>
        <v>44125</v>
      </c>
      <c r="AB19" s="221">
        <f t="shared" si="0"/>
        <v>44145</v>
      </c>
      <c r="AC19" s="215">
        <f t="shared" si="0"/>
        <v>44165</v>
      </c>
      <c r="AD19" s="215">
        <f t="shared" ref="AD19" si="1">AC19+HLOOKUP(AC19+1, $B$18:$I$19,2,TRUE)</f>
        <v>44185</v>
      </c>
      <c r="AE19" s="215">
        <f t="shared" ref="AE19" si="2">AD19+HLOOKUP(AD19+1, $B$18:$I$19,2,TRUE)</f>
        <v>44205</v>
      </c>
      <c r="AF19" s="215">
        <f>AE19+HLOOKUP(AE19+1, $B$18:$I$19,2,TRUE)</f>
        <v>44225</v>
      </c>
      <c r="AG19" s="215">
        <f t="shared" si="0"/>
        <v>44245</v>
      </c>
      <c r="AH19" s="221">
        <f>AG19+HLOOKUP(AG19+1, $B$18:$I$19,2,TRUE)</f>
        <v>44265</v>
      </c>
      <c r="AI19" s="251">
        <f>AH19+(7*8)</f>
        <v>44321</v>
      </c>
      <c r="AJ19" s="70"/>
      <c r="AK19" s="70"/>
      <c r="AL19" s="69"/>
    </row>
    <row r="20" spans="1:38" x14ac:dyDescent="0.25">
      <c r="A20" s="41" t="s">
        <v>106</v>
      </c>
      <c r="B20" s="16"/>
      <c r="C20" s="16"/>
      <c r="D20" s="16"/>
      <c r="E20" s="16"/>
      <c r="F20" s="16"/>
      <c r="G20" s="16"/>
      <c r="H20" s="16"/>
      <c r="I20" s="16"/>
      <c r="J20" s="280">
        <v>31.25</v>
      </c>
      <c r="K20" s="281">
        <f>J20*2</f>
        <v>62.5</v>
      </c>
      <c r="L20" s="281">
        <f t="shared" ref="L20:Z20" si="3">K20*2</f>
        <v>125</v>
      </c>
      <c r="M20" s="281">
        <f t="shared" si="3"/>
        <v>250</v>
      </c>
      <c r="N20" s="281">
        <f t="shared" si="3"/>
        <v>500</v>
      </c>
      <c r="O20" s="281">
        <f t="shared" si="3"/>
        <v>1000</v>
      </c>
      <c r="P20" s="281">
        <f t="shared" si="3"/>
        <v>2000</v>
      </c>
      <c r="Q20" s="281">
        <f t="shared" si="3"/>
        <v>4000</v>
      </c>
      <c r="R20" s="281">
        <f t="shared" si="3"/>
        <v>8000</v>
      </c>
      <c r="S20" s="281">
        <f>R20*2</f>
        <v>16000</v>
      </c>
      <c r="T20" s="281">
        <f>S20*2</f>
        <v>32000</v>
      </c>
      <c r="U20" s="281">
        <f>T20*2</f>
        <v>64000</v>
      </c>
      <c r="V20" s="281">
        <f>U20*2</f>
        <v>128000</v>
      </c>
      <c r="W20" s="281">
        <f t="shared" si="3"/>
        <v>256000</v>
      </c>
      <c r="X20" s="281">
        <f t="shared" si="3"/>
        <v>512000</v>
      </c>
      <c r="Y20" s="281">
        <f t="shared" si="3"/>
        <v>1024000</v>
      </c>
      <c r="Z20" s="281">
        <f t="shared" si="3"/>
        <v>2048000</v>
      </c>
      <c r="AA20" s="281">
        <f>Z20*2</f>
        <v>4096000</v>
      </c>
      <c r="AB20" s="282">
        <f>AA20*2</f>
        <v>8192000</v>
      </c>
      <c r="AC20" s="189">
        <f>AB20*2</f>
        <v>16384000</v>
      </c>
      <c r="AD20" s="189">
        <f t="shared" ref="AD20:AG20" si="4">AC20*2</f>
        <v>32768000</v>
      </c>
      <c r="AE20" s="189">
        <f t="shared" si="4"/>
        <v>65536000</v>
      </c>
      <c r="AF20" s="189">
        <f>AE20*2</f>
        <v>131072000</v>
      </c>
      <c r="AG20" s="189">
        <f t="shared" si="4"/>
        <v>262144000</v>
      </c>
      <c r="AH20" s="190">
        <f>$B$7</f>
        <v>272886000</v>
      </c>
      <c r="AI20" s="252">
        <f>B7*AI21</f>
        <v>13644300</v>
      </c>
      <c r="AJ20" s="45"/>
      <c r="AK20" s="45"/>
      <c r="AL20" s="69"/>
    </row>
    <row r="21" spans="1:38" x14ac:dyDescent="0.25">
      <c r="A21" s="41" t="s">
        <v>107</v>
      </c>
      <c r="B21" s="16"/>
      <c r="C21" s="16"/>
      <c r="D21" s="16"/>
      <c r="E21" s="16"/>
      <c r="F21" s="16"/>
      <c r="G21" s="16"/>
      <c r="H21" s="16"/>
      <c r="I21" s="16"/>
      <c r="J21" s="207">
        <f t="shared" ref="J21:Z21" si="5">J20/$B$7</f>
        <v>1.1451668462288281E-7</v>
      </c>
      <c r="K21" s="208">
        <f t="shared" si="5"/>
        <v>2.2903336924576563E-7</v>
      </c>
      <c r="L21" s="208">
        <f t="shared" si="5"/>
        <v>4.5806673849153126E-7</v>
      </c>
      <c r="M21" s="186">
        <f t="shared" si="5"/>
        <v>9.1613347698306252E-7</v>
      </c>
      <c r="N21" s="186">
        <f t="shared" si="5"/>
        <v>1.832266953966125E-6</v>
      </c>
      <c r="O21" s="186">
        <f t="shared" si="5"/>
        <v>3.6645339079322501E-6</v>
      </c>
      <c r="P21" s="186">
        <f t="shared" si="5"/>
        <v>7.3290678158645001E-6</v>
      </c>
      <c r="Q21" s="66">
        <f t="shared" si="5"/>
        <v>1.4658135631729E-5</v>
      </c>
      <c r="R21" s="36">
        <f t="shared" si="5"/>
        <v>2.9316271263458001E-5</v>
      </c>
      <c r="S21" s="36">
        <f>S20/$B$7</f>
        <v>5.8632542526916001E-5</v>
      </c>
      <c r="T21" s="36">
        <f>T20/$B$7</f>
        <v>1.17265085053832E-4</v>
      </c>
      <c r="U21" s="36">
        <f>U20/$B$7</f>
        <v>2.34530170107664E-4</v>
      </c>
      <c r="V21" s="36">
        <f>V20/$B$7</f>
        <v>4.6906034021532801E-4</v>
      </c>
      <c r="W21" s="14">
        <f t="shared" si="5"/>
        <v>9.3812068043065602E-4</v>
      </c>
      <c r="X21" s="14">
        <f t="shared" si="5"/>
        <v>1.876241360861312E-3</v>
      </c>
      <c r="Y21" s="14">
        <f t="shared" si="5"/>
        <v>3.7524827217226241E-3</v>
      </c>
      <c r="Z21" s="14">
        <f t="shared" si="5"/>
        <v>7.5049654434452481E-3</v>
      </c>
      <c r="AA21" s="15">
        <f>AA20/$B$7</f>
        <v>1.5009930886890496E-2</v>
      </c>
      <c r="AB21" s="277">
        <f>AB20/$B$7</f>
        <v>3.0019861773780993E-2</v>
      </c>
      <c r="AC21" s="250">
        <f>AC20/$B$7</f>
        <v>6.0039723547561985E-2</v>
      </c>
      <c r="AD21" s="250">
        <f t="shared" ref="AD21:AG21" si="6">AD20/$B$7</f>
        <v>0.12007944709512397</v>
      </c>
      <c r="AE21" s="250">
        <f t="shared" si="6"/>
        <v>0.24015889419024794</v>
      </c>
      <c r="AF21" s="168">
        <f t="shared" si="6"/>
        <v>0.48031778838049588</v>
      </c>
      <c r="AG21" s="168">
        <f t="shared" si="6"/>
        <v>0.96063557676099176</v>
      </c>
      <c r="AH21" s="169">
        <f t="shared" ref="AH21" si="7">AH20/$B$7</f>
        <v>1</v>
      </c>
      <c r="AI21" s="253">
        <f>B9</f>
        <v>0.05</v>
      </c>
      <c r="AJ21" s="25"/>
      <c r="AK21" s="25"/>
      <c r="AL21" s="69"/>
    </row>
    <row r="22" spans="1:38" x14ac:dyDescent="0.25">
      <c r="A22" s="41" t="s">
        <v>157</v>
      </c>
      <c r="B22" s="16"/>
      <c r="C22" s="16"/>
      <c r="D22" s="16"/>
      <c r="E22" s="16"/>
      <c r="F22" s="16"/>
      <c r="G22" s="16"/>
      <c r="H22" s="16"/>
      <c r="I22" s="16"/>
      <c r="J22" s="278">
        <f>MAX(J20-(J28-J29)-(J30-J31)-(J32-J33),0)</f>
        <v>31.181614788291355</v>
      </c>
      <c r="K22" s="276">
        <f t="shared" ref="K22:S22" si="8">MAX(K20-(K28-K29)-(K30-K31)-(K32-K33),0)</f>
        <v>62.264644903424632</v>
      </c>
      <c r="L22" s="276">
        <f t="shared" si="8"/>
        <v>124.19</v>
      </c>
      <c r="M22" s="276">
        <f>MAX(M20-(M28-M29)-(M30-M31)-(M32-M33),0)</f>
        <v>247.21229746223111</v>
      </c>
      <c r="N22" s="276">
        <f>MAX(N20-(N28-N29)-(N30-N31)-(N32-N33),0)</f>
        <v>490.40582044557635</v>
      </c>
      <c r="O22" s="276">
        <f t="shared" si="8"/>
        <v>935.3125</v>
      </c>
      <c r="P22" s="276">
        <f t="shared" si="8"/>
        <v>1502.0645736639731</v>
      </c>
      <c r="Q22" s="276">
        <f>MAX(Q20-(Q28-Q29)-(Q30-Q31)-(Q32-Q33),0)</f>
        <v>2492.1912971035408</v>
      </c>
      <c r="R22" s="276">
        <f t="shared" si="8"/>
        <v>2073.8311595686264</v>
      </c>
      <c r="S22" s="276">
        <f t="shared" si="8"/>
        <v>1405.4535892255435</v>
      </c>
      <c r="T22" s="276">
        <f>MAX(T20-(T28-T29)-(T30-T31)-(T32-T33),0)</f>
        <v>1229.0226963592258</v>
      </c>
      <c r="U22" s="276">
        <f t="shared" ref="U22:AC22" si="9">MAX(U20-(U28-U29)-(U30-U31)-(U32-U33),0)</f>
        <v>0</v>
      </c>
      <c r="V22" s="276">
        <f t="shared" si="9"/>
        <v>13487.947843542013</v>
      </c>
      <c r="W22" s="276">
        <f t="shared" si="9"/>
        <v>41524.634110635481</v>
      </c>
      <c r="X22" s="276">
        <f t="shared" si="9"/>
        <v>100497.82486439653</v>
      </c>
      <c r="Y22" s="276">
        <f t="shared" si="9"/>
        <v>224684.19879120812</v>
      </c>
      <c r="Z22" s="276">
        <f t="shared" si="9"/>
        <v>483920.97334683529</v>
      </c>
      <c r="AA22" s="276">
        <f t="shared" si="9"/>
        <v>1020699.083850196</v>
      </c>
      <c r="AB22" s="279">
        <f t="shared" si="9"/>
        <v>2125075.4716300657</v>
      </c>
      <c r="AC22" s="189">
        <f t="shared" si="9"/>
        <v>4386112.1645030566</v>
      </c>
      <c r="AD22" s="189">
        <f t="shared" ref="AD22:AG22" si="10">MAX(AD20-(AD28-AD29)-(AD30-AD31)-(AD32-AD33),0)</f>
        <v>8997723.3100278154</v>
      </c>
      <c r="AE22" s="189">
        <f t="shared" si="10"/>
        <v>18375741.647452392</v>
      </c>
      <c r="AF22" s="189">
        <f t="shared" si="10"/>
        <v>37401782.892626517</v>
      </c>
      <c r="AG22" s="189">
        <f t="shared" si="10"/>
        <v>75928664.137146667</v>
      </c>
      <c r="AH22" s="190">
        <f t="shared" ref="AH22" si="11">MAX(AH20-(AH28-AH29)-(AH30-AH31)-(AH32-AH33),0)</f>
        <v>6491596.1320630517</v>
      </c>
      <c r="AI22" s="254"/>
      <c r="AJ22" s="45"/>
      <c r="AK22" s="45"/>
      <c r="AL22" s="69"/>
    </row>
    <row r="23" spans="1:38" x14ac:dyDescent="0.25">
      <c r="A23" s="41" t="s">
        <v>171</v>
      </c>
      <c r="B23" s="16"/>
      <c r="C23" s="16"/>
      <c r="D23" s="16"/>
      <c r="E23" s="16"/>
      <c r="F23" s="16"/>
      <c r="G23" s="16"/>
      <c r="H23" s="16"/>
      <c r="I23" s="16"/>
      <c r="J23" s="83">
        <f>MAX(J20-J22-J35,0)</f>
        <v>6.8384252174015892E-2</v>
      </c>
      <c r="K23" s="84">
        <f>MAX(K20-K22-K35,0)</f>
        <v>0.2353517942332457</v>
      </c>
      <c r="L23" s="84">
        <f>MAX(L20-L22-L35,0)</f>
        <v>0.80998863463269877</v>
      </c>
      <c r="M23" s="118">
        <f>MAX(M20-M22-M35,0)</f>
        <v>2.7876634226290484</v>
      </c>
      <c r="N23" s="118">
        <f t="shared" ref="N23:AB23" si="12">MAX(N20-N22-N35,0)</f>
        <v>9.5940449354426445</v>
      </c>
      <c r="O23" s="118">
        <f t="shared" si="12"/>
        <v>64.686443891224172</v>
      </c>
      <c r="P23" s="118">
        <f t="shared" si="12"/>
        <v>497.9069113990796</v>
      </c>
      <c r="Q23" s="118">
        <f t="shared" si="12"/>
        <v>1507.038799598882</v>
      </c>
      <c r="R23" s="118">
        <f t="shared" si="12"/>
        <v>5895.6913131550727</v>
      </c>
      <c r="S23" s="118">
        <f t="shared" si="12"/>
        <v>14218.881287064984</v>
      </c>
      <c r="T23" s="118">
        <f t="shared" si="12"/>
        <v>29605.005246014811</v>
      </c>
      <c r="U23" s="118">
        <f t="shared" si="12"/>
        <v>62032.186697997524</v>
      </c>
      <c r="V23" s="118">
        <f t="shared" si="12"/>
        <v>110861.48328478995</v>
      </c>
      <c r="W23" s="118">
        <f t="shared" si="12"/>
        <v>207504.52577132499</v>
      </c>
      <c r="X23" s="118">
        <f t="shared" si="12"/>
        <v>397992.54584336386</v>
      </c>
      <c r="Y23" s="118">
        <f t="shared" si="12"/>
        <v>772905.5068576308</v>
      </c>
      <c r="Z23" s="118">
        <f t="shared" si="12"/>
        <v>1512162.8028127558</v>
      </c>
      <c r="AA23" s="118">
        <f t="shared" si="12"/>
        <v>2972864.4464014852</v>
      </c>
      <c r="AB23" s="119">
        <f t="shared" si="12"/>
        <v>5864271.4841467747</v>
      </c>
      <c r="AC23" s="203">
        <f>MAX(AC20-AC22-AC35,0)</f>
        <v>11596196.179435622</v>
      </c>
      <c r="AD23" s="203">
        <f t="shared" ref="AD23:AH23" si="13">MAX(AD20-AD22-AD35,0)</f>
        <v>22972892.458514955</v>
      </c>
      <c r="AE23" s="203">
        <f t="shared" si="13"/>
        <v>45575606.652425036</v>
      </c>
      <c r="AF23" s="203">
        <f t="shared" si="13"/>
        <v>90518204.811418653</v>
      </c>
      <c r="AG23" s="203">
        <f t="shared" si="13"/>
        <v>179941204.89109433</v>
      </c>
      <c r="AH23" s="203">
        <f t="shared" si="13"/>
        <v>253898337.37230998</v>
      </c>
      <c r="AI23" s="255"/>
      <c r="AJ23" s="25"/>
      <c r="AK23" s="25"/>
      <c r="AL23" s="69"/>
    </row>
    <row r="24" spans="1:38" x14ac:dyDescent="0.25">
      <c r="A24" s="4" t="s">
        <v>164</v>
      </c>
      <c r="B24" s="9"/>
      <c r="C24" s="9"/>
      <c r="D24" s="9"/>
      <c r="E24" s="9"/>
      <c r="F24" s="9"/>
      <c r="G24" s="9"/>
      <c r="H24" s="9"/>
      <c r="I24" s="5"/>
      <c r="J24" s="187">
        <f t="shared" ref="J24:AB24" si="14">J20/$B$8</f>
        <v>558.03571428571422</v>
      </c>
      <c r="K24" s="188">
        <f t="shared" si="14"/>
        <v>1116.0714285714284</v>
      </c>
      <c r="L24" s="188">
        <f t="shared" si="14"/>
        <v>2232.1428571428569</v>
      </c>
      <c r="M24" s="188">
        <f t="shared" si="14"/>
        <v>4464.2857142857138</v>
      </c>
      <c r="N24" s="188">
        <f t="shared" si="14"/>
        <v>8928.5714285714275</v>
      </c>
      <c r="O24" s="188">
        <f t="shared" si="14"/>
        <v>17857.142857142855</v>
      </c>
      <c r="P24" s="188">
        <f t="shared" si="14"/>
        <v>35714.28571428571</v>
      </c>
      <c r="Q24" s="188">
        <f t="shared" si="14"/>
        <v>71428.57142857142</v>
      </c>
      <c r="R24" s="188">
        <f t="shared" si="14"/>
        <v>142857.14285714284</v>
      </c>
      <c r="S24" s="188">
        <f t="shared" si="14"/>
        <v>285714.28571428568</v>
      </c>
      <c r="T24" s="188">
        <f t="shared" si="14"/>
        <v>571428.57142857136</v>
      </c>
      <c r="U24" s="188">
        <f t="shared" si="14"/>
        <v>1142857.1428571427</v>
      </c>
      <c r="V24" s="188">
        <f t="shared" si="14"/>
        <v>2285714.2857142854</v>
      </c>
      <c r="W24" s="188">
        <f t="shared" si="14"/>
        <v>4571428.5714285709</v>
      </c>
      <c r="X24" s="188">
        <f t="shared" si="14"/>
        <v>9142857.1428571418</v>
      </c>
      <c r="Y24" s="188">
        <f t="shared" si="14"/>
        <v>18285714.285714284</v>
      </c>
      <c r="Z24" s="188">
        <f t="shared" si="14"/>
        <v>36571428.571428567</v>
      </c>
      <c r="AA24" s="188">
        <f t="shared" si="14"/>
        <v>73142857.142857134</v>
      </c>
      <c r="AB24" s="188">
        <f t="shared" si="14"/>
        <v>146285714.28571427</v>
      </c>
      <c r="AC24" s="222">
        <f>$B$7</f>
        <v>272886000</v>
      </c>
      <c r="AD24" s="198">
        <f>$B$7</f>
        <v>272886000</v>
      </c>
      <c r="AE24" s="198">
        <f>$B$7</f>
        <v>272886000</v>
      </c>
      <c r="AF24" s="198">
        <f>$B$7</f>
        <v>272886000</v>
      </c>
      <c r="AG24" s="198">
        <f>$B$7</f>
        <v>272886000</v>
      </c>
      <c r="AH24" s="199">
        <f t="shared" ref="AH24" si="15">$B$7</f>
        <v>272886000</v>
      </c>
      <c r="AI24" s="254">
        <f>($B$7*$B$9)/$B$8</f>
        <v>243648214.28571427</v>
      </c>
      <c r="AJ24" s="25"/>
      <c r="AK24" s="25"/>
      <c r="AL24" s="69"/>
    </row>
    <row r="25" spans="1:38" x14ac:dyDescent="0.25">
      <c r="A25" s="41" t="s">
        <v>111</v>
      </c>
      <c r="B25" s="16"/>
      <c r="C25" s="16"/>
      <c r="D25" s="16"/>
      <c r="E25" s="16"/>
      <c r="F25" s="16"/>
      <c r="G25" s="16"/>
      <c r="H25" s="16"/>
      <c r="I25" s="17"/>
      <c r="J25" s="185">
        <f>J24/$B$7</f>
        <v>2.0449407968371928E-6</v>
      </c>
      <c r="K25" s="186">
        <f t="shared" ref="K25:AB25" si="16">K24/$B$7</f>
        <v>4.0898815936743857E-6</v>
      </c>
      <c r="L25" s="186">
        <f t="shared" si="16"/>
        <v>8.1797631873487713E-6</v>
      </c>
      <c r="M25" s="66">
        <f t="shared" si="16"/>
        <v>1.6359526374697543E-5</v>
      </c>
      <c r="N25" s="66">
        <f t="shared" si="16"/>
        <v>3.2719052749395085E-5</v>
      </c>
      <c r="O25" s="66">
        <f t="shared" si="16"/>
        <v>6.5438105498790171E-5</v>
      </c>
      <c r="P25" s="66">
        <f t="shared" si="16"/>
        <v>1.3087621099758034E-4</v>
      </c>
      <c r="Q25" s="66">
        <f t="shared" si="16"/>
        <v>2.6175242199516068E-4</v>
      </c>
      <c r="R25" s="36">
        <f t="shared" si="16"/>
        <v>5.2350484399032136E-4</v>
      </c>
      <c r="S25" s="36">
        <f t="shared" si="16"/>
        <v>1.0470096879806427E-3</v>
      </c>
      <c r="T25" s="36">
        <f t="shared" si="16"/>
        <v>2.0940193759612855E-3</v>
      </c>
      <c r="U25" s="36">
        <f t="shared" si="16"/>
        <v>4.1880387519225709E-3</v>
      </c>
      <c r="V25" s="14">
        <f t="shared" si="16"/>
        <v>8.3760775038451418E-3</v>
      </c>
      <c r="W25" s="15">
        <f t="shared" si="16"/>
        <v>1.6752155007690284E-2</v>
      </c>
      <c r="X25" s="15">
        <f t="shared" si="16"/>
        <v>3.3504310015380567E-2</v>
      </c>
      <c r="Y25" s="15">
        <f t="shared" si="16"/>
        <v>6.7008620030761135E-2</v>
      </c>
      <c r="Z25" s="15">
        <f t="shared" si="16"/>
        <v>0.13401724006152227</v>
      </c>
      <c r="AA25" s="15">
        <f t="shared" si="16"/>
        <v>0.26803448012304454</v>
      </c>
      <c r="AB25" s="75">
        <f t="shared" si="16"/>
        <v>0.53606896024608908</v>
      </c>
      <c r="AC25" s="223">
        <f>AC24/$B$7</f>
        <v>1</v>
      </c>
      <c r="AD25" s="168">
        <f t="shared" ref="AD25:AH25" si="17">AD24/$B$7</f>
        <v>1</v>
      </c>
      <c r="AE25" s="168">
        <f t="shared" si="17"/>
        <v>1</v>
      </c>
      <c r="AF25" s="168">
        <f t="shared" ref="AF25" si="18">AF24/$B$7</f>
        <v>1</v>
      </c>
      <c r="AG25" s="168">
        <f t="shared" si="17"/>
        <v>1</v>
      </c>
      <c r="AH25" s="169">
        <f t="shared" si="17"/>
        <v>1</v>
      </c>
      <c r="AI25" s="253">
        <f>AI24/B7</f>
        <v>0.89285714285714279</v>
      </c>
      <c r="AJ25" s="25"/>
      <c r="AK25" s="25"/>
      <c r="AL25" s="69"/>
    </row>
    <row r="26" spans="1:38" x14ac:dyDescent="0.25">
      <c r="A26" s="41" t="s">
        <v>162</v>
      </c>
      <c r="B26" s="16"/>
      <c r="C26" s="16"/>
      <c r="D26" s="16"/>
      <c r="E26" s="16"/>
      <c r="F26" s="16"/>
      <c r="G26" s="16"/>
      <c r="H26" s="16"/>
      <c r="I26" s="17"/>
      <c r="J26" s="187">
        <f>J24-J20</f>
        <v>526.78571428571422</v>
      </c>
      <c r="K26" s="188">
        <f t="shared" ref="K26:AA26" si="19">K24-K20</f>
        <v>1053.5714285714284</v>
      </c>
      <c r="L26" s="188">
        <f t="shared" si="19"/>
        <v>2107.1428571428569</v>
      </c>
      <c r="M26" s="188">
        <f t="shared" si="19"/>
        <v>4214.2857142857138</v>
      </c>
      <c r="N26" s="188">
        <f>N24-N20</f>
        <v>8428.5714285714275</v>
      </c>
      <c r="O26" s="188">
        <f t="shared" si="19"/>
        <v>16857.142857142855</v>
      </c>
      <c r="P26" s="188">
        <f t="shared" si="19"/>
        <v>33714.28571428571</v>
      </c>
      <c r="Q26" s="188">
        <f t="shared" si="19"/>
        <v>67428.57142857142</v>
      </c>
      <c r="R26" s="188">
        <f t="shared" si="19"/>
        <v>134857.14285714284</v>
      </c>
      <c r="S26" s="188">
        <f t="shared" si="19"/>
        <v>269714.28571428568</v>
      </c>
      <c r="T26" s="188">
        <f t="shared" si="19"/>
        <v>539428.57142857136</v>
      </c>
      <c r="U26" s="188">
        <f t="shared" si="19"/>
        <v>1078857.1428571427</v>
      </c>
      <c r="V26" s="188">
        <f t="shared" si="19"/>
        <v>2157714.2857142854</v>
      </c>
      <c r="W26" s="188">
        <f t="shared" si="19"/>
        <v>4315428.5714285709</v>
      </c>
      <c r="X26" s="188">
        <f t="shared" si="19"/>
        <v>8630857.1428571418</v>
      </c>
      <c r="Y26" s="188">
        <f t="shared" si="19"/>
        <v>17261714.285714284</v>
      </c>
      <c r="Z26" s="188">
        <f t="shared" si="19"/>
        <v>34523428.571428567</v>
      </c>
      <c r="AA26" s="188">
        <f t="shared" si="19"/>
        <v>69046857.142857134</v>
      </c>
      <c r="AB26" s="188">
        <f>AB24-AB20</f>
        <v>138093714.28571427</v>
      </c>
      <c r="AC26" s="224">
        <f>AC24-AC20</f>
        <v>256502000</v>
      </c>
      <c r="AD26" s="189">
        <f>AD24-AD20</f>
        <v>240118000</v>
      </c>
      <c r="AE26" s="189">
        <f t="shared" ref="AE26:AH26" si="20">AE24</f>
        <v>272886000</v>
      </c>
      <c r="AF26" s="189">
        <f t="shared" si="20"/>
        <v>272886000</v>
      </c>
      <c r="AG26" s="189">
        <f t="shared" si="20"/>
        <v>272886000</v>
      </c>
      <c r="AH26" s="190">
        <f t="shared" si="20"/>
        <v>272886000</v>
      </c>
      <c r="AI26" s="256">
        <f>AI24-AI20</f>
        <v>230003914.28571427</v>
      </c>
      <c r="AJ26" s="25"/>
      <c r="AK26" s="25"/>
      <c r="AL26" s="69"/>
    </row>
    <row r="27" spans="1:38" x14ac:dyDescent="0.25">
      <c r="A27" s="37" t="s">
        <v>163</v>
      </c>
      <c r="B27" s="39"/>
      <c r="C27" s="39"/>
      <c r="D27" s="39"/>
      <c r="E27" s="39"/>
      <c r="F27" s="39"/>
      <c r="G27" s="39"/>
      <c r="H27" s="39"/>
      <c r="I27" s="63"/>
      <c r="J27" s="196">
        <f>MIN((1/$B$8)*(2^(((J19 - 14) - $B$16)/$J$45)),J26)</f>
        <v>1.5076104874039542</v>
      </c>
      <c r="K27" s="197">
        <f>MIN((1/$B$8)*(2^(((K19 - 14) - $B$16)/$J$45)),K26)</f>
        <v>5.1886044218555707</v>
      </c>
      <c r="L27" s="197">
        <f t="shared" ref="L27:N27" si="21">MIN((1/$B$8)*(2^(((L19 - 14) - $B$16)/$J$45)),L26)</f>
        <v>17.857142857142858</v>
      </c>
      <c r="M27" s="197">
        <f t="shared" si="21"/>
        <v>61.457286987850551</v>
      </c>
      <c r="N27" s="197">
        <f t="shared" si="21"/>
        <v>211.51189493879335</v>
      </c>
      <c r="O27" s="188">
        <f t="shared" ref="O27:AH27" si="22">MIN(($J$20/$B$8)*(2^(((O19 - 14) - $J$19)/HLOOKUP((O19-14)-$B$16,$J$43:$AI$45,3,TRUE))),O26)</f>
        <v>1426.0912698412696</v>
      </c>
      <c r="P27" s="188">
        <f t="shared" si="22"/>
        <v>10977.412397178723</v>
      </c>
      <c r="Q27" s="188">
        <f t="shared" si="22"/>
        <v>33240.932603537454</v>
      </c>
      <c r="R27" s="188">
        <f t="shared" si="22"/>
        <v>122819.5241876208</v>
      </c>
      <c r="S27" s="188">
        <f t="shared" si="22"/>
        <v>269714.28571428568</v>
      </c>
      <c r="T27" s="188">
        <f t="shared" si="22"/>
        <v>539428.57142857136</v>
      </c>
      <c r="U27" s="188">
        <f t="shared" si="22"/>
        <v>1078857.1428571427</v>
      </c>
      <c r="V27" s="188">
        <f t="shared" si="22"/>
        <v>2062171.8068081222</v>
      </c>
      <c r="W27" s="188">
        <f t="shared" si="22"/>
        <v>3971447.4286595187</v>
      </c>
      <c r="X27" s="188">
        <f t="shared" si="22"/>
        <v>7728560.1330285929</v>
      </c>
      <c r="Y27" s="188">
        <f t="shared" si="22"/>
        <v>15140088.605611</v>
      </c>
      <c r="Z27" s="188">
        <f t="shared" si="22"/>
        <v>29792313.25917938</v>
      </c>
      <c r="AA27" s="188">
        <f t="shared" si="22"/>
        <v>58810715.2792731</v>
      </c>
      <c r="AB27" s="188">
        <f t="shared" si="22"/>
        <v>116363848.63114513</v>
      </c>
      <c r="AC27" s="225">
        <f t="shared" si="22"/>
        <v>230643848.74777496</v>
      </c>
      <c r="AD27" s="193">
        <f t="shared" si="22"/>
        <v>240118000</v>
      </c>
      <c r="AE27" s="193">
        <f t="shared" si="22"/>
        <v>272886000</v>
      </c>
      <c r="AF27" s="193">
        <f t="shared" si="22"/>
        <v>272886000</v>
      </c>
      <c r="AG27" s="193">
        <f t="shared" si="22"/>
        <v>272886000</v>
      </c>
      <c r="AH27" s="194">
        <f t="shared" si="22"/>
        <v>272886000</v>
      </c>
      <c r="AI27" s="256"/>
      <c r="AJ27" s="25"/>
      <c r="AK27" s="25"/>
      <c r="AL27" s="69"/>
    </row>
    <row r="28" spans="1:38" x14ac:dyDescent="0.25">
      <c r="A28" s="41" t="s">
        <v>160</v>
      </c>
      <c r="B28" s="16"/>
      <c r="C28" s="16"/>
      <c r="D28" s="16"/>
      <c r="E28" s="16"/>
      <c r="F28" s="16"/>
      <c r="G28" s="16"/>
      <c r="H28" s="16"/>
      <c r="I28" s="16"/>
      <c r="J28" s="204">
        <f t="shared" ref="J28:AC28" si="23">J20*$B$12</f>
        <v>25.3125</v>
      </c>
      <c r="K28" s="205">
        <f t="shared" si="23"/>
        <v>50.625</v>
      </c>
      <c r="L28" s="205">
        <f t="shared" si="23"/>
        <v>101.25</v>
      </c>
      <c r="M28" s="205">
        <f t="shared" si="23"/>
        <v>202.5</v>
      </c>
      <c r="N28" s="205">
        <f t="shared" si="23"/>
        <v>405</v>
      </c>
      <c r="O28" s="205">
        <f t="shared" si="23"/>
        <v>810</v>
      </c>
      <c r="P28" s="205">
        <f t="shared" si="23"/>
        <v>1620</v>
      </c>
      <c r="Q28" s="205">
        <f t="shared" si="23"/>
        <v>3240</v>
      </c>
      <c r="R28" s="205">
        <f t="shared" si="23"/>
        <v>6480</v>
      </c>
      <c r="S28" s="205">
        <f t="shared" si="23"/>
        <v>12960</v>
      </c>
      <c r="T28" s="205">
        <f t="shared" si="23"/>
        <v>25920</v>
      </c>
      <c r="U28" s="205">
        <f t="shared" si="23"/>
        <v>51840</v>
      </c>
      <c r="V28" s="205">
        <f t="shared" si="23"/>
        <v>103680</v>
      </c>
      <c r="W28" s="205">
        <f t="shared" si="23"/>
        <v>207360</v>
      </c>
      <c r="X28" s="205">
        <f t="shared" si="23"/>
        <v>414720</v>
      </c>
      <c r="Y28" s="205">
        <f t="shared" si="23"/>
        <v>829440</v>
      </c>
      <c r="Z28" s="205">
        <f t="shared" si="23"/>
        <v>1658880</v>
      </c>
      <c r="AA28" s="205">
        <f t="shared" si="23"/>
        <v>3317760</v>
      </c>
      <c r="AB28" s="205">
        <f t="shared" si="23"/>
        <v>6635520</v>
      </c>
      <c r="AC28" s="222">
        <f t="shared" si="23"/>
        <v>13271040</v>
      </c>
      <c r="AD28" s="198">
        <f t="shared" ref="AD28:AH28" si="24">AD20*$B$12</f>
        <v>26542080</v>
      </c>
      <c r="AE28" s="198">
        <f t="shared" si="24"/>
        <v>53084160</v>
      </c>
      <c r="AF28" s="198">
        <f t="shared" si="24"/>
        <v>106168320</v>
      </c>
      <c r="AG28" s="198">
        <f t="shared" si="24"/>
        <v>212336640</v>
      </c>
      <c r="AH28" s="199">
        <f t="shared" si="24"/>
        <v>221037660</v>
      </c>
      <c r="AI28" s="256">
        <f>AI20*B12</f>
        <v>11051883</v>
      </c>
      <c r="AJ28" s="25"/>
      <c r="AK28" s="25"/>
      <c r="AL28" s="69"/>
    </row>
    <row r="29" spans="1:38" x14ac:dyDescent="0.25">
      <c r="A29" s="41" t="s">
        <v>172</v>
      </c>
      <c r="B29" s="16"/>
      <c r="C29" s="16"/>
      <c r="D29" s="16"/>
      <c r="E29" s="16"/>
      <c r="F29" s="16"/>
      <c r="G29" s="16"/>
      <c r="H29" s="16"/>
      <c r="I29" s="16"/>
      <c r="J29" s="196">
        <f t="shared" ref="J29:N29" si="25">J28-(1*$B$12)*(2^(((J19 - 14) - $B$16)/$J$45))</f>
        <v>25.244114788291355</v>
      </c>
      <c r="K29" s="197">
        <f t="shared" si="25"/>
        <v>50.389644903424632</v>
      </c>
      <c r="L29" s="197">
        <f t="shared" si="25"/>
        <v>100.44</v>
      </c>
      <c r="M29" s="197">
        <f t="shared" si="25"/>
        <v>199.71229746223111</v>
      </c>
      <c r="N29" s="197">
        <f t="shared" si="25"/>
        <v>395.40582044557635</v>
      </c>
      <c r="O29" s="195">
        <f t="shared" ref="O29:AH29" si="26">MAX(O28-(($J$20*$B$12)*(2^(((O19 -14) - $J$19)/HLOOKUP((O19-14)-$B$16,$J$43:$AI$45,3,TRUE)))),0)</f>
        <v>745.3125</v>
      </c>
      <c r="P29" s="195">
        <f t="shared" si="26"/>
        <v>1122.0645736639731</v>
      </c>
      <c r="Q29" s="195">
        <f t="shared" si="26"/>
        <v>1732.1912971035408</v>
      </c>
      <c r="R29" s="195">
        <f t="shared" si="26"/>
        <v>908.90638284952001</v>
      </c>
      <c r="S29" s="195">
        <f t="shared" si="26"/>
        <v>0</v>
      </c>
      <c r="T29" s="195">
        <f t="shared" si="26"/>
        <v>0</v>
      </c>
      <c r="U29" s="195">
        <f t="shared" si="26"/>
        <v>2398.1856825917494</v>
      </c>
      <c r="V29" s="195">
        <f t="shared" si="26"/>
        <v>10139.886843183573</v>
      </c>
      <c r="W29" s="195">
        <f t="shared" si="26"/>
        <v>27215.144636004203</v>
      </c>
      <c r="X29" s="195">
        <f t="shared" si="26"/>
        <v>64152.512365822971</v>
      </c>
      <c r="Y29" s="195">
        <f t="shared" si="26"/>
        <v>142685.58084948489</v>
      </c>
      <c r="Z29" s="195">
        <f t="shared" si="26"/>
        <v>307500.67056362331</v>
      </c>
      <c r="AA29" s="195">
        <f t="shared" si="26"/>
        <v>650105.95493217185</v>
      </c>
      <c r="AB29" s="195">
        <f t="shared" si="26"/>
        <v>1357255.826091256</v>
      </c>
      <c r="AC29" s="225">
        <f t="shared" si="26"/>
        <v>2809035.0208009277</v>
      </c>
      <c r="AD29" s="193">
        <f t="shared" si="26"/>
        <v>5777252.0695443153</v>
      </c>
      <c r="AE29" s="193">
        <f t="shared" si="26"/>
        <v>11826248.87438038</v>
      </c>
      <c r="AF29" s="193">
        <f t="shared" si="26"/>
        <v>24121821.830263942</v>
      </c>
      <c r="AG29" s="193">
        <f t="shared" si="26"/>
        <v>49062371.310383052</v>
      </c>
      <c r="AH29" s="194">
        <f t="shared" si="26"/>
        <v>0</v>
      </c>
      <c r="AI29" s="254"/>
      <c r="AJ29" s="25"/>
      <c r="AK29" s="25"/>
      <c r="AL29" s="69"/>
    </row>
    <row r="30" spans="1:38" x14ac:dyDescent="0.25">
      <c r="A30" s="62" t="s">
        <v>109</v>
      </c>
      <c r="B30" s="9"/>
      <c r="C30" s="9"/>
      <c r="D30" s="9"/>
      <c r="E30" s="9"/>
      <c r="F30" s="9"/>
      <c r="G30" s="9"/>
      <c r="H30" s="9"/>
      <c r="I30" s="5"/>
      <c r="J30" s="212">
        <f>(1*($B$13+$B$14))*(2^(((J19 - 7) - $B$16)/$J$45))</f>
        <v>0.28686269321064994</v>
      </c>
      <c r="K30" s="210">
        <f>(1*($B$13+$B$14))*(2^(((K19 - 7) - $B$16)/$J$45))</f>
        <v>0.98726896031425992</v>
      </c>
      <c r="L30" s="210">
        <f>(1*($B$13+$B$14))*(2^(((L19 - 7) - $B$16)/$J$45))</f>
        <v>3.3977928223808966</v>
      </c>
      <c r="M30" s="201">
        <f t="shared" ref="M30:AH30" si="27">($J$20*($B$13+$B$14))*(2^(((M19-7)-$J$19)/HLOOKUP((M19-7)-$B$16,$J$43:$AI$45,3,TRUE)))</f>
        <v>13.534573150668992</v>
      </c>
      <c r="N30" s="201">
        <f t="shared" si="27"/>
        <v>28.3625865126495</v>
      </c>
      <c r="O30" s="201">
        <f t="shared" si="27"/>
        <v>89.088156653802415</v>
      </c>
      <c r="P30" s="201">
        <f t="shared" si="27"/>
        <v>285.2286756025112</v>
      </c>
      <c r="Q30" s="201">
        <f t="shared" si="27"/>
        <v>547.48150861902241</v>
      </c>
      <c r="R30" s="201">
        <f t="shared" si="27"/>
        <v>2006.5557851506962</v>
      </c>
      <c r="S30" s="201">
        <f t="shared" si="27"/>
        <v>9417.9493258412858</v>
      </c>
      <c r="T30" s="201">
        <f t="shared" si="27"/>
        <v>12621.369485300986</v>
      </c>
      <c r="U30" s="201">
        <f t="shared" si="27"/>
        <v>20772.956736341464</v>
      </c>
      <c r="V30" s="201">
        <f t="shared" si="27"/>
        <v>36834.452616120703</v>
      </c>
      <c r="W30" s="201">
        <f t="shared" si="27"/>
        <v>67879.374781062565</v>
      </c>
      <c r="X30" s="201">
        <f t="shared" si="27"/>
        <v>127946.18626912229</v>
      </c>
      <c r="Y30" s="201">
        <f t="shared" si="27"/>
        <v>244656.62158375539</v>
      </c>
      <c r="Z30" s="201">
        <f t="shared" si="27"/>
        <v>472392.39671564603</v>
      </c>
      <c r="AA30" s="201">
        <f t="shared" si="27"/>
        <v>918398.3213394488</v>
      </c>
      <c r="AB30" s="201">
        <f t="shared" si="27"/>
        <v>1794511.5280716242</v>
      </c>
      <c r="AC30" s="222">
        <f t="shared" si="27"/>
        <v>3519758.1553441482</v>
      </c>
      <c r="AD30" s="198">
        <f t="shared" si="27"/>
        <v>6923997.3526550038</v>
      </c>
      <c r="AE30" s="198">
        <f t="shared" si="27"/>
        <v>13652416.01250953</v>
      </c>
      <c r="AF30" s="198">
        <f t="shared" si="27"/>
        <v>26969461.901751667</v>
      </c>
      <c r="AG30" s="198">
        <f t="shared" si="27"/>
        <v>53357519.435881287</v>
      </c>
      <c r="AH30" s="199">
        <f t="shared" si="27"/>
        <v>105697491.19089943</v>
      </c>
      <c r="AI30" s="254">
        <f>AI20*(B13+B14)</f>
        <v>2592417</v>
      </c>
      <c r="AJ30" s="45"/>
      <c r="AK30" s="45"/>
      <c r="AL30" s="69"/>
    </row>
    <row r="31" spans="1:38" x14ac:dyDescent="0.25">
      <c r="A31" s="37" t="s">
        <v>158</v>
      </c>
      <c r="B31" s="38"/>
      <c r="C31" s="39"/>
      <c r="D31" s="39"/>
      <c r="E31" s="39"/>
      <c r="F31" s="39"/>
      <c r="G31" s="39"/>
      <c r="H31" s="39"/>
      <c r="I31" s="63"/>
      <c r="J31" s="196">
        <f t="shared" ref="J31:Q31" si="28">J30</f>
        <v>0.28686269321064994</v>
      </c>
      <c r="K31" s="197">
        <f t="shared" si="28"/>
        <v>0.98726896031425992</v>
      </c>
      <c r="L31" s="197">
        <f t="shared" si="28"/>
        <v>3.3977928223808966</v>
      </c>
      <c r="M31" s="197">
        <f t="shared" si="28"/>
        <v>13.534573150668992</v>
      </c>
      <c r="N31" s="197">
        <f t="shared" si="28"/>
        <v>28.3625865126495</v>
      </c>
      <c r="O31" s="197">
        <f t="shared" si="28"/>
        <v>89.088156653802415</v>
      </c>
      <c r="P31" s="197">
        <f t="shared" si="28"/>
        <v>285.2286756025112</v>
      </c>
      <c r="Q31" s="197">
        <f t="shared" si="28"/>
        <v>547.48150861902241</v>
      </c>
      <c r="R31" s="188">
        <f t="shared" ref="R31:AH31" si="29">MAX(R30-($J$20*$B$13)*(2^(((R19 - 42) - $J$19)/HLOOKUP((R19-42)-$B$16,$J$43:$AI$45,3,TRUE)))-R33,0)</f>
        <v>1674.924813620803</v>
      </c>
      <c r="S31" s="188">
        <f t="shared" si="29"/>
        <v>8072.3760871510385</v>
      </c>
      <c r="T31" s="188">
        <f t="shared" si="29"/>
        <v>8667.2937644494159</v>
      </c>
      <c r="U31" s="188">
        <f t="shared" si="29"/>
        <v>6136.1442748773734</v>
      </c>
      <c r="V31" s="188">
        <f t="shared" si="29"/>
        <v>18670.643517762248</v>
      </c>
      <c r="W31" s="188">
        <f t="shared" si="29"/>
        <v>38911.048961878099</v>
      </c>
      <c r="X31" s="188">
        <f t="shared" si="29"/>
        <v>77403.521300187858</v>
      </c>
      <c r="Y31" s="188">
        <f t="shared" si="29"/>
        <v>152410.85056483332</v>
      </c>
      <c r="Z31" s="188">
        <f t="shared" si="29"/>
        <v>299628.25629917264</v>
      </c>
      <c r="AA31" s="188">
        <f t="shared" si="29"/>
        <v>589548.73467925633</v>
      </c>
      <c r="AB31" s="188">
        <f t="shared" si="29"/>
        <v>1161738.1307051717</v>
      </c>
      <c r="AC31" s="225">
        <f t="shared" si="29"/>
        <v>2292868.8806319092</v>
      </c>
      <c r="AD31" s="193">
        <f t="shared" si="29"/>
        <v>4531921.0788748348</v>
      </c>
      <c r="AE31" s="193">
        <f t="shared" si="29"/>
        <v>8969031.6318296734</v>
      </c>
      <c r="AF31" s="193">
        <f t="shared" si="29"/>
        <v>17770367.807156421</v>
      </c>
      <c r="AG31" s="193">
        <f t="shared" si="29"/>
        <v>35242706.856305696</v>
      </c>
      <c r="AH31" s="194">
        <f t="shared" si="29"/>
        <v>69953106.165752441</v>
      </c>
      <c r="AI31" s="256"/>
      <c r="AJ31" s="45"/>
      <c r="AK31" s="45"/>
      <c r="AL31" s="69"/>
    </row>
    <row r="32" spans="1:38" x14ac:dyDescent="0.25">
      <c r="A32" s="62" t="s">
        <v>110</v>
      </c>
      <c r="B32" s="9"/>
      <c r="C32" s="9"/>
      <c r="D32" s="9"/>
      <c r="E32" s="9"/>
      <c r="F32" s="9"/>
      <c r="G32" s="9"/>
      <c r="H32" s="9"/>
      <c r="I32" s="5"/>
      <c r="J32" s="212">
        <f t="shared" ref="J32:N32" si="30">(1*$B$14)*(2^(((J19 - 14) -$B$16)/$J$45))</f>
        <v>4.2213093647310721E-3</v>
      </c>
      <c r="K32" s="210">
        <f t="shared" si="30"/>
        <v>1.4528092381195599E-2</v>
      </c>
      <c r="L32" s="210">
        <f t="shared" si="30"/>
        <v>0.05</v>
      </c>
      <c r="M32" s="210">
        <f t="shared" si="30"/>
        <v>0.17208040356598153</v>
      </c>
      <c r="N32" s="210">
        <f t="shared" si="30"/>
        <v>0.59223330582862133</v>
      </c>
      <c r="O32" s="201">
        <f t="shared" ref="O32:AH32" si="31">($J$20*$B$14)*(2^(((O19 - 14) - $J$19)/HLOOKUP((O19-14)-$B$16,$J$43:$AI$45,3,TRUE)))</f>
        <v>3.9930555555555554</v>
      </c>
      <c r="P32" s="201">
        <f t="shared" si="31"/>
        <v>30.736754712100428</v>
      </c>
      <c r="Q32" s="201">
        <f t="shared" si="31"/>
        <v>93.07461128990488</v>
      </c>
      <c r="R32" s="201">
        <f t="shared" si="31"/>
        <v>343.89466772533825</v>
      </c>
      <c r="S32" s="201">
        <f t="shared" si="31"/>
        <v>1018.4114787738645</v>
      </c>
      <c r="T32" s="201">
        <f t="shared" si="31"/>
        <v>1669.9398664034841</v>
      </c>
      <c r="U32" s="201">
        <f t="shared" si="31"/>
        <v>3051.963846753596</v>
      </c>
      <c r="V32" s="201">
        <f t="shared" si="31"/>
        <v>5774.0810590627425</v>
      </c>
      <c r="W32" s="201">
        <f t="shared" si="31"/>
        <v>11120.052800246654</v>
      </c>
      <c r="X32" s="201">
        <f t="shared" si="31"/>
        <v>21639.968372480063</v>
      </c>
      <c r="Y32" s="201">
        <f t="shared" si="31"/>
        <v>42392.248095710806</v>
      </c>
      <c r="Z32" s="201">
        <f t="shared" si="31"/>
        <v>83418.477125702266</v>
      </c>
      <c r="AA32" s="201">
        <f t="shared" si="31"/>
        <v>164670.00278196469</v>
      </c>
      <c r="AB32" s="201">
        <f t="shared" si="31"/>
        <v>325818.77616720641</v>
      </c>
      <c r="AC32" s="222">
        <f t="shared" si="31"/>
        <v>645802.77649376995</v>
      </c>
      <c r="AD32" s="198">
        <f t="shared" si="31"/>
        <v>1281779.5018799806</v>
      </c>
      <c r="AE32" s="198">
        <f t="shared" si="31"/>
        <v>2546784.6373839271</v>
      </c>
      <c r="AF32" s="198">
        <f t="shared" si="31"/>
        <v>5064598.6524528433</v>
      </c>
      <c r="AG32" s="198">
        <f t="shared" si="31"/>
        <v>10078658.561087467</v>
      </c>
      <c r="AH32" s="199">
        <f t="shared" si="31"/>
        <v>20068378.844225034</v>
      </c>
      <c r="AI32" s="254">
        <f>AI20*B14</f>
        <v>682215</v>
      </c>
      <c r="AJ32" s="45"/>
      <c r="AK32" s="45"/>
      <c r="AL32" s="69"/>
    </row>
    <row r="33" spans="1:38" x14ac:dyDescent="0.25">
      <c r="A33" s="37" t="s">
        <v>159</v>
      </c>
      <c r="B33" s="38"/>
      <c r="C33" s="39"/>
      <c r="D33" s="39"/>
      <c r="E33" s="39"/>
      <c r="F33" s="39"/>
      <c r="G33" s="39"/>
      <c r="H33" s="39"/>
      <c r="I33" s="63"/>
      <c r="J33" s="196">
        <f t="shared" ref="J33:Q33" si="32">J32</f>
        <v>4.2213093647310721E-3</v>
      </c>
      <c r="K33" s="197">
        <f t="shared" si="32"/>
        <v>1.4528092381195599E-2</v>
      </c>
      <c r="L33" s="197">
        <f t="shared" si="32"/>
        <v>0.05</v>
      </c>
      <c r="M33" s="197">
        <f t="shared" si="32"/>
        <v>0.17208040356598153</v>
      </c>
      <c r="N33" s="197">
        <f t="shared" si="32"/>
        <v>0.59223330582862133</v>
      </c>
      <c r="O33" s="197">
        <f t="shared" si="32"/>
        <v>3.9930555555555554</v>
      </c>
      <c r="P33" s="197">
        <f t="shared" si="32"/>
        <v>30.736754712100428</v>
      </c>
      <c r="Q33" s="197">
        <f t="shared" si="32"/>
        <v>93.07461128990488</v>
      </c>
      <c r="R33" s="195">
        <f t="shared" ref="R33:AH33" si="33">MAX(R32-($J$20*$B$14)*(2^(((R19 - 35) - $J$19)/HLOOKUP((R19-35)-$B$16,$J$43:$AI$45,3,TRUE))),0)</f>
        <v>320.4504159743376</v>
      </c>
      <c r="S33" s="195">
        <f t="shared" si="33"/>
        <v>729.43830668965529</v>
      </c>
      <c r="T33" s="195">
        <f t="shared" si="33"/>
        <v>773.03828361427975</v>
      </c>
      <c r="U33" s="195">
        <f t="shared" si="33"/>
        <v>1538.26130675169</v>
      </c>
      <c r="V33" s="195">
        <f t="shared" si="33"/>
        <v>2965.9511577796379</v>
      </c>
      <c r="W33" s="195">
        <f t="shared" si="33"/>
        <v>5757.8680940624008</v>
      </c>
      <c r="X33" s="195">
        <f t="shared" si="33"/>
        <v>11247.945839988062</v>
      </c>
      <c r="Y33" s="195">
        <f t="shared" si="33"/>
        <v>22076.637056356114</v>
      </c>
      <c r="Z33" s="195">
        <f t="shared" si="33"/>
        <v>43482.920325387648</v>
      </c>
      <c r="AA33" s="195">
        <f t="shared" si="33"/>
        <v>85872.718360181199</v>
      </c>
      <c r="AB33" s="195">
        <f t="shared" si="33"/>
        <v>169931.81907246844</v>
      </c>
      <c r="AC33" s="225">
        <f t="shared" si="33"/>
        <v>336809.19490813761</v>
      </c>
      <c r="AD33" s="193">
        <f t="shared" si="33"/>
        <v>668407.016143649</v>
      </c>
      <c r="AE33" s="193">
        <f t="shared" si="33"/>
        <v>1327821.7911357966</v>
      </c>
      <c r="AF33" s="193">
        <f t="shared" si="33"/>
        <v>2639973.8094106656</v>
      </c>
      <c r="AG33" s="193">
        <f t="shared" si="33"/>
        <v>5252403.9674266791</v>
      </c>
      <c r="AH33" s="194">
        <f t="shared" si="33"/>
        <v>10456020.001435077</v>
      </c>
      <c r="AI33" s="254"/>
      <c r="AJ33" s="45"/>
      <c r="AK33" s="45"/>
      <c r="AL33" s="69"/>
    </row>
    <row r="34" spans="1:38" x14ac:dyDescent="0.25">
      <c r="A34" s="41" t="s">
        <v>54</v>
      </c>
      <c r="B34" s="15"/>
      <c r="C34" s="16"/>
      <c r="D34" s="16"/>
      <c r="E34" s="16"/>
      <c r="F34" s="16"/>
      <c r="G34" s="16"/>
      <c r="H34" s="16"/>
      <c r="I34" s="16"/>
      <c r="J34" s="213">
        <f t="shared" ref="J34:AC34" si="34">J20*$B$15</f>
        <v>2.03125</v>
      </c>
      <c r="K34" s="214">
        <f t="shared" si="34"/>
        <v>4.0625</v>
      </c>
      <c r="L34" s="214">
        <f t="shared" si="34"/>
        <v>8.125</v>
      </c>
      <c r="M34" s="214">
        <f t="shared" si="34"/>
        <v>16.25</v>
      </c>
      <c r="N34" s="214">
        <f t="shared" si="34"/>
        <v>32.5</v>
      </c>
      <c r="O34" s="214">
        <f t="shared" si="34"/>
        <v>65</v>
      </c>
      <c r="P34" s="214">
        <f t="shared" si="34"/>
        <v>130</v>
      </c>
      <c r="Q34" s="214">
        <f t="shared" si="34"/>
        <v>260</v>
      </c>
      <c r="R34" s="214">
        <f t="shared" si="34"/>
        <v>520</v>
      </c>
      <c r="S34" s="214">
        <f t="shared" si="34"/>
        <v>1040</v>
      </c>
      <c r="T34" s="214">
        <f t="shared" si="34"/>
        <v>2080</v>
      </c>
      <c r="U34" s="214">
        <f t="shared" si="34"/>
        <v>4160</v>
      </c>
      <c r="V34" s="214">
        <f t="shared" si="34"/>
        <v>8320</v>
      </c>
      <c r="W34" s="214">
        <f t="shared" si="34"/>
        <v>16640</v>
      </c>
      <c r="X34" s="214">
        <f t="shared" si="34"/>
        <v>33280</v>
      </c>
      <c r="Y34" s="214">
        <f t="shared" si="34"/>
        <v>66560</v>
      </c>
      <c r="Z34" s="214">
        <f t="shared" si="34"/>
        <v>133120</v>
      </c>
      <c r="AA34" s="214">
        <f t="shared" si="34"/>
        <v>266240</v>
      </c>
      <c r="AB34" s="265">
        <f t="shared" si="34"/>
        <v>532480</v>
      </c>
      <c r="AC34" s="224">
        <f t="shared" si="34"/>
        <v>1064960</v>
      </c>
      <c r="AD34" s="189">
        <f t="shared" ref="AD34:AH34" si="35">AD20*$B$15</f>
        <v>2129920</v>
      </c>
      <c r="AE34" s="189">
        <f t="shared" si="35"/>
        <v>4259840</v>
      </c>
      <c r="AF34" s="189">
        <f t="shared" si="35"/>
        <v>8519680</v>
      </c>
      <c r="AG34" s="189">
        <f t="shared" si="35"/>
        <v>17039360</v>
      </c>
      <c r="AH34" s="190">
        <f t="shared" si="35"/>
        <v>17737590</v>
      </c>
      <c r="AI34" s="254">
        <f>AI20*B15</f>
        <v>886879.5</v>
      </c>
      <c r="AJ34" s="45"/>
      <c r="AK34" s="45"/>
      <c r="AL34" s="69"/>
    </row>
    <row r="35" spans="1:38" x14ac:dyDescent="0.25">
      <c r="A35" s="37" t="s">
        <v>53</v>
      </c>
      <c r="B35" s="38"/>
      <c r="C35" s="39"/>
      <c r="D35" s="39"/>
      <c r="E35" s="39"/>
      <c r="F35" s="39"/>
      <c r="G35" s="39"/>
      <c r="H35" s="39"/>
      <c r="I35" s="39"/>
      <c r="J35" s="191">
        <f t="shared" ref="J35:P35" si="36">(1*$B$15)*(2^(((J19-35)-$B$16)/$J$45))</f>
        <v>9.5953462864168518E-7</v>
      </c>
      <c r="K35" s="192">
        <f t="shared" si="36"/>
        <v>3.3023421226439117E-6</v>
      </c>
      <c r="L35" s="192">
        <f t="shared" si="36"/>
        <v>1.1365367303550079E-5</v>
      </c>
      <c r="M35" s="192">
        <f t="shared" si="36"/>
        <v>3.9115139845410189E-5</v>
      </c>
      <c r="N35" s="192">
        <f t="shared" si="36"/>
        <v>1.3461898100275982E-4</v>
      </c>
      <c r="O35" s="192">
        <f t="shared" si="36"/>
        <v>1.0561087758260753E-3</v>
      </c>
      <c r="P35" s="192">
        <f t="shared" si="36"/>
        <v>2.8514936947304007E-2</v>
      </c>
      <c r="Q35" s="192">
        <f>(1*$B$15)*(2^(((Q19-35)-$B$16)/$J$45))</f>
        <v>0.76990329757720777</v>
      </c>
      <c r="R35" s="200">
        <f t="shared" ref="R35:AH35" si="37">($J$20*$B$15)*(2^(((R19-35)-$J$19)/HLOOKUP((R19-35)-$B$16,$J$43:$AI$45,3,TRUE)))</f>
        <v>30.477527276300826</v>
      </c>
      <c r="S35" s="200">
        <f t="shared" si="37"/>
        <v>375.66512370947203</v>
      </c>
      <c r="T35" s="200">
        <f t="shared" si="37"/>
        <v>1165.9720576259656</v>
      </c>
      <c r="U35" s="200">
        <f t="shared" si="37"/>
        <v>1967.8133020024779</v>
      </c>
      <c r="V35" s="200">
        <f t="shared" si="37"/>
        <v>3650.5688716680361</v>
      </c>
      <c r="W35" s="200">
        <f t="shared" si="37"/>
        <v>6970.8401180395294</v>
      </c>
      <c r="X35" s="200">
        <f t="shared" si="37"/>
        <v>13509.629292239602</v>
      </c>
      <c r="Y35" s="200">
        <f t="shared" si="37"/>
        <v>26410.294351161097</v>
      </c>
      <c r="Z35" s="200">
        <f t="shared" si="37"/>
        <v>51916.223840409002</v>
      </c>
      <c r="AA35" s="200">
        <f t="shared" si="37"/>
        <v>102436.46974831854</v>
      </c>
      <c r="AB35" s="266">
        <f t="shared" si="37"/>
        <v>202653.04422315935</v>
      </c>
      <c r="AC35" s="225">
        <f t="shared" si="37"/>
        <v>401691.65606132208</v>
      </c>
      <c r="AD35" s="193">
        <f t="shared" si="37"/>
        <v>797384.23145723098</v>
      </c>
      <c r="AE35" s="193">
        <f t="shared" si="37"/>
        <v>1584651.7001225697</v>
      </c>
      <c r="AF35" s="193">
        <f t="shared" si="37"/>
        <v>3152012.2959548309</v>
      </c>
      <c r="AG35" s="193">
        <f t="shared" si="37"/>
        <v>6274130.9717590241</v>
      </c>
      <c r="AH35" s="194">
        <f t="shared" si="37"/>
        <v>12496066.495626943</v>
      </c>
      <c r="AI35" s="257">
        <f>($J$20*$B$15)*(2^(((AI19 - 35) - $J$19)/AI45))</f>
        <v>5370926.9945303807</v>
      </c>
      <c r="AJ35" s="45"/>
      <c r="AK35" s="45"/>
      <c r="AL35" s="69"/>
    </row>
    <row r="36" spans="1:38" s="69" customFormat="1" hidden="1" x14ac:dyDescent="0.25">
      <c r="A36" s="48" t="s">
        <v>104</v>
      </c>
      <c r="B36" s="25"/>
      <c r="C36" s="47"/>
      <c r="D36" s="47"/>
      <c r="E36" s="47"/>
      <c r="F36" s="47"/>
      <c r="G36" s="47"/>
      <c r="H36" s="47"/>
      <c r="I36" s="47"/>
      <c r="J36" s="143">
        <f t="shared" ref="J36:AC36" si="38">J19-7</f>
        <v>43893</v>
      </c>
      <c r="K36" s="143">
        <f t="shared" si="38"/>
        <v>43896</v>
      </c>
      <c r="L36" s="143">
        <f t="shared" si="38"/>
        <v>43899</v>
      </c>
      <c r="M36" s="143">
        <f t="shared" si="38"/>
        <v>43902</v>
      </c>
      <c r="N36" s="143">
        <f t="shared" si="38"/>
        <v>43905</v>
      </c>
      <c r="O36" s="143">
        <f t="shared" si="38"/>
        <v>43910</v>
      </c>
      <c r="P36" s="143">
        <f t="shared" si="38"/>
        <v>43918</v>
      </c>
      <c r="Q36" s="143">
        <f t="shared" si="38"/>
        <v>43926</v>
      </c>
      <c r="R36" s="143">
        <f t="shared" si="38"/>
        <v>43938</v>
      </c>
      <c r="S36" s="143">
        <f t="shared" si="38"/>
        <v>43958</v>
      </c>
      <c r="T36" s="143">
        <f t="shared" si="38"/>
        <v>43978</v>
      </c>
      <c r="U36" s="143">
        <f t="shared" si="38"/>
        <v>43998</v>
      </c>
      <c r="V36" s="143">
        <f t="shared" si="38"/>
        <v>44018</v>
      </c>
      <c r="W36" s="143">
        <f t="shared" si="38"/>
        <v>44038</v>
      </c>
      <c r="X36" s="143">
        <f t="shared" si="38"/>
        <v>44058</v>
      </c>
      <c r="Y36" s="143">
        <f t="shared" si="38"/>
        <v>44078</v>
      </c>
      <c r="Z36" s="143">
        <f t="shared" si="38"/>
        <v>44098</v>
      </c>
      <c r="AA36" s="143">
        <f t="shared" si="38"/>
        <v>44118</v>
      </c>
      <c r="AB36" s="143">
        <f t="shared" si="38"/>
        <v>44138</v>
      </c>
      <c r="AC36" s="143">
        <f t="shared" si="38"/>
        <v>44158</v>
      </c>
      <c r="AD36" s="143"/>
      <c r="AE36" s="143"/>
      <c r="AF36" s="143"/>
      <c r="AG36" s="143"/>
      <c r="AH36" s="143"/>
      <c r="AI36" s="143"/>
      <c r="AJ36" s="45"/>
      <c r="AK36" s="45"/>
    </row>
    <row r="37" spans="1:38" s="69" customFormat="1" hidden="1" x14ac:dyDescent="0.25">
      <c r="A37" s="48" t="s">
        <v>102</v>
      </c>
      <c r="B37" s="25"/>
      <c r="C37" s="47"/>
      <c r="D37" s="47"/>
      <c r="E37" s="47"/>
      <c r="F37" s="47"/>
      <c r="G37" s="47"/>
      <c r="H37" s="47"/>
      <c r="I37" s="47"/>
      <c r="J37" s="143">
        <f t="shared" ref="J37:AC37" si="39">J19-14</f>
        <v>43886</v>
      </c>
      <c r="K37" s="143">
        <f t="shared" si="39"/>
        <v>43889</v>
      </c>
      <c r="L37" s="143">
        <f t="shared" si="39"/>
        <v>43892</v>
      </c>
      <c r="M37" s="143">
        <f t="shared" si="39"/>
        <v>43895</v>
      </c>
      <c r="N37" s="143">
        <f t="shared" si="39"/>
        <v>43898</v>
      </c>
      <c r="O37" s="143">
        <f t="shared" si="39"/>
        <v>43903</v>
      </c>
      <c r="P37" s="143">
        <f t="shared" si="39"/>
        <v>43911</v>
      </c>
      <c r="Q37" s="143">
        <f t="shared" si="39"/>
        <v>43919</v>
      </c>
      <c r="R37" s="143">
        <f t="shared" si="39"/>
        <v>43931</v>
      </c>
      <c r="S37" s="143">
        <f t="shared" si="39"/>
        <v>43951</v>
      </c>
      <c r="T37" s="143">
        <f t="shared" si="39"/>
        <v>43971</v>
      </c>
      <c r="U37" s="143">
        <f t="shared" si="39"/>
        <v>43991</v>
      </c>
      <c r="V37" s="143">
        <f t="shared" si="39"/>
        <v>44011</v>
      </c>
      <c r="W37" s="143">
        <f t="shared" si="39"/>
        <v>44031</v>
      </c>
      <c r="X37" s="143">
        <f t="shared" si="39"/>
        <v>44051</v>
      </c>
      <c r="Y37" s="143">
        <f t="shared" si="39"/>
        <v>44071</v>
      </c>
      <c r="Z37" s="143">
        <f t="shared" si="39"/>
        <v>44091</v>
      </c>
      <c r="AA37" s="143">
        <f t="shared" si="39"/>
        <v>44111</v>
      </c>
      <c r="AB37" s="143">
        <f t="shared" si="39"/>
        <v>44131</v>
      </c>
      <c r="AC37" s="143">
        <f t="shared" si="39"/>
        <v>44151</v>
      </c>
      <c r="AD37" s="143"/>
      <c r="AE37" s="143"/>
      <c r="AF37" s="143"/>
      <c r="AG37" s="143"/>
      <c r="AH37" s="143"/>
      <c r="AI37" s="143"/>
      <c r="AJ37" s="45"/>
      <c r="AK37" s="45"/>
    </row>
    <row r="38" spans="1:38" s="69" customFormat="1" hidden="1" x14ac:dyDescent="0.25">
      <c r="A38" s="48" t="s">
        <v>105</v>
      </c>
      <c r="B38" s="25"/>
      <c r="C38" s="47"/>
      <c r="D38" s="47"/>
      <c r="E38" s="47"/>
      <c r="F38" s="47"/>
      <c r="G38" s="47"/>
      <c r="H38" s="47"/>
      <c r="I38" s="47"/>
      <c r="J38" s="143">
        <f t="shared" ref="J38:AC38" si="40">J19-(7*5)</f>
        <v>43865</v>
      </c>
      <c r="K38" s="143">
        <f t="shared" si="40"/>
        <v>43868</v>
      </c>
      <c r="L38" s="143">
        <f t="shared" si="40"/>
        <v>43871</v>
      </c>
      <c r="M38" s="143">
        <f t="shared" si="40"/>
        <v>43874</v>
      </c>
      <c r="N38" s="143">
        <f t="shared" si="40"/>
        <v>43877</v>
      </c>
      <c r="O38" s="143">
        <f t="shared" si="40"/>
        <v>43882</v>
      </c>
      <c r="P38" s="143">
        <f t="shared" si="40"/>
        <v>43890</v>
      </c>
      <c r="Q38" s="143">
        <f t="shared" si="40"/>
        <v>43898</v>
      </c>
      <c r="R38" s="143">
        <f t="shared" si="40"/>
        <v>43910</v>
      </c>
      <c r="S38" s="143">
        <f t="shared" si="40"/>
        <v>43930</v>
      </c>
      <c r="T38" s="143">
        <f t="shared" si="40"/>
        <v>43950</v>
      </c>
      <c r="U38" s="143">
        <f t="shared" si="40"/>
        <v>43970</v>
      </c>
      <c r="V38" s="143">
        <f t="shared" si="40"/>
        <v>43990</v>
      </c>
      <c r="W38" s="143">
        <f t="shared" si="40"/>
        <v>44010</v>
      </c>
      <c r="X38" s="143">
        <f t="shared" si="40"/>
        <v>44030</v>
      </c>
      <c r="Y38" s="143">
        <f t="shared" si="40"/>
        <v>44050</v>
      </c>
      <c r="Z38" s="143">
        <f t="shared" si="40"/>
        <v>44070</v>
      </c>
      <c r="AA38" s="143">
        <f t="shared" si="40"/>
        <v>44090</v>
      </c>
      <c r="AB38" s="143">
        <f t="shared" si="40"/>
        <v>44110</v>
      </c>
      <c r="AC38" s="143">
        <f t="shared" si="40"/>
        <v>44130</v>
      </c>
      <c r="AD38" s="143"/>
      <c r="AE38" s="143"/>
      <c r="AF38" s="143"/>
      <c r="AG38" s="143"/>
      <c r="AH38" s="143"/>
      <c r="AI38" s="143"/>
      <c r="AJ38" s="45"/>
      <c r="AK38" s="45"/>
    </row>
    <row r="39" spans="1:38" s="69" customFormat="1" hidden="1" x14ac:dyDescent="0.25">
      <c r="A39" s="48" t="s">
        <v>103</v>
      </c>
      <c r="B39" s="25"/>
      <c r="C39" s="47"/>
      <c r="D39" s="47"/>
      <c r="E39" s="47"/>
      <c r="F39" s="47"/>
      <c r="G39" s="47"/>
      <c r="H39" s="47"/>
      <c r="I39" s="47"/>
      <c r="J39" s="143">
        <f t="shared" ref="J39:AC39" si="41">J19-(6*7)</f>
        <v>43858</v>
      </c>
      <c r="K39" s="143">
        <f t="shared" si="41"/>
        <v>43861</v>
      </c>
      <c r="L39" s="143">
        <f t="shared" si="41"/>
        <v>43864</v>
      </c>
      <c r="M39" s="143">
        <f t="shared" si="41"/>
        <v>43867</v>
      </c>
      <c r="N39" s="143">
        <f t="shared" si="41"/>
        <v>43870</v>
      </c>
      <c r="O39" s="143">
        <f t="shared" si="41"/>
        <v>43875</v>
      </c>
      <c r="P39" s="143">
        <f t="shared" si="41"/>
        <v>43883</v>
      </c>
      <c r="Q39" s="143">
        <f t="shared" si="41"/>
        <v>43891</v>
      </c>
      <c r="R39" s="143">
        <f t="shared" si="41"/>
        <v>43903</v>
      </c>
      <c r="S39" s="143">
        <f t="shared" si="41"/>
        <v>43923</v>
      </c>
      <c r="T39" s="143">
        <f t="shared" si="41"/>
        <v>43943</v>
      </c>
      <c r="U39" s="143">
        <f t="shared" si="41"/>
        <v>43963</v>
      </c>
      <c r="V39" s="143">
        <f t="shared" si="41"/>
        <v>43983</v>
      </c>
      <c r="W39" s="143">
        <f t="shared" si="41"/>
        <v>44003</v>
      </c>
      <c r="X39" s="143">
        <f t="shared" si="41"/>
        <v>44023</v>
      </c>
      <c r="Y39" s="143">
        <f t="shared" si="41"/>
        <v>44043</v>
      </c>
      <c r="Z39" s="143">
        <f t="shared" si="41"/>
        <v>44063</v>
      </c>
      <c r="AA39" s="143">
        <f t="shared" si="41"/>
        <v>44083</v>
      </c>
      <c r="AB39" s="143">
        <f t="shared" si="41"/>
        <v>44103</v>
      </c>
      <c r="AC39" s="143">
        <f t="shared" si="41"/>
        <v>44123</v>
      </c>
      <c r="AD39" s="143"/>
      <c r="AE39" s="143"/>
      <c r="AF39" s="143"/>
      <c r="AG39" s="143"/>
      <c r="AH39" s="143"/>
      <c r="AI39" s="143"/>
      <c r="AJ39" s="45"/>
      <c r="AK39" s="45"/>
    </row>
    <row r="41" spans="1:38" x14ac:dyDescent="0.25">
      <c r="A41" s="53" t="s">
        <v>46</v>
      </c>
      <c r="B41" s="15"/>
      <c r="C41" s="16"/>
      <c r="D41" s="16"/>
      <c r="E41" s="16"/>
      <c r="F41" s="16"/>
      <c r="G41" s="16"/>
      <c r="H41" s="16"/>
      <c r="I41" s="16"/>
    </row>
    <row r="42" spans="1:38" s="69" customFormat="1" x14ac:dyDescent="0.25">
      <c r="A42" s="140" t="s">
        <v>100</v>
      </c>
      <c r="B42" s="25"/>
      <c r="C42" s="47"/>
      <c r="D42" s="47"/>
      <c r="E42" s="47"/>
      <c r="F42" s="47"/>
      <c r="G42" s="47"/>
      <c r="H42" s="47"/>
      <c r="I42" s="47"/>
      <c r="J42" s="234">
        <f t="shared" ref="J42:AI42" si="42">(J19-$B$16)/7</f>
        <v>1.1428571428571428</v>
      </c>
      <c r="K42" s="138">
        <f t="shared" si="42"/>
        <v>1.5714285714285714</v>
      </c>
      <c r="L42" s="141">
        <f t="shared" si="42"/>
        <v>2</v>
      </c>
      <c r="M42" s="139">
        <f t="shared" si="42"/>
        <v>2.4285714285714284</v>
      </c>
      <c r="N42" s="268">
        <f t="shared" si="42"/>
        <v>2.8571428571428572</v>
      </c>
      <c r="O42" s="235">
        <f t="shared" si="42"/>
        <v>3.5714285714285716</v>
      </c>
      <c r="P42" s="268">
        <f t="shared" si="42"/>
        <v>4.7142857142857144</v>
      </c>
      <c r="Q42" s="236">
        <f t="shared" si="42"/>
        <v>5.8571428571428568</v>
      </c>
      <c r="R42" s="234">
        <f t="shared" si="42"/>
        <v>7.5714285714285712</v>
      </c>
      <c r="S42" s="237">
        <f t="shared" si="42"/>
        <v>10.428571428571429</v>
      </c>
      <c r="T42" s="268">
        <f t="shared" si="42"/>
        <v>13.285714285714286</v>
      </c>
      <c r="U42" s="236">
        <f t="shared" si="42"/>
        <v>16.142857142857142</v>
      </c>
      <c r="V42" s="234">
        <f t="shared" si="42"/>
        <v>19</v>
      </c>
      <c r="W42" s="268">
        <f t="shared" si="42"/>
        <v>21.857142857142858</v>
      </c>
      <c r="X42" s="235">
        <f t="shared" si="42"/>
        <v>24.714285714285715</v>
      </c>
      <c r="Y42" s="235">
        <f t="shared" si="42"/>
        <v>27.571428571428573</v>
      </c>
      <c r="Z42" s="234">
        <f t="shared" si="42"/>
        <v>30.428571428571427</v>
      </c>
      <c r="AA42" s="268">
        <f t="shared" si="42"/>
        <v>33.285714285714285</v>
      </c>
      <c r="AB42" s="235">
        <f t="shared" si="42"/>
        <v>36.142857142857146</v>
      </c>
      <c r="AC42" s="236">
        <f t="shared" si="42"/>
        <v>39</v>
      </c>
      <c r="AD42" s="268">
        <f t="shared" ref="AD42:AH42" si="43">(AD19-$B$16)/7</f>
        <v>41.857142857142854</v>
      </c>
      <c r="AE42" s="235">
        <f t="shared" si="43"/>
        <v>44.714285714285715</v>
      </c>
      <c r="AF42" s="141">
        <f t="shared" si="43"/>
        <v>47.571428571428569</v>
      </c>
      <c r="AG42" s="268">
        <f t="shared" si="43"/>
        <v>50.428571428571431</v>
      </c>
      <c r="AH42" s="268">
        <f t="shared" si="43"/>
        <v>53.285714285714285</v>
      </c>
      <c r="AI42" s="268">
        <f t="shared" si="42"/>
        <v>61.285714285714285</v>
      </c>
    </row>
    <row r="43" spans="1:38" s="69" customFormat="1" x14ac:dyDescent="0.25">
      <c r="A43" s="140" t="s">
        <v>99</v>
      </c>
      <c r="B43" s="25"/>
      <c r="C43" s="47"/>
      <c r="D43" s="47"/>
      <c r="E43" s="47"/>
      <c r="F43" s="47"/>
      <c r="G43" s="47"/>
      <c r="H43" s="47"/>
      <c r="I43" s="47"/>
      <c r="J43" s="238">
        <f>J19-$B$16</f>
        <v>8</v>
      </c>
      <c r="K43" s="267">
        <f t="shared" ref="K43:O43" si="44">K19-$B$16</f>
        <v>11</v>
      </c>
      <c r="L43" s="267">
        <f t="shared" si="44"/>
        <v>14</v>
      </c>
      <c r="M43" s="267">
        <f t="shared" si="44"/>
        <v>17</v>
      </c>
      <c r="N43" s="219">
        <f t="shared" si="44"/>
        <v>20</v>
      </c>
      <c r="O43" s="219">
        <f t="shared" si="44"/>
        <v>25</v>
      </c>
      <c r="P43" s="219">
        <f>P19-$B$16</f>
        <v>33</v>
      </c>
      <c r="Q43" s="219">
        <f t="shared" ref="Q43:AI43" si="45">Q19-$B$16</f>
        <v>41</v>
      </c>
      <c r="R43" s="219">
        <f t="shared" si="45"/>
        <v>53</v>
      </c>
      <c r="S43" s="219">
        <f t="shared" si="45"/>
        <v>73</v>
      </c>
      <c r="T43" s="219">
        <f t="shared" si="45"/>
        <v>93</v>
      </c>
      <c r="U43" s="219">
        <f t="shared" si="45"/>
        <v>113</v>
      </c>
      <c r="V43" s="219">
        <f t="shared" si="45"/>
        <v>133</v>
      </c>
      <c r="W43" s="219">
        <f t="shared" si="45"/>
        <v>153</v>
      </c>
      <c r="X43" s="219">
        <f t="shared" si="45"/>
        <v>173</v>
      </c>
      <c r="Y43" s="219">
        <f t="shared" si="45"/>
        <v>193</v>
      </c>
      <c r="Z43" s="219">
        <f t="shared" si="45"/>
        <v>213</v>
      </c>
      <c r="AA43" s="219">
        <f t="shared" si="45"/>
        <v>233</v>
      </c>
      <c r="AB43" s="219">
        <f t="shared" si="45"/>
        <v>253</v>
      </c>
      <c r="AC43" s="233">
        <f t="shared" si="45"/>
        <v>273</v>
      </c>
      <c r="AD43" s="233">
        <f t="shared" ref="AD43:AH43" si="46">AD19-$B$16</f>
        <v>293</v>
      </c>
      <c r="AE43" s="233">
        <f t="shared" si="46"/>
        <v>313</v>
      </c>
      <c r="AF43" s="233">
        <f t="shared" si="46"/>
        <v>333</v>
      </c>
      <c r="AG43" s="181">
        <f t="shared" si="46"/>
        <v>353</v>
      </c>
      <c r="AH43" s="232">
        <f t="shared" si="46"/>
        <v>373</v>
      </c>
      <c r="AI43" s="181">
        <f t="shared" si="45"/>
        <v>429</v>
      </c>
    </row>
    <row r="44" spans="1:38" x14ac:dyDescent="0.25">
      <c r="A44" s="211" t="s">
        <v>41</v>
      </c>
      <c r="B44" s="16"/>
      <c r="C44" s="16"/>
      <c r="D44" s="16"/>
      <c r="E44" s="16"/>
      <c r="F44" s="16"/>
      <c r="G44" s="16"/>
      <c r="H44" s="16"/>
      <c r="I44" s="16"/>
      <c r="J44" s="258">
        <v>27</v>
      </c>
      <c r="K44" s="259">
        <v>69</v>
      </c>
      <c r="L44" s="260">
        <v>134</v>
      </c>
      <c r="M44" s="260">
        <v>309</v>
      </c>
      <c r="N44" s="260">
        <v>514</v>
      </c>
      <c r="O44" s="260">
        <v>1046</v>
      </c>
      <c r="P44" s="260">
        <v>2092</v>
      </c>
      <c r="Q44" s="260">
        <v>4241</v>
      </c>
      <c r="R44" s="260">
        <v>8211</v>
      </c>
      <c r="S44" s="260">
        <v>16006</v>
      </c>
      <c r="T44" s="261">
        <f t="shared" ref="T44:AB44" si="47">T20</f>
        <v>32000</v>
      </c>
      <c r="U44" s="261">
        <f t="shared" si="47"/>
        <v>64000</v>
      </c>
      <c r="V44" s="261">
        <f t="shared" si="47"/>
        <v>128000</v>
      </c>
      <c r="W44" s="261">
        <f t="shared" si="47"/>
        <v>256000</v>
      </c>
      <c r="X44" s="261">
        <f t="shared" si="47"/>
        <v>512000</v>
      </c>
      <c r="Y44" s="261">
        <f t="shared" si="47"/>
        <v>1024000</v>
      </c>
      <c r="Z44" s="261">
        <f t="shared" si="47"/>
        <v>2048000</v>
      </c>
      <c r="AA44" s="261">
        <f t="shared" si="47"/>
        <v>4096000</v>
      </c>
      <c r="AB44" s="261">
        <f t="shared" si="47"/>
        <v>8192000</v>
      </c>
      <c r="AC44" s="177">
        <f t="shared" ref="AC44" si="48">AB44*2</f>
        <v>16384000</v>
      </c>
      <c r="AD44" s="177">
        <f t="shared" ref="AD44" si="49">AC44*2</f>
        <v>32768000</v>
      </c>
      <c r="AE44" s="177">
        <f t="shared" ref="AE44" si="50">AD44*2</f>
        <v>65536000</v>
      </c>
      <c r="AF44" s="177">
        <f>AE44*2</f>
        <v>131072000</v>
      </c>
      <c r="AG44" s="177">
        <f t="shared" ref="AG44" si="51">AF44*2</f>
        <v>262144000</v>
      </c>
      <c r="AH44" s="177">
        <f>AH20</f>
        <v>272886000</v>
      </c>
      <c r="AI44" s="178">
        <f>AH20</f>
        <v>272886000</v>
      </c>
    </row>
    <row r="45" spans="1:38" x14ac:dyDescent="0.25">
      <c r="A45" s="41" t="s">
        <v>156</v>
      </c>
      <c r="B45" s="16"/>
      <c r="C45" s="16"/>
      <c r="D45" s="16"/>
      <c r="E45" s="16"/>
      <c r="F45" s="16"/>
      <c r="G45" s="16"/>
      <c r="H45" s="16"/>
      <c r="I45" s="16"/>
      <c r="J45" s="184">
        <f>(J19-B16)/(LOG(J44/1)/LOG(2))</f>
        <v>1.68247934285722</v>
      </c>
      <c r="K45" s="165">
        <f>(K19-$J$19)/(LOG(K44/$J$44)/LOG(2))</f>
        <v>2.2162515508849423</v>
      </c>
      <c r="L45" s="165">
        <f t="shared" ref="L45:AC45" si="52">(L19-$J$19)/(LOG(L44/$J$44)/LOG(2))</f>
        <v>2.5960521015489895</v>
      </c>
      <c r="M45" s="165">
        <f t="shared" si="52"/>
        <v>2.5593080353659667</v>
      </c>
      <c r="N45" s="165">
        <f t="shared" si="52"/>
        <v>2.8230398322058692</v>
      </c>
      <c r="O45" s="165">
        <f t="shared" si="52"/>
        <v>3.2222725699484793</v>
      </c>
      <c r="P45" s="165">
        <f t="shared" si="52"/>
        <v>3.9835688086028611</v>
      </c>
      <c r="Q45" s="165">
        <f t="shared" si="52"/>
        <v>4.5234595254294128</v>
      </c>
      <c r="R45" s="165">
        <f>(R19-$J$19)/(LOG(R44/$J$44)/LOG(2))</f>
        <v>5.4555673200486643</v>
      </c>
      <c r="S45" s="165">
        <f t="shared" si="52"/>
        <v>7.0564446262708183</v>
      </c>
      <c r="T45" s="174">
        <f t="shared" si="52"/>
        <v>8.3244402338577377</v>
      </c>
      <c r="U45" s="174">
        <f t="shared" si="52"/>
        <v>9.3658876749196338</v>
      </c>
      <c r="V45" s="174">
        <f t="shared" si="52"/>
        <v>10.236758382820614</v>
      </c>
      <c r="W45" s="174">
        <f t="shared" si="52"/>
        <v>10.97578782025543</v>
      </c>
      <c r="X45" s="174">
        <f t="shared" si="52"/>
        <v>11.610808418734361</v>
      </c>
      <c r="Y45" s="174">
        <f t="shared" si="52"/>
        <v>12.162333532685439</v>
      </c>
      <c r="Z45" s="174">
        <f t="shared" si="52"/>
        <v>12.645814895405369</v>
      </c>
      <c r="AA45" s="174">
        <f t="shared" si="52"/>
        <v>13.073113088958708</v>
      </c>
      <c r="AB45" s="174">
        <f t="shared" si="52"/>
        <v>13.453483533850708</v>
      </c>
      <c r="AC45" s="179">
        <f t="shared" si="52"/>
        <v>13.794254531699869</v>
      </c>
      <c r="AD45" s="179">
        <f t="shared" ref="AD45" si="53">(AD19-$J$19)/(LOG(AD44/$J$44)/LOG(2))</f>
        <v>14.101304017681803</v>
      </c>
      <c r="AE45" s="179">
        <f t="shared" ref="AE45" si="54">(AE19-$J$19)/(LOG(AE44/$J$44)/LOG(2))</f>
        <v>14.379401452354404</v>
      </c>
      <c r="AF45" s="179">
        <f t="shared" ref="AF45" si="55">(AF19-$J$19)/(LOG(AF44/$J$44)/LOG(2))</f>
        <v>14.632457355620517</v>
      </c>
      <c r="AG45" s="179">
        <f t="shared" ref="AG45" si="56">(AG19-$J$19)/(LOG(AG44/$J$44)/LOG(2))</f>
        <v>14.863708336342068</v>
      </c>
      <c r="AH45" s="179">
        <f t="shared" ref="AH45:AI45" si="57">(AH19-$J$19)/(LOG(AH44/$J$44)/LOG(2))</f>
        <v>15.686216778339332</v>
      </c>
      <c r="AI45" s="180">
        <f t="shared" si="57"/>
        <v>18.092869215563997</v>
      </c>
    </row>
    <row r="46" spans="1:38" x14ac:dyDescent="0.25">
      <c r="A46" s="41" t="s">
        <v>198</v>
      </c>
      <c r="B46" s="16"/>
      <c r="C46" s="16"/>
      <c r="D46" s="16"/>
      <c r="E46" s="16"/>
      <c r="F46" s="16"/>
      <c r="G46" s="16"/>
      <c r="H46" s="16"/>
      <c r="I46" s="16"/>
      <c r="J46" s="273">
        <v>25</v>
      </c>
      <c r="K46" s="274">
        <v>60</v>
      </c>
      <c r="L46" s="274">
        <v>121</v>
      </c>
      <c r="M46" s="274">
        <v>269</v>
      </c>
      <c r="N46" s="274">
        <v>437</v>
      </c>
      <c r="O46" s="274">
        <v>913</v>
      </c>
      <c r="P46" s="274">
        <v>1751</v>
      </c>
      <c r="Q46" s="274">
        <v>3509</v>
      </c>
      <c r="R46" s="274">
        <v>6520</v>
      </c>
      <c r="S46" s="274">
        <v>11445</v>
      </c>
      <c r="T46" s="275"/>
      <c r="U46" s="275"/>
      <c r="V46" s="275"/>
      <c r="W46" s="275"/>
      <c r="X46" s="275"/>
      <c r="Y46" s="275"/>
      <c r="Z46" s="275"/>
      <c r="AA46" s="275"/>
      <c r="AB46" s="275"/>
      <c r="AC46" s="177"/>
      <c r="AD46" s="177"/>
      <c r="AE46" s="177"/>
      <c r="AF46" s="177"/>
      <c r="AG46" s="177"/>
      <c r="AH46" s="177"/>
      <c r="AI46" s="178"/>
    </row>
    <row r="47" spans="1:38" x14ac:dyDescent="0.25">
      <c r="A47" s="41" t="s">
        <v>61</v>
      </c>
      <c r="B47" s="16"/>
      <c r="C47" s="16"/>
      <c r="D47" s="16"/>
      <c r="E47" s="16"/>
      <c r="F47" s="16"/>
      <c r="G47" s="16"/>
      <c r="H47" s="16"/>
      <c r="I47" s="16"/>
      <c r="J47" s="218">
        <f>J44-J48-J46</f>
        <v>2</v>
      </c>
      <c r="K47" s="142">
        <f>K44-K48-K46</f>
        <v>5</v>
      </c>
      <c r="L47" s="142">
        <f t="shared" ref="L47:Q47" si="58">L44-L48-L46</f>
        <v>8</v>
      </c>
      <c r="M47" s="142">
        <f t="shared" si="58"/>
        <v>15</v>
      </c>
      <c r="N47" s="142">
        <f t="shared" si="58"/>
        <v>29</v>
      </c>
      <c r="O47" s="142">
        <f t="shared" si="58"/>
        <v>46</v>
      </c>
      <c r="P47" s="142">
        <f t="shared" si="58"/>
        <v>150</v>
      </c>
      <c r="Q47" s="142">
        <f t="shared" si="58"/>
        <v>359</v>
      </c>
      <c r="R47" s="142">
        <f t="shared" ref="R47:S47" si="59">R44-R48-R46</f>
        <v>1002</v>
      </c>
      <c r="S47" s="142">
        <f t="shared" si="59"/>
        <v>3518</v>
      </c>
      <c r="T47" s="175"/>
      <c r="U47" s="175"/>
      <c r="V47" s="175"/>
      <c r="W47" s="175"/>
      <c r="X47" s="175"/>
      <c r="Y47" s="175"/>
      <c r="Z47" s="175"/>
      <c r="AA47" s="175"/>
      <c r="AB47" s="175"/>
      <c r="AC47" s="104"/>
      <c r="AD47" s="104"/>
      <c r="AE47" s="104"/>
      <c r="AF47" s="104"/>
      <c r="AG47" s="104"/>
      <c r="AH47" s="104"/>
      <c r="AI47" s="105"/>
    </row>
    <row r="48" spans="1:38" x14ac:dyDescent="0.25">
      <c r="A48" s="49" t="s">
        <v>42</v>
      </c>
      <c r="B48" s="38"/>
      <c r="C48" s="39"/>
      <c r="D48" s="39"/>
      <c r="E48" s="39"/>
      <c r="F48" s="39"/>
      <c r="G48" s="39"/>
      <c r="H48" s="39"/>
      <c r="I48" s="39"/>
      <c r="J48" s="67">
        <v>0</v>
      </c>
      <c r="K48" s="68">
        <v>4</v>
      </c>
      <c r="L48" s="52">
        <v>5</v>
      </c>
      <c r="M48" s="52">
        <v>25</v>
      </c>
      <c r="N48" s="52">
        <v>48</v>
      </c>
      <c r="O48" s="52">
        <v>87</v>
      </c>
      <c r="P48" s="52">
        <v>191</v>
      </c>
      <c r="Q48" s="52">
        <v>373</v>
      </c>
      <c r="R48" s="52">
        <v>689</v>
      </c>
      <c r="S48" s="52">
        <v>1043</v>
      </c>
      <c r="T48" s="176"/>
      <c r="U48" s="176"/>
      <c r="V48" s="176"/>
      <c r="W48" s="176"/>
      <c r="X48" s="176"/>
      <c r="Y48" s="176"/>
      <c r="Z48" s="176"/>
      <c r="AA48" s="176"/>
      <c r="AB48" s="176"/>
      <c r="AC48" s="104"/>
      <c r="AD48" s="104"/>
      <c r="AE48" s="104"/>
      <c r="AF48" s="104"/>
      <c r="AG48" s="104"/>
      <c r="AH48" s="104"/>
      <c r="AI48" s="105"/>
    </row>
    <row r="49" spans="1:35" x14ac:dyDescent="0.25">
      <c r="B49" s="3"/>
      <c r="J49" s="35"/>
      <c r="K49" s="35"/>
      <c r="L49" s="35"/>
      <c r="M49" s="35"/>
      <c r="N49" s="35"/>
      <c r="O49" s="35"/>
      <c r="P49" s="35"/>
      <c r="Q49" s="35"/>
      <c r="R49" s="35"/>
      <c r="S49" s="35"/>
      <c r="T49" s="35"/>
      <c r="U49" s="35"/>
      <c r="V49" s="35"/>
      <c r="W49" s="35"/>
      <c r="X49" s="35"/>
      <c r="Y49" s="35"/>
      <c r="Z49" s="35"/>
      <c r="AA49" s="35"/>
    </row>
    <row r="50" spans="1:35" x14ac:dyDescent="0.25">
      <c r="A50" s="74" t="s">
        <v>47</v>
      </c>
      <c r="AA50" s="16"/>
    </row>
    <row r="51" spans="1:35" x14ac:dyDescent="0.25">
      <c r="A51" s="4" t="s">
        <v>0</v>
      </c>
      <c r="B51" s="183" t="s">
        <v>117</v>
      </c>
      <c r="C51" s="5" t="s">
        <v>3</v>
      </c>
      <c r="D51" s="183" t="s">
        <v>49</v>
      </c>
      <c r="E51" s="58" t="s">
        <v>2</v>
      </c>
      <c r="F51" s="5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47"/>
    </row>
    <row r="52" spans="1:35" x14ac:dyDescent="0.25">
      <c r="A52" s="41" t="s">
        <v>12</v>
      </c>
      <c r="B52" s="13">
        <f>'Population by Age'!E19</f>
        <v>7.4000000000000003E-3</v>
      </c>
      <c r="C52" s="12">
        <f>$B$7*B52</f>
        <v>2019356.4000000001</v>
      </c>
      <c r="D52" s="22">
        <f>'Infection Rate by Age'!B4</f>
        <v>0.01</v>
      </c>
      <c r="E52" s="5"/>
      <c r="F52" s="16"/>
      <c r="G52" s="16"/>
      <c r="H52" s="16"/>
      <c r="I52" s="16"/>
      <c r="J52" s="18">
        <f t="shared" ref="J52:AH52" si="60">J$20*$D$52</f>
        <v>0.3125</v>
      </c>
      <c r="K52" s="19">
        <f t="shared" si="60"/>
        <v>0.625</v>
      </c>
      <c r="L52" s="19">
        <f t="shared" si="60"/>
        <v>1.25</v>
      </c>
      <c r="M52" s="19">
        <f t="shared" si="60"/>
        <v>2.5</v>
      </c>
      <c r="N52" s="19">
        <f t="shared" si="60"/>
        <v>5</v>
      </c>
      <c r="O52" s="19">
        <f t="shared" si="60"/>
        <v>10</v>
      </c>
      <c r="P52" s="19">
        <f t="shared" si="60"/>
        <v>20</v>
      </c>
      <c r="Q52" s="19">
        <f t="shared" si="60"/>
        <v>40</v>
      </c>
      <c r="R52" s="19">
        <f t="shared" si="60"/>
        <v>80</v>
      </c>
      <c r="S52" s="19">
        <f t="shared" si="60"/>
        <v>160</v>
      </c>
      <c r="T52" s="19">
        <f t="shared" si="60"/>
        <v>320</v>
      </c>
      <c r="U52" s="19">
        <f t="shared" si="60"/>
        <v>640</v>
      </c>
      <c r="V52" s="19">
        <f t="shared" si="60"/>
        <v>1280</v>
      </c>
      <c r="W52" s="19">
        <f t="shared" si="60"/>
        <v>2560</v>
      </c>
      <c r="X52" s="19">
        <f t="shared" si="60"/>
        <v>5120</v>
      </c>
      <c r="Y52" s="19">
        <f t="shared" si="60"/>
        <v>10240</v>
      </c>
      <c r="Z52" s="19">
        <f t="shared" si="60"/>
        <v>20480</v>
      </c>
      <c r="AA52" s="19">
        <f t="shared" si="60"/>
        <v>40960</v>
      </c>
      <c r="AB52" s="19">
        <f t="shared" si="60"/>
        <v>81920</v>
      </c>
      <c r="AC52" s="19">
        <f t="shared" si="60"/>
        <v>163840</v>
      </c>
      <c r="AD52" s="19">
        <f t="shared" si="60"/>
        <v>327680</v>
      </c>
      <c r="AE52" s="60">
        <f t="shared" si="60"/>
        <v>655360</v>
      </c>
      <c r="AF52" s="18">
        <f t="shared" si="60"/>
        <v>1310720</v>
      </c>
      <c r="AG52" s="19">
        <f t="shared" si="60"/>
        <v>2621440</v>
      </c>
      <c r="AH52" s="19">
        <f t="shared" si="60"/>
        <v>2728860</v>
      </c>
      <c r="AI52" s="45"/>
    </row>
    <row r="53" spans="1:35" x14ac:dyDescent="0.25">
      <c r="A53" s="41"/>
      <c r="B53" s="6"/>
      <c r="C53" s="10"/>
      <c r="D53" s="8"/>
      <c r="E53" s="27">
        <v>0.14799999999999999</v>
      </c>
      <c r="F53" s="15"/>
      <c r="G53" s="10"/>
      <c r="H53" s="15"/>
      <c r="I53" s="10"/>
      <c r="J53" s="29">
        <f t="shared" ref="J53:AH53" si="61">J$20*$D$52*$E$53</f>
        <v>4.6249999999999999E-2</v>
      </c>
      <c r="K53" s="30">
        <f t="shared" si="61"/>
        <v>9.2499999999999999E-2</v>
      </c>
      <c r="L53" s="30">
        <f t="shared" si="61"/>
        <v>0.185</v>
      </c>
      <c r="M53" s="30">
        <f t="shared" si="61"/>
        <v>0.37</v>
      </c>
      <c r="N53" s="30">
        <f t="shared" si="61"/>
        <v>0.74</v>
      </c>
      <c r="O53" s="30">
        <f t="shared" si="61"/>
        <v>1.48</v>
      </c>
      <c r="P53" s="30">
        <f t="shared" si="61"/>
        <v>2.96</v>
      </c>
      <c r="Q53" s="30">
        <f t="shared" si="61"/>
        <v>5.92</v>
      </c>
      <c r="R53" s="30">
        <f t="shared" si="61"/>
        <v>11.84</v>
      </c>
      <c r="S53" s="30">
        <f t="shared" si="61"/>
        <v>23.68</v>
      </c>
      <c r="T53" s="30">
        <f t="shared" si="61"/>
        <v>47.36</v>
      </c>
      <c r="U53" s="30">
        <f t="shared" si="61"/>
        <v>94.72</v>
      </c>
      <c r="V53" s="30">
        <f t="shared" si="61"/>
        <v>189.44</v>
      </c>
      <c r="W53" s="30">
        <f t="shared" si="61"/>
        <v>378.88</v>
      </c>
      <c r="X53" s="30">
        <f t="shared" si="61"/>
        <v>757.76</v>
      </c>
      <c r="Y53" s="30">
        <f t="shared" si="61"/>
        <v>1515.52</v>
      </c>
      <c r="Z53" s="30">
        <f t="shared" si="61"/>
        <v>3031.04</v>
      </c>
      <c r="AA53" s="30">
        <f t="shared" si="61"/>
        <v>6062.08</v>
      </c>
      <c r="AB53" s="30">
        <f t="shared" si="61"/>
        <v>12124.16</v>
      </c>
      <c r="AC53" s="30">
        <f t="shared" si="61"/>
        <v>24248.32</v>
      </c>
      <c r="AD53" s="30">
        <f t="shared" si="61"/>
        <v>48496.639999999999</v>
      </c>
      <c r="AE53" s="71">
        <f t="shared" si="61"/>
        <v>96993.279999999999</v>
      </c>
      <c r="AF53" s="29">
        <f t="shared" si="61"/>
        <v>193986.56</v>
      </c>
      <c r="AG53" s="30">
        <f t="shared" si="61"/>
        <v>387973.12</v>
      </c>
      <c r="AH53" s="30">
        <f t="shared" si="61"/>
        <v>403871.27999999997</v>
      </c>
      <c r="AI53" s="45"/>
    </row>
    <row r="54" spans="1:35" x14ac:dyDescent="0.25">
      <c r="A54" s="41" t="s">
        <v>13</v>
      </c>
      <c r="B54" s="6">
        <f>'Population by Age'!E18</f>
        <v>2.5399999999999999E-2</v>
      </c>
      <c r="C54" s="10">
        <f t="shared" ref="C54:C68" si="62">$B$7*B54</f>
        <v>6931304.3999999994</v>
      </c>
      <c r="D54" s="23">
        <f>'Infection Rate by Age'!B5</f>
        <v>2.9000000000000001E-2</v>
      </c>
      <c r="E54" s="17"/>
      <c r="F54" s="16"/>
      <c r="G54" s="16"/>
      <c r="H54" s="16"/>
      <c r="I54" s="16"/>
      <c r="J54" s="20">
        <f t="shared" ref="J54:AH54" si="63">J$20*$D$54</f>
        <v>0.90625</v>
      </c>
      <c r="K54" s="21">
        <f t="shared" si="63"/>
        <v>1.8125</v>
      </c>
      <c r="L54" s="21">
        <f t="shared" si="63"/>
        <v>3.625</v>
      </c>
      <c r="M54" s="21">
        <f t="shared" si="63"/>
        <v>7.25</v>
      </c>
      <c r="N54" s="21">
        <f t="shared" si="63"/>
        <v>14.5</v>
      </c>
      <c r="O54" s="21">
        <f t="shared" si="63"/>
        <v>29</v>
      </c>
      <c r="P54" s="21">
        <f t="shared" si="63"/>
        <v>58</v>
      </c>
      <c r="Q54" s="21">
        <f t="shared" si="63"/>
        <v>116</v>
      </c>
      <c r="R54" s="21">
        <f t="shared" si="63"/>
        <v>232</v>
      </c>
      <c r="S54" s="21">
        <f t="shared" si="63"/>
        <v>464</v>
      </c>
      <c r="T54" s="21">
        <f t="shared" si="63"/>
        <v>928</v>
      </c>
      <c r="U54" s="21">
        <f t="shared" si="63"/>
        <v>1856</v>
      </c>
      <c r="V54" s="21">
        <f t="shared" si="63"/>
        <v>3712</v>
      </c>
      <c r="W54" s="21">
        <f t="shared" si="63"/>
        <v>7424</v>
      </c>
      <c r="X54" s="21">
        <f t="shared" si="63"/>
        <v>14848</v>
      </c>
      <c r="Y54" s="21">
        <f t="shared" si="63"/>
        <v>29696</v>
      </c>
      <c r="Z54" s="21">
        <f t="shared" si="63"/>
        <v>59392</v>
      </c>
      <c r="AA54" s="21">
        <f t="shared" si="63"/>
        <v>118784</v>
      </c>
      <c r="AB54" s="21">
        <f t="shared" si="63"/>
        <v>237568</v>
      </c>
      <c r="AC54" s="21">
        <f t="shared" si="63"/>
        <v>475136</v>
      </c>
      <c r="AD54" s="21">
        <f t="shared" si="63"/>
        <v>950272</v>
      </c>
      <c r="AE54" s="72">
        <f t="shared" si="63"/>
        <v>1900544</v>
      </c>
      <c r="AF54" s="20">
        <f t="shared" si="63"/>
        <v>3801088</v>
      </c>
      <c r="AG54" s="21">
        <f t="shared" si="63"/>
        <v>7602176</v>
      </c>
      <c r="AH54" s="21">
        <f t="shared" si="63"/>
        <v>7913694</v>
      </c>
      <c r="AI54" s="45"/>
    </row>
    <row r="55" spans="1:35" x14ac:dyDescent="0.25">
      <c r="A55" s="41"/>
      <c r="B55" s="6"/>
      <c r="C55" s="10"/>
      <c r="D55" s="8"/>
      <c r="E55" s="27">
        <v>0.08</v>
      </c>
      <c r="F55" s="15"/>
      <c r="G55" s="10"/>
      <c r="H55" s="15"/>
      <c r="I55" s="10"/>
      <c r="J55" s="29">
        <f t="shared" ref="J55:AH55" si="64">J$20*$D$54*$E$55</f>
        <v>7.2499999999999995E-2</v>
      </c>
      <c r="K55" s="30">
        <f t="shared" si="64"/>
        <v>0.14499999999999999</v>
      </c>
      <c r="L55" s="30">
        <f t="shared" si="64"/>
        <v>0.28999999999999998</v>
      </c>
      <c r="M55" s="30">
        <f t="shared" si="64"/>
        <v>0.57999999999999996</v>
      </c>
      <c r="N55" s="30">
        <f t="shared" si="64"/>
        <v>1.1599999999999999</v>
      </c>
      <c r="O55" s="30">
        <f t="shared" si="64"/>
        <v>2.3199999999999998</v>
      </c>
      <c r="P55" s="30">
        <f t="shared" si="64"/>
        <v>4.6399999999999997</v>
      </c>
      <c r="Q55" s="30">
        <f t="shared" si="64"/>
        <v>9.2799999999999994</v>
      </c>
      <c r="R55" s="30">
        <f t="shared" si="64"/>
        <v>18.559999999999999</v>
      </c>
      <c r="S55" s="30">
        <f t="shared" si="64"/>
        <v>37.119999999999997</v>
      </c>
      <c r="T55" s="30">
        <f t="shared" si="64"/>
        <v>74.239999999999995</v>
      </c>
      <c r="U55" s="30">
        <f t="shared" si="64"/>
        <v>148.47999999999999</v>
      </c>
      <c r="V55" s="30">
        <f t="shared" si="64"/>
        <v>296.95999999999998</v>
      </c>
      <c r="W55" s="30">
        <f t="shared" si="64"/>
        <v>593.91999999999996</v>
      </c>
      <c r="X55" s="30">
        <f t="shared" si="64"/>
        <v>1187.8399999999999</v>
      </c>
      <c r="Y55" s="30">
        <f t="shared" si="64"/>
        <v>2375.6799999999998</v>
      </c>
      <c r="Z55" s="30">
        <f t="shared" si="64"/>
        <v>4751.3599999999997</v>
      </c>
      <c r="AA55" s="30">
        <f t="shared" si="64"/>
        <v>9502.7199999999993</v>
      </c>
      <c r="AB55" s="30">
        <f t="shared" si="64"/>
        <v>19005.439999999999</v>
      </c>
      <c r="AC55" s="30">
        <f t="shared" si="64"/>
        <v>38010.879999999997</v>
      </c>
      <c r="AD55" s="30">
        <f t="shared" si="64"/>
        <v>76021.759999999995</v>
      </c>
      <c r="AE55" s="71">
        <f t="shared" si="64"/>
        <v>152043.51999999999</v>
      </c>
      <c r="AF55" s="29">
        <f t="shared" si="64"/>
        <v>304087.03999999998</v>
      </c>
      <c r="AG55" s="30">
        <f t="shared" si="64"/>
        <v>608174.07999999996</v>
      </c>
      <c r="AH55" s="30">
        <f t="shared" si="64"/>
        <v>633095.52</v>
      </c>
      <c r="AI55" s="45"/>
    </row>
    <row r="56" spans="1:35" x14ac:dyDescent="0.25">
      <c r="A56" s="41" t="s">
        <v>14</v>
      </c>
      <c r="B56" s="6">
        <f>'Population by Age'!E16</f>
        <v>6.2300000000000001E-2</v>
      </c>
      <c r="C56" s="10">
        <f t="shared" si="62"/>
        <v>17000797.800000001</v>
      </c>
      <c r="D56" s="23">
        <f>'Infection Rate by Age'!B6</f>
        <v>0.121</v>
      </c>
      <c r="E56" s="17"/>
      <c r="F56" s="10"/>
      <c r="G56" s="10"/>
      <c r="H56" s="10"/>
      <c r="I56" s="10"/>
      <c r="J56" s="20">
        <f t="shared" ref="J56:AH56" si="65">J$20*$D$56</f>
        <v>3.78125</v>
      </c>
      <c r="K56" s="21">
        <f t="shared" si="65"/>
        <v>7.5625</v>
      </c>
      <c r="L56" s="21">
        <f t="shared" si="65"/>
        <v>15.125</v>
      </c>
      <c r="M56" s="21">
        <f t="shared" si="65"/>
        <v>30.25</v>
      </c>
      <c r="N56" s="21">
        <f t="shared" si="65"/>
        <v>60.5</v>
      </c>
      <c r="O56" s="21">
        <f t="shared" si="65"/>
        <v>121</v>
      </c>
      <c r="P56" s="21">
        <f t="shared" si="65"/>
        <v>242</v>
      </c>
      <c r="Q56" s="21">
        <f t="shared" si="65"/>
        <v>484</v>
      </c>
      <c r="R56" s="21">
        <f t="shared" si="65"/>
        <v>968</v>
      </c>
      <c r="S56" s="21">
        <f t="shared" si="65"/>
        <v>1936</v>
      </c>
      <c r="T56" s="21">
        <f t="shared" si="65"/>
        <v>3872</v>
      </c>
      <c r="U56" s="21">
        <f t="shared" si="65"/>
        <v>7744</v>
      </c>
      <c r="V56" s="21">
        <f t="shared" si="65"/>
        <v>15488</v>
      </c>
      <c r="W56" s="21">
        <f t="shared" si="65"/>
        <v>30976</v>
      </c>
      <c r="X56" s="21">
        <f t="shared" si="65"/>
        <v>61952</v>
      </c>
      <c r="Y56" s="21">
        <f t="shared" si="65"/>
        <v>123904</v>
      </c>
      <c r="Z56" s="21">
        <f t="shared" si="65"/>
        <v>247808</v>
      </c>
      <c r="AA56" s="21">
        <f t="shared" si="65"/>
        <v>495616</v>
      </c>
      <c r="AB56" s="21">
        <f t="shared" si="65"/>
        <v>991232</v>
      </c>
      <c r="AC56" s="21">
        <f t="shared" si="65"/>
        <v>1982464</v>
      </c>
      <c r="AD56" s="21">
        <f t="shared" si="65"/>
        <v>3964928</v>
      </c>
      <c r="AE56" s="72">
        <f t="shared" si="65"/>
        <v>7929856</v>
      </c>
      <c r="AF56" s="20">
        <f t="shared" si="65"/>
        <v>15859712</v>
      </c>
      <c r="AG56" s="21">
        <f t="shared" si="65"/>
        <v>31719424</v>
      </c>
      <c r="AH56" s="21">
        <f t="shared" si="65"/>
        <v>33019206</v>
      </c>
      <c r="AI56" s="45"/>
    </row>
    <row r="57" spans="1:35" x14ac:dyDescent="0.25">
      <c r="A57" s="41"/>
      <c r="B57" s="6"/>
      <c r="C57" s="10"/>
      <c r="D57" s="8"/>
      <c r="E57" s="27">
        <v>3.5999999999999997E-2</v>
      </c>
      <c r="F57" s="15"/>
      <c r="G57" s="10"/>
      <c r="H57" s="15"/>
      <c r="I57" s="10"/>
      <c r="J57" s="29">
        <f t="shared" ref="J57:AH57" si="66">J$20*$D$56*$E$57</f>
        <v>0.136125</v>
      </c>
      <c r="K57" s="30">
        <f t="shared" si="66"/>
        <v>0.27224999999999999</v>
      </c>
      <c r="L57" s="30">
        <f t="shared" si="66"/>
        <v>0.54449999999999998</v>
      </c>
      <c r="M57" s="30">
        <f t="shared" si="66"/>
        <v>1.089</v>
      </c>
      <c r="N57" s="30">
        <f t="shared" si="66"/>
        <v>2.1779999999999999</v>
      </c>
      <c r="O57" s="30">
        <f t="shared" si="66"/>
        <v>4.3559999999999999</v>
      </c>
      <c r="P57" s="30">
        <f t="shared" si="66"/>
        <v>8.7119999999999997</v>
      </c>
      <c r="Q57" s="30">
        <f t="shared" si="66"/>
        <v>17.423999999999999</v>
      </c>
      <c r="R57" s="30">
        <f t="shared" si="66"/>
        <v>34.847999999999999</v>
      </c>
      <c r="S57" s="30">
        <f t="shared" si="66"/>
        <v>69.695999999999998</v>
      </c>
      <c r="T57" s="30">
        <f t="shared" si="66"/>
        <v>139.392</v>
      </c>
      <c r="U57" s="30">
        <f t="shared" si="66"/>
        <v>278.78399999999999</v>
      </c>
      <c r="V57" s="30">
        <f t="shared" si="66"/>
        <v>557.56799999999998</v>
      </c>
      <c r="W57" s="30">
        <f t="shared" si="66"/>
        <v>1115.136</v>
      </c>
      <c r="X57" s="30">
        <f t="shared" si="66"/>
        <v>2230.2719999999999</v>
      </c>
      <c r="Y57" s="30">
        <f t="shared" si="66"/>
        <v>4460.5439999999999</v>
      </c>
      <c r="Z57" s="30">
        <f t="shared" si="66"/>
        <v>8921.0879999999997</v>
      </c>
      <c r="AA57" s="30">
        <f t="shared" si="66"/>
        <v>17842.175999999999</v>
      </c>
      <c r="AB57" s="30">
        <f t="shared" si="66"/>
        <v>35684.351999999999</v>
      </c>
      <c r="AC57" s="30">
        <f t="shared" si="66"/>
        <v>71368.703999999998</v>
      </c>
      <c r="AD57" s="30">
        <f t="shared" si="66"/>
        <v>142737.408</v>
      </c>
      <c r="AE57" s="71">
        <f t="shared" si="66"/>
        <v>285474.81599999999</v>
      </c>
      <c r="AF57" s="29">
        <f t="shared" si="66"/>
        <v>570949.63199999998</v>
      </c>
      <c r="AG57" s="30">
        <f t="shared" si="66"/>
        <v>1141899.264</v>
      </c>
      <c r="AH57" s="30">
        <f t="shared" si="66"/>
        <v>1188691.416</v>
      </c>
      <c r="AI57" s="45"/>
    </row>
    <row r="58" spans="1:35" x14ac:dyDescent="0.25">
      <c r="A58" s="41" t="s">
        <v>15</v>
      </c>
      <c r="B58" s="6">
        <f>'Population by Age'!E14</f>
        <v>0.105</v>
      </c>
      <c r="C58" s="10">
        <f t="shared" si="62"/>
        <v>28653030</v>
      </c>
      <c r="D58" s="23">
        <f>'Infection Rate by Age'!B7</f>
        <v>0.159</v>
      </c>
      <c r="E58" s="17"/>
      <c r="F58" s="10"/>
      <c r="G58" s="10"/>
      <c r="H58" s="10"/>
      <c r="I58" s="10"/>
      <c r="J58" s="20">
        <f t="shared" ref="J58:AH58" si="67">J$20*$D$58</f>
        <v>4.96875</v>
      </c>
      <c r="K58" s="21">
        <f t="shared" si="67"/>
        <v>9.9375</v>
      </c>
      <c r="L58" s="21">
        <f t="shared" si="67"/>
        <v>19.875</v>
      </c>
      <c r="M58" s="21">
        <f t="shared" si="67"/>
        <v>39.75</v>
      </c>
      <c r="N58" s="21">
        <f t="shared" si="67"/>
        <v>79.5</v>
      </c>
      <c r="O58" s="21">
        <f t="shared" si="67"/>
        <v>159</v>
      </c>
      <c r="P58" s="21">
        <f t="shared" si="67"/>
        <v>318</v>
      </c>
      <c r="Q58" s="21">
        <f t="shared" si="67"/>
        <v>636</v>
      </c>
      <c r="R58" s="21">
        <f t="shared" si="67"/>
        <v>1272</v>
      </c>
      <c r="S58" s="21">
        <f t="shared" si="67"/>
        <v>2544</v>
      </c>
      <c r="T58" s="21">
        <f t="shared" si="67"/>
        <v>5088</v>
      </c>
      <c r="U58" s="21">
        <f t="shared" si="67"/>
        <v>10176</v>
      </c>
      <c r="V58" s="21">
        <f t="shared" si="67"/>
        <v>20352</v>
      </c>
      <c r="W58" s="21">
        <f t="shared" si="67"/>
        <v>40704</v>
      </c>
      <c r="X58" s="21">
        <f t="shared" si="67"/>
        <v>81408</v>
      </c>
      <c r="Y58" s="21">
        <f t="shared" si="67"/>
        <v>162816</v>
      </c>
      <c r="Z58" s="21">
        <f t="shared" si="67"/>
        <v>325632</v>
      </c>
      <c r="AA58" s="21">
        <f t="shared" si="67"/>
        <v>651264</v>
      </c>
      <c r="AB58" s="21">
        <f t="shared" si="67"/>
        <v>1302528</v>
      </c>
      <c r="AC58" s="21">
        <f t="shared" si="67"/>
        <v>2605056</v>
      </c>
      <c r="AD58" s="21">
        <f t="shared" si="67"/>
        <v>5210112</v>
      </c>
      <c r="AE58" s="72">
        <f t="shared" si="67"/>
        <v>10420224</v>
      </c>
      <c r="AF58" s="20">
        <f t="shared" si="67"/>
        <v>20840448</v>
      </c>
      <c r="AG58" s="21">
        <f t="shared" si="67"/>
        <v>41680896</v>
      </c>
      <c r="AH58" s="21">
        <f t="shared" si="67"/>
        <v>43388874</v>
      </c>
      <c r="AI58" s="45"/>
    </row>
    <row r="59" spans="1:35" x14ac:dyDescent="0.25">
      <c r="A59" s="41"/>
      <c r="B59" s="6"/>
      <c r="C59" s="10"/>
      <c r="D59" s="8"/>
      <c r="E59" s="27">
        <v>1.2999999999999999E-2</v>
      </c>
      <c r="F59" s="15"/>
      <c r="G59" s="10"/>
      <c r="H59" s="15"/>
      <c r="I59" s="10"/>
      <c r="J59" s="29">
        <f t="shared" ref="J59:AH59" si="68">J$20*$D$58*$E$59</f>
        <v>6.4593749999999991E-2</v>
      </c>
      <c r="K59" s="30">
        <f t="shared" si="68"/>
        <v>0.12918749999999998</v>
      </c>
      <c r="L59" s="30">
        <f t="shared" si="68"/>
        <v>0.25837499999999997</v>
      </c>
      <c r="M59" s="30">
        <f t="shared" si="68"/>
        <v>0.51674999999999993</v>
      </c>
      <c r="N59" s="30">
        <f t="shared" si="68"/>
        <v>1.0334999999999999</v>
      </c>
      <c r="O59" s="30">
        <f t="shared" si="68"/>
        <v>2.0669999999999997</v>
      </c>
      <c r="P59" s="30">
        <f t="shared" si="68"/>
        <v>4.1339999999999995</v>
      </c>
      <c r="Q59" s="30">
        <f t="shared" si="68"/>
        <v>8.2679999999999989</v>
      </c>
      <c r="R59" s="30">
        <f t="shared" si="68"/>
        <v>16.535999999999998</v>
      </c>
      <c r="S59" s="30">
        <f t="shared" si="68"/>
        <v>33.071999999999996</v>
      </c>
      <c r="T59" s="30">
        <f t="shared" si="68"/>
        <v>66.143999999999991</v>
      </c>
      <c r="U59" s="30">
        <f t="shared" si="68"/>
        <v>132.28799999999998</v>
      </c>
      <c r="V59" s="30">
        <f t="shared" si="68"/>
        <v>264.57599999999996</v>
      </c>
      <c r="W59" s="30">
        <f t="shared" si="68"/>
        <v>529.15199999999993</v>
      </c>
      <c r="X59" s="30">
        <f t="shared" si="68"/>
        <v>1058.3039999999999</v>
      </c>
      <c r="Y59" s="30">
        <f t="shared" si="68"/>
        <v>2116.6079999999997</v>
      </c>
      <c r="Z59" s="30">
        <f t="shared" si="68"/>
        <v>4233.2159999999994</v>
      </c>
      <c r="AA59" s="30">
        <f t="shared" si="68"/>
        <v>8466.4319999999989</v>
      </c>
      <c r="AB59" s="30">
        <f t="shared" si="68"/>
        <v>16932.863999999998</v>
      </c>
      <c r="AC59" s="30">
        <f t="shared" si="68"/>
        <v>33865.727999999996</v>
      </c>
      <c r="AD59" s="30">
        <f t="shared" si="68"/>
        <v>67731.455999999991</v>
      </c>
      <c r="AE59" s="71">
        <f t="shared" si="68"/>
        <v>135462.91199999998</v>
      </c>
      <c r="AF59" s="29">
        <f t="shared" si="68"/>
        <v>270925.82399999996</v>
      </c>
      <c r="AG59" s="30">
        <f t="shared" si="68"/>
        <v>541851.64799999993</v>
      </c>
      <c r="AH59" s="30">
        <f t="shared" si="68"/>
        <v>564055.36199999996</v>
      </c>
      <c r="AI59" s="45"/>
    </row>
    <row r="60" spans="1:35" x14ac:dyDescent="0.25">
      <c r="A60" s="41" t="s">
        <v>16</v>
      </c>
      <c r="B60" s="6">
        <f>'Population by Age'!E12</f>
        <v>0.13589999999999999</v>
      </c>
      <c r="C60" s="10">
        <f t="shared" si="62"/>
        <v>37085207.399999999</v>
      </c>
      <c r="D60" s="23">
        <f>'Infection Rate by Age'!B8</f>
        <v>0.17100000000000001</v>
      </c>
      <c r="E60" s="17"/>
      <c r="F60" s="10"/>
      <c r="G60" s="10"/>
      <c r="H60" s="10"/>
      <c r="I60" s="10"/>
      <c r="J60" s="20">
        <f t="shared" ref="J60:AH60" si="69">J$20*$D$60</f>
        <v>5.34375</v>
      </c>
      <c r="K60" s="21">
        <f t="shared" si="69"/>
        <v>10.6875</v>
      </c>
      <c r="L60" s="21">
        <f t="shared" si="69"/>
        <v>21.375</v>
      </c>
      <c r="M60" s="21">
        <f t="shared" si="69"/>
        <v>42.75</v>
      </c>
      <c r="N60" s="21">
        <f t="shared" si="69"/>
        <v>85.5</v>
      </c>
      <c r="O60" s="21">
        <f t="shared" si="69"/>
        <v>171</v>
      </c>
      <c r="P60" s="21">
        <f t="shared" si="69"/>
        <v>342</v>
      </c>
      <c r="Q60" s="21">
        <f t="shared" si="69"/>
        <v>684</v>
      </c>
      <c r="R60" s="21">
        <f t="shared" si="69"/>
        <v>1368</v>
      </c>
      <c r="S60" s="21">
        <f t="shared" si="69"/>
        <v>2736</v>
      </c>
      <c r="T60" s="21">
        <f t="shared" si="69"/>
        <v>5472</v>
      </c>
      <c r="U60" s="21">
        <f t="shared" si="69"/>
        <v>10944</v>
      </c>
      <c r="V60" s="21">
        <f t="shared" si="69"/>
        <v>21888</v>
      </c>
      <c r="W60" s="21">
        <f t="shared" si="69"/>
        <v>43776</v>
      </c>
      <c r="X60" s="21">
        <f t="shared" si="69"/>
        <v>87552</v>
      </c>
      <c r="Y60" s="21">
        <f t="shared" si="69"/>
        <v>175104</v>
      </c>
      <c r="Z60" s="21">
        <f t="shared" si="69"/>
        <v>350208</v>
      </c>
      <c r="AA60" s="21">
        <f t="shared" si="69"/>
        <v>700416</v>
      </c>
      <c r="AB60" s="21">
        <f t="shared" si="69"/>
        <v>1400832</v>
      </c>
      <c r="AC60" s="21">
        <f t="shared" si="69"/>
        <v>2801664</v>
      </c>
      <c r="AD60" s="21">
        <f t="shared" si="69"/>
        <v>5603328</v>
      </c>
      <c r="AE60" s="72">
        <f t="shared" si="69"/>
        <v>11206656</v>
      </c>
      <c r="AF60" s="20">
        <f t="shared" si="69"/>
        <v>22413312</v>
      </c>
      <c r="AG60" s="21">
        <f t="shared" si="69"/>
        <v>44826624</v>
      </c>
      <c r="AH60" s="21">
        <f t="shared" si="69"/>
        <v>46663506</v>
      </c>
      <c r="AI60" s="45"/>
    </row>
    <row r="61" spans="1:35" x14ac:dyDescent="0.25">
      <c r="A61" s="41"/>
      <c r="B61" s="6"/>
      <c r="C61" s="10"/>
      <c r="D61" s="8"/>
      <c r="E61" s="27">
        <v>4.0000000000000001E-3</v>
      </c>
      <c r="F61" s="15"/>
      <c r="G61" s="10"/>
      <c r="H61" s="15"/>
      <c r="I61" s="10"/>
      <c r="J61" s="29">
        <f t="shared" ref="J61:AH61" si="70">J$20*$D$60*$E$61</f>
        <v>2.1375000000000002E-2</v>
      </c>
      <c r="K61" s="30">
        <f t="shared" si="70"/>
        <v>4.2750000000000003E-2</v>
      </c>
      <c r="L61" s="30">
        <f t="shared" si="70"/>
        <v>8.5500000000000007E-2</v>
      </c>
      <c r="M61" s="30">
        <f t="shared" si="70"/>
        <v>0.17100000000000001</v>
      </c>
      <c r="N61" s="30">
        <f t="shared" si="70"/>
        <v>0.34200000000000003</v>
      </c>
      <c r="O61" s="30">
        <f t="shared" si="70"/>
        <v>0.68400000000000005</v>
      </c>
      <c r="P61" s="30">
        <f t="shared" si="70"/>
        <v>1.3680000000000001</v>
      </c>
      <c r="Q61" s="30">
        <f t="shared" si="70"/>
        <v>2.7360000000000002</v>
      </c>
      <c r="R61" s="30">
        <f t="shared" si="70"/>
        <v>5.4720000000000004</v>
      </c>
      <c r="S61" s="30">
        <f t="shared" si="70"/>
        <v>10.944000000000001</v>
      </c>
      <c r="T61" s="30">
        <f t="shared" si="70"/>
        <v>21.888000000000002</v>
      </c>
      <c r="U61" s="30">
        <f t="shared" si="70"/>
        <v>43.776000000000003</v>
      </c>
      <c r="V61" s="30">
        <f t="shared" si="70"/>
        <v>87.552000000000007</v>
      </c>
      <c r="W61" s="30">
        <f t="shared" si="70"/>
        <v>175.10400000000001</v>
      </c>
      <c r="X61" s="30">
        <f t="shared" si="70"/>
        <v>350.20800000000003</v>
      </c>
      <c r="Y61" s="30">
        <f t="shared" si="70"/>
        <v>700.41600000000005</v>
      </c>
      <c r="Z61" s="30">
        <f t="shared" si="70"/>
        <v>1400.8320000000001</v>
      </c>
      <c r="AA61" s="30">
        <f t="shared" si="70"/>
        <v>2801.6640000000002</v>
      </c>
      <c r="AB61" s="30">
        <f t="shared" si="70"/>
        <v>5603.3280000000004</v>
      </c>
      <c r="AC61" s="30">
        <f t="shared" si="70"/>
        <v>11206.656000000001</v>
      </c>
      <c r="AD61" s="30">
        <f t="shared" si="70"/>
        <v>22413.312000000002</v>
      </c>
      <c r="AE61" s="71">
        <f t="shared" si="70"/>
        <v>44826.624000000003</v>
      </c>
      <c r="AF61" s="29">
        <f t="shared" si="70"/>
        <v>89653.248000000007</v>
      </c>
      <c r="AG61" s="30">
        <f t="shared" si="70"/>
        <v>179306.49600000001</v>
      </c>
      <c r="AH61" s="30">
        <f t="shared" si="70"/>
        <v>186654.024</v>
      </c>
      <c r="AI61" s="45"/>
    </row>
    <row r="62" spans="1:35" x14ac:dyDescent="0.25">
      <c r="A62" s="41" t="s">
        <v>17</v>
      </c>
      <c r="B62" s="6">
        <f>'Population by Age'!E10</f>
        <v>0.15310000000000001</v>
      </c>
      <c r="C62" s="10">
        <f t="shared" si="62"/>
        <v>41778846.600000001</v>
      </c>
      <c r="D62" s="23">
        <f>'Infection Rate by Age'!B9</f>
        <v>0.219</v>
      </c>
      <c r="E62" s="17"/>
      <c r="F62" s="10"/>
      <c r="G62" s="14"/>
      <c r="H62" s="10"/>
      <c r="I62" s="10"/>
      <c r="J62" s="20">
        <f t="shared" ref="J62:AH62" si="71">J$20*$D$62</f>
        <v>6.84375</v>
      </c>
      <c r="K62" s="21">
        <f t="shared" si="71"/>
        <v>13.6875</v>
      </c>
      <c r="L62" s="21">
        <f t="shared" si="71"/>
        <v>27.375</v>
      </c>
      <c r="M62" s="21">
        <f t="shared" si="71"/>
        <v>54.75</v>
      </c>
      <c r="N62" s="21">
        <f t="shared" si="71"/>
        <v>109.5</v>
      </c>
      <c r="O62" s="21">
        <f t="shared" si="71"/>
        <v>219</v>
      </c>
      <c r="P62" s="21">
        <f t="shared" si="71"/>
        <v>438</v>
      </c>
      <c r="Q62" s="21">
        <f t="shared" si="71"/>
        <v>876</v>
      </c>
      <c r="R62" s="21">
        <f t="shared" si="71"/>
        <v>1752</v>
      </c>
      <c r="S62" s="21">
        <f t="shared" si="71"/>
        <v>3504</v>
      </c>
      <c r="T62" s="21">
        <f t="shared" si="71"/>
        <v>7008</v>
      </c>
      <c r="U62" s="21">
        <f t="shared" si="71"/>
        <v>14016</v>
      </c>
      <c r="V62" s="21">
        <f t="shared" si="71"/>
        <v>28032</v>
      </c>
      <c r="W62" s="21">
        <f t="shared" si="71"/>
        <v>56064</v>
      </c>
      <c r="X62" s="21">
        <f t="shared" si="71"/>
        <v>112128</v>
      </c>
      <c r="Y62" s="21">
        <f t="shared" si="71"/>
        <v>224256</v>
      </c>
      <c r="Z62" s="21">
        <f t="shared" si="71"/>
        <v>448512</v>
      </c>
      <c r="AA62" s="21">
        <f t="shared" si="71"/>
        <v>897024</v>
      </c>
      <c r="AB62" s="21">
        <f t="shared" si="71"/>
        <v>1794048</v>
      </c>
      <c r="AC62" s="21">
        <f t="shared" si="71"/>
        <v>3588096</v>
      </c>
      <c r="AD62" s="21">
        <f t="shared" si="71"/>
        <v>7176192</v>
      </c>
      <c r="AE62" s="72">
        <f t="shared" si="71"/>
        <v>14352384</v>
      </c>
      <c r="AF62" s="20">
        <f t="shared" si="71"/>
        <v>28704768</v>
      </c>
      <c r="AG62" s="21">
        <f t="shared" si="71"/>
        <v>57409536</v>
      </c>
      <c r="AH62" s="21">
        <f t="shared" si="71"/>
        <v>59762034</v>
      </c>
      <c r="AI62" s="45"/>
    </row>
    <row r="63" spans="1:35" x14ac:dyDescent="0.25">
      <c r="A63" s="41"/>
      <c r="B63" s="6"/>
      <c r="C63" s="10"/>
      <c r="D63" s="8"/>
      <c r="E63" s="27">
        <v>2E-3</v>
      </c>
      <c r="F63" s="15"/>
      <c r="G63" s="10"/>
      <c r="H63" s="15"/>
      <c r="I63" s="10"/>
      <c r="J63" s="29">
        <f t="shared" ref="J63:AH63" si="72">J$20*$D$62*$E$63</f>
        <v>1.36875E-2</v>
      </c>
      <c r="K63" s="30">
        <f t="shared" si="72"/>
        <v>2.7375E-2</v>
      </c>
      <c r="L63" s="30">
        <f t="shared" si="72"/>
        <v>5.475E-2</v>
      </c>
      <c r="M63" s="30">
        <f t="shared" si="72"/>
        <v>0.1095</v>
      </c>
      <c r="N63" s="30">
        <f t="shared" si="72"/>
        <v>0.219</v>
      </c>
      <c r="O63" s="30">
        <f t="shared" si="72"/>
        <v>0.438</v>
      </c>
      <c r="P63" s="30">
        <f t="shared" si="72"/>
        <v>0.876</v>
      </c>
      <c r="Q63" s="30">
        <f t="shared" si="72"/>
        <v>1.752</v>
      </c>
      <c r="R63" s="30">
        <f t="shared" si="72"/>
        <v>3.504</v>
      </c>
      <c r="S63" s="30">
        <f t="shared" si="72"/>
        <v>7.008</v>
      </c>
      <c r="T63" s="30">
        <f t="shared" si="72"/>
        <v>14.016</v>
      </c>
      <c r="U63" s="30">
        <f t="shared" si="72"/>
        <v>28.032</v>
      </c>
      <c r="V63" s="30">
        <f t="shared" si="72"/>
        <v>56.064</v>
      </c>
      <c r="W63" s="30">
        <f t="shared" si="72"/>
        <v>112.128</v>
      </c>
      <c r="X63" s="30">
        <f t="shared" si="72"/>
        <v>224.256</v>
      </c>
      <c r="Y63" s="30">
        <f t="shared" si="72"/>
        <v>448.512</v>
      </c>
      <c r="Z63" s="30">
        <f t="shared" si="72"/>
        <v>897.024</v>
      </c>
      <c r="AA63" s="30">
        <f t="shared" si="72"/>
        <v>1794.048</v>
      </c>
      <c r="AB63" s="30">
        <f t="shared" si="72"/>
        <v>3588.096</v>
      </c>
      <c r="AC63" s="30">
        <f t="shared" si="72"/>
        <v>7176.192</v>
      </c>
      <c r="AD63" s="30">
        <f t="shared" si="72"/>
        <v>14352.384</v>
      </c>
      <c r="AE63" s="71">
        <f t="shared" si="72"/>
        <v>28704.768</v>
      </c>
      <c r="AF63" s="29">
        <f t="shared" si="72"/>
        <v>57409.536</v>
      </c>
      <c r="AG63" s="30">
        <f t="shared" si="72"/>
        <v>114819.072</v>
      </c>
      <c r="AH63" s="30">
        <f t="shared" si="72"/>
        <v>119524.068</v>
      </c>
      <c r="AI63" s="45"/>
    </row>
    <row r="64" spans="1:35" x14ac:dyDescent="0.25">
      <c r="A64" s="41" t="s">
        <v>18</v>
      </c>
      <c r="B64" s="6">
        <f>'Population by Age'!E8</f>
        <v>0.1608</v>
      </c>
      <c r="C64" s="10">
        <f t="shared" si="62"/>
        <v>43880068.799999997</v>
      </c>
      <c r="D64" s="23">
        <f>'Infection Rate by Age'!B10</f>
        <v>0.23200000000000001</v>
      </c>
      <c r="E64" s="17"/>
      <c r="F64" s="10"/>
      <c r="G64" s="10"/>
      <c r="H64" s="10"/>
      <c r="I64" s="10"/>
      <c r="J64" s="20">
        <f t="shared" ref="J64:AH64" si="73">J$20*$D$64</f>
        <v>7.25</v>
      </c>
      <c r="K64" s="21">
        <f t="shared" si="73"/>
        <v>14.5</v>
      </c>
      <c r="L64" s="21">
        <f t="shared" si="73"/>
        <v>29</v>
      </c>
      <c r="M64" s="21">
        <f t="shared" si="73"/>
        <v>58</v>
      </c>
      <c r="N64" s="21">
        <f t="shared" si="73"/>
        <v>116</v>
      </c>
      <c r="O64" s="21">
        <f t="shared" si="73"/>
        <v>232</v>
      </c>
      <c r="P64" s="21">
        <f t="shared" si="73"/>
        <v>464</v>
      </c>
      <c r="Q64" s="21">
        <f t="shared" si="73"/>
        <v>928</v>
      </c>
      <c r="R64" s="21">
        <f t="shared" si="73"/>
        <v>1856</v>
      </c>
      <c r="S64" s="21">
        <f t="shared" si="73"/>
        <v>3712</v>
      </c>
      <c r="T64" s="21">
        <f t="shared" si="73"/>
        <v>7424</v>
      </c>
      <c r="U64" s="21">
        <f t="shared" si="73"/>
        <v>14848</v>
      </c>
      <c r="V64" s="21">
        <f t="shared" si="73"/>
        <v>29696</v>
      </c>
      <c r="W64" s="21">
        <f t="shared" si="73"/>
        <v>59392</v>
      </c>
      <c r="X64" s="21">
        <f t="shared" si="73"/>
        <v>118784</v>
      </c>
      <c r="Y64" s="21">
        <f t="shared" si="73"/>
        <v>237568</v>
      </c>
      <c r="Z64" s="21">
        <f t="shared" si="73"/>
        <v>475136</v>
      </c>
      <c r="AA64" s="21">
        <f t="shared" si="73"/>
        <v>950272</v>
      </c>
      <c r="AB64" s="21">
        <f t="shared" si="73"/>
        <v>1900544</v>
      </c>
      <c r="AC64" s="21">
        <f t="shared" si="73"/>
        <v>3801088</v>
      </c>
      <c r="AD64" s="21">
        <f t="shared" si="73"/>
        <v>7602176</v>
      </c>
      <c r="AE64" s="72">
        <f t="shared" si="73"/>
        <v>15204352</v>
      </c>
      <c r="AF64" s="20">
        <f t="shared" si="73"/>
        <v>30408704</v>
      </c>
      <c r="AG64" s="21">
        <f t="shared" si="73"/>
        <v>60817408</v>
      </c>
      <c r="AH64" s="21">
        <f t="shared" si="73"/>
        <v>63309552</v>
      </c>
      <c r="AI64" s="45"/>
    </row>
    <row r="65" spans="1:35" x14ac:dyDescent="0.25">
      <c r="A65" s="41"/>
      <c r="B65" s="6"/>
      <c r="C65" s="10"/>
      <c r="D65" s="8"/>
      <c r="E65" s="27">
        <v>2E-3</v>
      </c>
      <c r="F65" s="15"/>
      <c r="G65" s="10"/>
      <c r="H65" s="15"/>
      <c r="I65" s="10"/>
      <c r="J65" s="29">
        <f t="shared" ref="J65:AH65" si="74">J$20*$D$64*$E$65</f>
        <v>1.4500000000000001E-2</v>
      </c>
      <c r="K65" s="30">
        <f t="shared" si="74"/>
        <v>2.9000000000000001E-2</v>
      </c>
      <c r="L65" s="30">
        <f t="shared" si="74"/>
        <v>5.8000000000000003E-2</v>
      </c>
      <c r="M65" s="30">
        <f t="shared" si="74"/>
        <v>0.11600000000000001</v>
      </c>
      <c r="N65" s="30">
        <f t="shared" si="74"/>
        <v>0.23200000000000001</v>
      </c>
      <c r="O65" s="30">
        <f t="shared" si="74"/>
        <v>0.46400000000000002</v>
      </c>
      <c r="P65" s="30">
        <f t="shared" si="74"/>
        <v>0.92800000000000005</v>
      </c>
      <c r="Q65" s="30">
        <f t="shared" si="74"/>
        <v>1.8560000000000001</v>
      </c>
      <c r="R65" s="30">
        <f t="shared" si="74"/>
        <v>3.7120000000000002</v>
      </c>
      <c r="S65" s="30">
        <f t="shared" si="74"/>
        <v>7.4240000000000004</v>
      </c>
      <c r="T65" s="30">
        <f t="shared" si="74"/>
        <v>14.848000000000001</v>
      </c>
      <c r="U65" s="30">
        <f t="shared" si="74"/>
        <v>29.696000000000002</v>
      </c>
      <c r="V65" s="30">
        <f t="shared" si="74"/>
        <v>59.392000000000003</v>
      </c>
      <c r="W65" s="30">
        <f t="shared" si="74"/>
        <v>118.78400000000001</v>
      </c>
      <c r="X65" s="30">
        <f t="shared" si="74"/>
        <v>237.56800000000001</v>
      </c>
      <c r="Y65" s="30">
        <f t="shared" si="74"/>
        <v>475.13600000000002</v>
      </c>
      <c r="Z65" s="30">
        <f t="shared" si="74"/>
        <v>950.27200000000005</v>
      </c>
      <c r="AA65" s="30">
        <f t="shared" si="74"/>
        <v>1900.5440000000001</v>
      </c>
      <c r="AB65" s="30">
        <f t="shared" si="74"/>
        <v>3801.0880000000002</v>
      </c>
      <c r="AC65" s="30">
        <f t="shared" si="74"/>
        <v>7602.1760000000004</v>
      </c>
      <c r="AD65" s="30">
        <f t="shared" si="74"/>
        <v>15204.352000000001</v>
      </c>
      <c r="AE65" s="71">
        <f t="shared" si="74"/>
        <v>30408.704000000002</v>
      </c>
      <c r="AF65" s="29">
        <f t="shared" si="74"/>
        <v>60817.408000000003</v>
      </c>
      <c r="AG65" s="30">
        <f t="shared" si="74"/>
        <v>121634.81600000001</v>
      </c>
      <c r="AH65" s="30">
        <f t="shared" si="74"/>
        <v>126619.10400000001</v>
      </c>
      <c r="AI65" s="45"/>
    </row>
    <row r="66" spans="1:35" x14ac:dyDescent="0.25">
      <c r="A66" s="42" t="s">
        <v>19</v>
      </c>
      <c r="B66" s="6">
        <f>'Population by Age'!E6</f>
        <v>0.1729</v>
      </c>
      <c r="C66" s="10">
        <f t="shared" si="62"/>
        <v>47181989.399999999</v>
      </c>
      <c r="D66" s="23">
        <f>'Infection Rate by Age'!B11</f>
        <v>3.7999999999999999E-2</v>
      </c>
      <c r="E66" s="17"/>
      <c r="F66" s="10"/>
      <c r="G66" s="10"/>
      <c r="H66" s="10"/>
      <c r="I66" s="10"/>
      <c r="J66" s="20">
        <f t="shared" ref="J66:AH66" si="75">J$20*$D$66</f>
        <v>1.1875</v>
      </c>
      <c r="K66" s="21">
        <f t="shared" si="75"/>
        <v>2.375</v>
      </c>
      <c r="L66" s="21">
        <f t="shared" si="75"/>
        <v>4.75</v>
      </c>
      <c r="M66" s="21">
        <f t="shared" si="75"/>
        <v>9.5</v>
      </c>
      <c r="N66" s="21">
        <f t="shared" si="75"/>
        <v>19</v>
      </c>
      <c r="O66" s="21">
        <f t="shared" si="75"/>
        <v>38</v>
      </c>
      <c r="P66" s="21">
        <f t="shared" si="75"/>
        <v>76</v>
      </c>
      <c r="Q66" s="21">
        <f t="shared" si="75"/>
        <v>152</v>
      </c>
      <c r="R66" s="21">
        <f t="shared" si="75"/>
        <v>304</v>
      </c>
      <c r="S66" s="21">
        <f t="shared" si="75"/>
        <v>608</v>
      </c>
      <c r="T66" s="21">
        <f t="shared" si="75"/>
        <v>1216</v>
      </c>
      <c r="U66" s="21">
        <f t="shared" si="75"/>
        <v>2432</v>
      </c>
      <c r="V66" s="21">
        <f t="shared" si="75"/>
        <v>4864</v>
      </c>
      <c r="W66" s="21">
        <f t="shared" si="75"/>
        <v>9728</v>
      </c>
      <c r="X66" s="21">
        <f t="shared" si="75"/>
        <v>19456</v>
      </c>
      <c r="Y66" s="21">
        <f t="shared" si="75"/>
        <v>38912</v>
      </c>
      <c r="Z66" s="21">
        <f t="shared" si="75"/>
        <v>77824</v>
      </c>
      <c r="AA66" s="21">
        <f t="shared" si="75"/>
        <v>155648</v>
      </c>
      <c r="AB66" s="21">
        <f t="shared" si="75"/>
        <v>311296</v>
      </c>
      <c r="AC66" s="21">
        <f t="shared" si="75"/>
        <v>622592</v>
      </c>
      <c r="AD66" s="21">
        <f t="shared" si="75"/>
        <v>1245184</v>
      </c>
      <c r="AE66" s="72">
        <f t="shared" si="75"/>
        <v>2490368</v>
      </c>
      <c r="AF66" s="20">
        <f t="shared" si="75"/>
        <v>4980736</v>
      </c>
      <c r="AG66" s="21">
        <f t="shared" si="75"/>
        <v>9961472</v>
      </c>
      <c r="AH66" s="21">
        <f t="shared" si="75"/>
        <v>10369668</v>
      </c>
      <c r="AI66" s="45"/>
    </row>
    <row r="67" spans="1:35" x14ac:dyDescent="0.25">
      <c r="A67" s="42"/>
      <c r="B67" s="6"/>
      <c r="C67" s="10"/>
      <c r="D67" s="8"/>
      <c r="E67" s="27">
        <v>2E-3</v>
      </c>
      <c r="F67" s="15"/>
      <c r="G67" s="10"/>
      <c r="H67" s="15"/>
      <c r="I67" s="10"/>
      <c r="J67" s="29">
        <f t="shared" ref="J67:AH67" si="76">J$20*$D$66*$E$67</f>
        <v>2.3749999999999999E-3</v>
      </c>
      <c r="K67" s="30">
        <f t="shared" si="76"/>
        <v>4.7499999999999999E-3</v>
      </c>
      <c r="L67" s="30">
        <f t="shared" si="76"/>
        <v>9.4999999999999998E-3</v>
      </c>
      <c r="M67" s="30">
        <f t="shared" si="76"/>
        <v>1.9E-2</v>
      </c>
      <c r="N67" s="30">
        <f t="shared" si="76"/>
        <v>3.7999999999999999E-2</v>
      </c>
      <c r="O67" s="30">
        <f t="shared" si="76"/>
        <v>7.5999999999999998E-2</v>
      </c>
      <c r="P67" s="30">
        <f t="shared" si="76"/>
        <v>0.152</v>
      </c>
      <c r="Q67" s="30">
        <f t="shared" si="76"/>
        <v>0.30399999999999999</v>
      </c>
      <c r="R67" s="30">
        <f t="shared" si="76"/>
        <v>0.60799999999999998</v>
      </c>
      <c r="S67" s="30">
        <f t="shared" si="76"/>
        <v>1.216</v>
      </c>
      <c r="T67" s="30">
        <f t="shared" si="76"/>
        <v>2.4319999999999999</v>
      </c>
      <c r="U67" s="30">
        <f t="shared" si="76"/>
        <v>4.8639999999999999</v>
      </c>
      <c r="V67" s="30">
        <f t="shared" si="76"/>
        <v>9.7279999999999998</v>
      </c>
      <c r="W67" s="30">
        <f t="shared" si="76"/>
        <v>19.456</v>
      </c>
      <c r="X67" s="30">
        <f t="shared" si="76"/>
        <v>38.911999999999999</v>
      </c>
      <c r="Y67" s="30">
        <f t="shared" si="76"/>
        <v>77.823999999999998</v>
      </c>
      <c r="Z67" s="30">
        <f t="shared" si="76"/>
        <v>155.648</v>
      </c>
      <c r="AA67" s="30">
        <f t="shared" si="76"/>
        <v>311.29599999999999</v>
      </c>
      <c r="AB67" s="30">
        <f t="shared" si="76"/>
        <v>622.59199999999998</v>
      </c>
      <c r="AC67" s="30">
        <f t="shared" si="76"/>
        <v>1245.184</v>
      </c>
      <c r="AD67" s="30">
        <f t="shared" si="76"/>
        <v>2490.3679999999999</v>
      </c>
      <c r="AE67" s="71">
        <f t="shared" si="76"/>
        <v>4980.7359999999999</v>
      </c>
      <c r="AF67" s="29">
        <f t="shared" si="76"/>
        <v>9961.4719999999998</v>
      </c>
      <c r="AG67" s="30">
        <f t="shared" si="76"/>
        <v>19922.944</v>
      </c>
      <c r="AH67" s="30">
        <f t="shared" si="76"/>
        <v>20739.335999999999</v>
      </c>
      <c r="AI67" s="45"/>
    </row>
    <row r="68" spans="1:35" x14ac:dyDescent="0.25">
      <c r="A68" s="42" t="s">
        <v>20</v>
      </c>
      <c r="B68" s="6">
        <f>'Population by Age'!E4</f>
        <v>0.1774</v>
      </c>
      <c r="C68" s="10">
        <f t="shared" si="62"/>
        <v>48409976.399999999</v>
      </c>
      <c r="D68" s="23">
        <f>'Infection Rate by Age'!B12</f>
        <v>2.1000000000000001E-2</v>
      </c>
      <c r="E68" s="17"/>
      <c r="F68" s="10"/>
      <c r="G68" s="10"/>
      <c r="H68" s="10"/>
      <c r="I68" s="10"/>
      <c r="J68" s="20">
        <f t="shared" ref="J68:AH68" si="77">J$20*$D$68</f>
        <v>0.65625</v>
      </c>
      <c r="K68" s="21">
        <f t="shared" si="77"/>
        <v>1.3125</v>
      </c>
      <c r="L68" s="21">
        <f t="shared" si="77"/>
        <v>2.625</v>
      </c>
      <c r="M68" s="21">
        <f t="shared" si="77"/>
        <v>5.25</v>
      </c>
      <c r="N68" s="21">
        <f t="shared" si="77"/>
        <v>10.5</v>
      </c>
      <c r="O68" s="21">
        <f t="shared" si="77"/>
        <v>21</v>
      </c>
      <c r="P68" s="21">
        <f t="shared" si="77"/>
        <v>42</v>
      </c>
      <c r="Q68" s="21">
        <f t="shared" si="77"/>
        <v>84</v>
      </c>
      <c r="R68" s="21">
        <f t="shared" si="77"/>
        <v>168</v>
      </c>
      <c r="S68" s="21">
        <f t="shared" si="77"/>
        <v>336</v>
      </c>
      <c r="T68" s="21">
        <f t="shared" si="77"/>
        <v>672</v>
      </c>
      <c r="U68" s="21">
        <f t="shared" si="77"/>
        <v>1344</v>
      </c>
      <c r="V68" s="21">
        <f t="shared" si="77"/>
        <v>2688</v>
      </c>
      <c r="W68" s="21">
        <f t="shared" si="77"/>
        <v>5376</v>
      </c>
      <c r="X68" s="21">
        <f t="shared" si="77"/>
        <v>10752</v>
      </c>
      <c r="Y68" s="21">
        <f t="shared" si="77"/>
        <v>21504</v>
      </c>
      <c r="Z68" s="21">
        <f t="shared" si="77"/>
        <v>43008</v>
      </c>
      <c r="AA68" s="21">
        <f t="shared" si="77"/>
        <v>86016</v>
      </c>
      <c r="AB68" s="21">
        <f t="shared" si="77"/>
        <v>172032</v>
      </c>
      <c r="AC68" s="21">
        <f t="shared" si="77"/>
        <v>344064</v>
      </c>
      <c r="AD68" s="21">
        <f t="shared" si="77"/>
        <v>688128</v>
      </c>
      <c r="AE68" s="72">
        <f t="shared" si="77"/>
        <v>1376256</v>
      </c>
      <c r="AF68" s="20">
        <f t="shared" si="77"/>
        <v>2752512</v>
      </c>
      <c r="AG68" s="21">
        <f t="shared" si="77"/>
        <v>5505024</v>
      </c>
      <c r="AH68" s="21">
        <f t="shared" si="77"/>
        <v>5730606</v>
      </c>
      <c r="AI68" s="45"/>
    </row>
    <row r="69" spans="1:35" x14ac:dyDescent="0.25">
      <c r="A69" s="42"/>
      <c r="B69" s="7"/>
      <c r="C69" s="11"/>
      <c r="D69" s="26"/>
      <c r="E69" s="28">
        <v>0</v>
      </c>
      <c r="F69" s="15"/>
      <c r="G69" s="10"/>
      <c r="H69" s="10"/>
      <c r="I69" s="10"/>
      <c r="J69" s="31">
        <f t="shared" ref="J69:AH69" si="78">J$20*$D$68*$E$69</f>
        <v>0</v>
      </c>
      <c r="K69" s="32">
        <f t="shared" si="78"/>
        <v>0</v>
      </c>
      <c r="L69" s="32">
        <f t="shared" si="78"/>
        <v>0</v>
      </c>
      <c r="M69" s="32">
        <f t="shared" si="78"/>
        <v>0</v>
      </c>
      <c r="N69" s="32">
        <f t="shared" si="78"/>
        <v>0</v>
      </c>
      <c r="O69" s="32">
        <f t="shared" si="78"/>
        <v>0</v>
      </c>
      <c r="P69" s="32">
        <f t="shared" si="78"/>
        <v>0</v>
      </c>
      <c r="Q69" s="32">
        <f t="shared" si="78"/>
        <v>0</v>
      </c>
      <c r="R69" s="32">
        <f t="shared" si="78"/>
        <v>0</v>
      </c>
      <c r="S69" s="32">
        <f t="shared" si="78"/>
        <v>0</v>
      </c>
      <c r="T69" s="32">
        <f t="shared" si="78"/>
        <v>0</v>
      </c>
      <c r="U69" s="32">
        <f t="shared" si="78"/>
        <v>0</v>
      </c>
      <c r="V69" s="32">
        <f t="shared" si="78"/>
        <v>0</v>
      </c>
      <c r="W69" s="32">
        <f t="shared" si="78"/>
        <v>0</v>
      </c>
      <c r="X69" s="32">
        <f t="shared" si="78"/>
        <v>0</v>
      </c>
      <c r="Y69" s="32">
        <f t="shared" si="78"/>
        <v>0</v>
      </c>
      <c r="Z69" s="32">
        <f t="shared" si="78"/>
        <v>0</v>
      </c>
      <c r="AA69" s="32">
        <f t="shared" si="78"/>
        <v>0</v>
      </c>
      <c r="AB69" s="32">
        <f t="shared" si="78"/>
        <v>0</v>
      </c>
      <c r="AC69" s="32">
        <f t="shared" si="78"/>
        <v>0</v>
      </c>
      <c r="AD69" s="32">
        <f t="shared" si="78"/>
        <v>0</v>
      </c>
      <c r="AE69" s="73">
        <f t="shared" si="78"/>
        <v>0</v>
      </c>
      <c r="AF69" s="29">
        <f t="shared" si="78"/>
        <v>0</v>
      </c>
      <c r="AG69" s="30">
        <f t="shared" si="78"/>
        <v>0</v>
      </c>
      <c r="AH69" s="30">
        <f t="shared" si="78"/>
        <v>0</v>
      </c>
      <c r="AI69" s="45"/>
    </row>
    <row r="70" spans="1:35" x14ac:dyDescent="0.25">
      <c r="A70" s="41" t="s">
        <v>38</v>
      </c>
      <c r="B70" s="14"/>
      <c r="C70" s="10"/>
      <c r="D70" s="10"/>
      <c r="E70" s="15"/>
      <c r="F70" s="10"/>
      <c r="G70" s="10"/>
      <c r="H70" s="10"/>
      <c r="I70" s="10"/>
      <c r="J70" s="18">
        <f t="shared" ref="J70:Z70" si="79">SUM(J52,J54,J56,J58,J60,J62,J64,J66,J68)</f>
        <v>31.25</v>
      </c>
      <c r="K70" s="19">
        <f t="shared" si="79"/>
        <v>62.5</v>
      </c>
      <c r="L70" s="19">
        <f t="shared" si="79"/>
        <v>125</v>
      </c>
      <c r="M70" s="19">
        <f t="shared" si="79"/>
        <v>250</v>
      </c>
      <c r="N70" s="19">
        <f t="shared" si="79"/>
        <v>500</v>
      </c>
      <c r="O70" s="19">
        <f>SUM(O52,O54,O56,O58,O60,O62,O64,O66,O68)</f>
        <v>1000</v>
      </c>
      <c r="P70" s="19">
        <f t="shared" si="79"/>
        <v>2000</v>
      </c>
      <c r="Q70" s="19">
        <f t="shared" si="79"/>
        <v>4000</v>
      </c>
      <c r="R70" s="19">
        <f t="shared" si="79"/>
        <v>8000</v>
      </c>
      <c r="S70" s="19">
        <f t="shared" si="79"/>
        <v>16000</v>
      </c>
      <c r="T70" s="19">
        <f t="shared" si="79"/>
        <v>32000</v>
      </c>
      <c r="U70" s="19">
        <f t="shared" si="79"/>
        <v>64000</v>
      </c>
      <c r="V70" s="19">
        <f t="shared" si="79"/>
        <v>128000</v>
      </c>
      <c r="W70" s="19">
        <f t="shared" si="79"/>
        <v>256000</v>
      </c>
      <c r="X70" s="19">
        <f t="shared" si="79"/>
        <v>512000</v>
      </c>
      <c r="Y70" s="19">
        <f t="shared" si="79"/>
        <v>1024000</v>
      </c>
      <c r="Z70" s="19">
        <f t="shared" si="79"/>
        <v>2048000</v>
      </c>
      <c r="AA70" s="19">
        <f t="shared" ref="AA70:AC71" si="80">SUM(AA52,AA54,AA56,AA58,AA60,AA62,AA64,AA66,AA68)</f>
        <v>4096000</v>
      </c>
      <c r="AB70" s="19">
        <f t="shared" si="80"/>
        <v>8192000</v>
      </c>
      <c r="AC70" s="19">
        <f t="shared" si="80"/>
        <v>16384000</v>
      </c>
      <c r="AD70" s="19">
        <f t="shared" ref="AD70:AH70" si="81">SUM(AD52,AD54,AD56,AD58,AD60,AD62,AD64,AD66,AD68)</f>
        <v>32768000</v>
      </c>
      <c r="AE70" s="19">
        <f t="shared" si="81"/>
        <v>65536000</v>
      </c>
      <c r="AF70" s="18">
        <f t="shared" si="81"/>
        <v>131072000</v>
      </c>
      <c r="AG70" s="19">
        <f t="shared" si="81"/>
        <v>262144000</v>
      </c>
      <c r="AH70" s="19">
        <f t="shared" si="81"/>
        <v>272886000</v>
      </c>
      <c r="AI70" s="45"/>
    </row>
    <row r="71" spans="1:35" x14ac:dyDescent="0.25">
      <c r="A71" s="43" t="s">
        <v>37</v>
      </c>
      <c r="B71" s="44"/>
      <c r="C71" s="11"/>
      <c r="D71" s="11"/>
      <c r="E71" s="38"/>
      <c r="F71" s="11"/>
      <c r="G71" s="11"/>
      <c r="H71" s="11"/>
      <c r="I71" s="11"/>
      <c r="J71" s="31">
        <f>SUM(J53,J55,J57,J59,J61,J63,J65,J67,J69)</f>
        <v>0.37140624999999999</v>
      </c>
      <c r="K71" s="32">
        <f>SUM(K53,K55,K57,K59,K61,K63,K65,K67,K69)</f>
        <v>0.74281249999999999</v>
      </c>
      <c r="L71" s="32">
        <f t="shared" ref="L71:Z71" si="82">SUM(L53,L55,L57,L59,L61,L63,L65,L67,L69)</f>
        <v>1.485625</v>
      </c>
      <c r="M71" s="32">
        <f t="shared" si="82"/>
        <v>2.9712499999999999</v>
      </c>
      <c r="N71" s="32">
        <f t="shared" si="82"/>
        <v>5.9424999999999999</v>
      </c>
      <c r="O71" s="32">
        <f t="shared" si="82"/>
        <v>11.885</v>
      </c>
      <c r="P71" s="32">
        <f t="shared" si="82"/>
        <v>23.77</v>
      </c>
      <c r="Q71" s="32">
        <f t="shared" si="82"/>
        <v>47.54</v>
      </c>
      <c r="R71" s="32">
        <f t="shared" si="82"/>
        <v>95.08</v>
      </c>
      <c r="S71" s="32">
        <f t="shared" si="82"/>
        <v>190.16</v>
      </c>
      <c r="T71" s="32">
        <f t="shared" si="82"/>
        <v>380.32</v>
      </c>
      <c r="U71" s="32">
        <f t="shared" si="82"/>
        <v>760.64</v>
      </c>
      <c r="V71" s="32">
        <f t="shared" si="82"/>
        <v>1521.28</v>
      </c>
      <c r="W71" s="32">
        <f t="shared" si="82"/>
        <v>3042.56</v>
      </c>
      <c r="X71" s="32">
        <f t="shared" si="82"/>
        <v>6085.12</v>
      </c>
      <c r="Y71" s="32">
        <f t="shared" si="82"/>
        <v>12170.24</v>
      </c>
      <c r="Z71" s="32">
        <f t="shared" si="82"/>
        <v>24340.48</v>
      </c>
      <c r="AA71" s="32">
        <f t="shared" si="80"/>
        <v>48680.959999999999</v>
      </c>
      <c r="AB71" s="32">
        <f t="shared" si="80"/>
        <v>97361.919999999998</v>
      </c>
      <c r="AC71" s="32">
        <f t="shared" si="80"/>
        <v>194723.84</v>
      </c>
      <c r="AD71" s="32">
        <f t="shared" ref="AD71:AH71" si="83">SUM(AD53,AD55,AD57,AD59,AD61,AD63,AD65,AD67,AD69)</f>
        <v>389447.67999999999</v>
      </c>
      <c r="AE71" s="32">
        <f t="shared" si="83"/>
        <v>778895.35999999999</v>
      </c>
      <c r="AF71" s="31">
        <f t="shared" si="83"/>
        <v>1557790.72</v>
      </c>
      <c r="AG71" s="32">
        <f t="shared" si="83"/>
        <v>3115581.4399999999</v>
      </c>
      <c r="AH71" s="32">
        <f t="shared" si="83"/>
        <v>3243250.11</v>
      </c>
      <c r="AI71" s="45"/>
    </row>
    <row r="72" spans="1:35" x14ac:dyDescent="0.25">
      <c r="A72" s="42"/>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54" t="s">
        <v>48</v>
      </c>
      <c r="B73" s="14"/>
      <c r="C73" s="10"/>
      <c r="D73" s="10"/>
      <c r="E73" s="15"/>
      <c r="F73" s="10"/>
      <c r="G73" s="10"/>
      <c r="H73" s="10"/>
      <c r="I73" s="10"/>
      <c r="J73" s="45"/>
      <c r="K73" s="45"/>
      <c r="L73" s="45"/>
      <c r="M73" s="45"/>
      <c r="N73" s="45"/>
      <c r="O73" s="45"/>
      <c r="P73" s="45"/>
      <c r="Q73" s="45"/>
      <c r="R73" s="45"/>
      <c r="S73" s="45"/>
      <c r="T73" s="45"/>
      <c r="U73" s="45"/>
      <c r="V73" s="45"/>
      <c r="W73" s="45"/>
      <c r="X73" s="45"/>
      <c r="Y73" s="45"/>
      <c r="Z73" s="45"/>
      <c r="AA73" s="45"/>
    </row>
    <row r="74" spans="1:35" x14ac:dyDescent="0.25">
      <c r="A74" s="4"/>
      <c r="B74" s="9" t="s">
        <v>5</v>
      </c>
      <c r="C74" s="9" t="s">
        <v>3</v>
      </c>
      <c r="D74" s="9"/>
      <c r="E74" s="59" t="s">
        <v>2</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47"/>
    </row>
    <row r="75" spans="1:35" x14ac:dyDescent="0.25">
      <c r="A75" s="48" t="s">
        <v>1</v>
      </c>
      <c r="B75" s="24">
        <v>0.29199999999999998</v>
      </c>
      <c r="C75" s="10">
        <f>$B$7 * B75</f>
        <v>79682712</v>
      </c>
      <c r="D75" s="16"/>
      <c r="E75" s="16"/>
      <c r="F75" s="16"/>
      <c r="G75" s="16"/>
      <c r="H75" s="16"/>
      <c r="I75" s="16"/>
      <c r="J75" s="18">
        <f t="shared" ref="J75:AH75" si="84">J$20*$B$75</f>
        <v>9.125</v>
      </c>
      <c r="K75" s="19">
        <f t="shared" si="84"/>
        <v>18.25</v>
      </c>
      <c r="L75" s="19">
        <f t="shared" si="84"/>
        <v>36.5</v>
      </c>
      <c r="M75" s="19">
        <f t="shared" si="84"/>
        <v>73</v>
      </c>
      <c r="N75" s="19">
        <f t="shared" si="84"/>
        <v>146</v>
      </c>
      <c r="O75" s="19">
        <f t="shared" si="84"/>
        <v>292</v>
      </c>
      <c r="P75" s="19">
        <f t="shared" si="84"/>
        <v>584</v>
      </c>
      <c r="Q75" s="19">
        <f t="shared" si="84"/>
        <v>1168</v>
      </c>
      <c r="R75" s="19">
        <f t="shared" si="84"/>
        <v>2336</v>
      </c>
      <c r="S75" s="19">
        <f t="shared" si="84"/>
        <v>4672</v>
      </c>
      <c r="T75" s="19">
        <f t="shared" si="84"/>
        <v>9344</v>
      </c>
      <c r="U75" s="19">
        <f t="shared" si="84"/>
        <v>18688</v>
      </c>
      <c r="V75" s="19">
        <f t="shared" si="84"/>
        <v>37376</v>
      </c>
      <c r="W75" s="19">
        <f t="shared" si="84"/>
        <v>74752</v>
      </c>
      <c r="X75" s="19">
        <f t="shared" si="84"/>
        <v>149504</v>
      </c>
      <c r="Y75" s="19">
        <f t="shared" si="84"/>
        <v>299008</v>
      </c>
      <c r="Z75" s="19">
        <f t="shared" si="84"/>
        <v>598016</v>
      </c>
      <c r="AA75" s="19">
        <f t="shared" si="84"/>
        <v>1196032</v>
      </c>
      <c r="AB75" s="19">
        <f t="shared" si="84"/>
        <v>2392064</v>
      </c>
      <c r="AC75" s="19">
        <f t="shared" si="84"/>
        <v>4784128</v>
      </c>
      <c r="AD75" s="19">
        <f t="shared" si="84"/>
        <v>9568256</v>
      </c>
      <c r="AE75" s="19">
        <f t="shared" si="84"/>
        <v>19136512</v>
      </c>
      <c r="AF75" s="18">
        <f t="shared" si="84"/>
        <v>38273024</v>
      </c>
      <c r="AG75" s="19">
        <f t="shared" si="84"/>
        <v>76546048</v>
      </c>
      <c r="AH75" s="19">
        <f t="shared" si="84"/>
        <v>79682712</v>
      </c>
      <c r="AI75" s="45"/>
    </row>
    <row r="76" spans="1:35" x14ac:dyDescent="0.25">
      <c r="A76" s="48"/>
      <c r="B76" s="16"/>
      <c r="C76" s="16"/>
      <c r="D76" s="25"/>
      <c r="E76" s="46">
        <v>0.105</v>
      </c>
      <c r="F76" s="16"/>
      <c r="G76" s="16"/>
      <c r="H76" s="16"/>
      <c r="I76" s="16"/>
      <c r="J76" s="29">
        <f>J75*$E$76</f>
        <v>0.958125</v>
      </c>
      <c r="K76" s="30">
        <f t="shared" ref="K76:Z76" si="85">K75*$E$76</f>
        <v>1.91625</v>
      </c>
      <c r="L76" s="30">
        <f t="shared" si="85"/>
        <v>3.8325</v>
      </c>
      <c r="M76" s="30">
        <f t="shared" si="85"/>
        <v>7.665</v>
      </c>
      <c r="N76" s="30">
        <f t="shared" si="85"/>
        <v>15.33</v>
      </c>
      <c r="O76" s="30">
        <f t="shared" si="85"/>
        <v>30.66</v>
      </c>
      <c r="P76" s="30">
        <f t="shared" si="85"/>
        <v>61.32</v>
      </c>
      <c r="Q76" s="30">
        <f t="shared" si="85"/>
        <v>122.64</v>
      </c>
      <c r="R76" s="30">
        <f t="shared" si="85"/>
        <v>245.28</v>
      </c>
      <c r="S76" s="30">
        <f t="shared" si="85"/>
        <v>490.56</v>
      </c>
      <c r="T76" s="30">
        <f t="shared" si="85"/>
        <v>981.12</v>
      </c>
      <c r="U76" s="30">
        <f t="shared" si="85"/>
        <v>1962.24</v>
      </c>
      <c r="V76" s="30">
        <f t="shared" si="85"/>
        <v>3924.48</v>
      </c>
      <c r="W76" s="30">
        <f t="shared" si="85"/>
        <v>7848.96</v>
      </c>
      <c r="X76" s="30">
        <f t="shared" si="85"/>
        <v>15697.92</v>
      </c>
      <c r="Y76" s="30">
        <f t="shared" si="85"/>
        <v>31395.84</v>
      </c>
      <c r="Z76" s="30">
        <f t="shared" si="85"/>
        <v>62791.68</v>
      </c>
      <c r="AA76" s="30">
        <f>AA75*$E$76</f>
        <v>125583.36</v>
      </c>
      <c r="AB76" s="30">
        <f>AB75*$E$76</f>
        <v>251166.72</v>
      </c>
      <c r="AC76" s="30">
        <f>AC75*$E$76</f>
        <v>502333.44</v>
      </c>
      <c r="AD76" s="30">
        <f t="shared" ref="AD76:AH76" si="86">AD75*$E$76</f>
        <v>1004666.88</v>
      </c>
      <c r="AE76" s="30">
        <f t="shared" si="86"/>
        <v>2009333.76</v>
      </c>
      <c r="AF76" s="29">
        <f t="shared" si="86"/>
        <v>4018667.52</v>
      </c>
      <c r="AG76" s="30">
        <f t="shared" si="86"/>
        <v>8037335.04</v>
      </c>
      <c r="AH76" s="30">
        <f t="shared" si="86"/>
        <v>8366684.7599999998</v>
      </c>
      <c r="AI76" s="45"/>
    </row>
    <row r="77" spans="1:35" x14ac:dyDescent="0.25">
      <c r="A77" s="48" t="s">
        <v>4</v>
      </c>
      <c r="B77" s="24">
        <v>7.0000000000000007E-2</v>
      </c>
      <c r="C77" s="10">
        <f>$B$7 * B77</f>
        <v>19102020</v>
      </c>
      <c r="D77" s="47"/>
      <c r="E77" s="16"/>
      <c r="F77" s="16"/>
      <c r="G77" s="16"/>
      <c r="H77" s="16"/>
      <c r="I77" s="16"/>
      <c r="J77" s="20">
        <f t="shared" ref="J77:AH77" si="87">J$20*$B$77</f>
        <v>2.1875</v>
      </c>
      <c r="K77" s="21">
        <f t="shared" si="87"/>
        <v>4.375</v>
      </c>
      <c r="L77" s="21">
        <f t="shared" si="87"/>
        <v>8.75</v>
      </c>
      <c r="M77" s="21">
        <f t="shared" si="87"/>
        <v>17.5</v>
      </c>
      <c r="N77" s="21">
        <f t="shared" si="87"/>
        <v>35</v>
      </c>
      <c r="O77" s="21">
        <f t="shared" si="87"/>
        <v>70</v>
      </c>
      <c r="P77" s="21">
        <f t="shared" si="87"/>
        <v>140</v>
      </c>
      <c r="Q77" s="21">
        <f t="shared" si="87"/>
        <v>280</v>
      </c>
      <c r="R77" s="21">
        <f t="shared" si="87"/>
        <v>560</v>
      </c>
      <c r="S77" s="21">
        <f t="shared" si="87"/>
        <v>1120</v>
      </c>
      <c r="T77" s="21">
        <f t="shared" si="87"/>
        <v>2240</v>
      </c>
      <c r="U77" s="21">
        <f t="shared" si="87"/>
        <v>4480</v>
      </c>
      <c r="V77" s="21">
        <f t="shared" si="87"/>
        <v>8960</v>
      </c>
      <c r="W77" s="21">
        <f t="shared" si="87"/>
        <v>17920</v>
      </c>
      <c r="X77" s="21">
        <f t="shared" si="87"/>
        <v>35840</v>
      </c>
      <c r="Y77" s="21">
        <f t="shared" si="87"/>
        <v>71680</v>
      </c>
      <c r="Z77" s="21">
        <f t="shared" si="87"/>
        <v>143360</v>
      </c>
      <c r="AA77" s="21">
        <f t="shared" si="87"/>
        <v>286720</v>
      </c>
      <c r="AB77" s="21">
        <f t="shared" si="87"/>
        <v>573440</v>
      </c>
      <c r="AC77" s="21">
        <f t="shared" si="87"/>
        <v>1146880</v>
      </c>
      <c r="AD77" s="21">
        <f t="shared" si="87"/>
        <v>2293760</v>
      </c>
      <c r="AE77" s="21">
        <f t="shared" si="87"/>
        <v>4587520</v>
      </c>
      <c r="AF77" s="20">
        <f t="shared" si="87"/>
        <v>9175040</v>
      </c>
      <c r="AG77" s="21">
        <f t="shared" si="87"/>
        <v>18350080</v>
      </c>
      <c r="AH77" s="21">
        <f t="shared" si="87"/>
        <v>19102020</v>
      </c>
      <c r="AI77" s="45"/>
    </row>
    <row r="78" spans="1:35" x14ac:dyDescent="0.25">
      <c r="A78" s="48"/>
      <c r="B78" s="16"/>
      <c r="C78" s="16"/>
      <c r="D78" s="25"/>
      <c r="E78" s="46">
        <v>7.2999999999999995E-2</v>
      </c>
      <c r="F78" s="16"/>
      <c r="G78" s="16"/>
      <c r="H78" s="16"/>
      <c r="I78" s="16"/>
      <c r="J78" s="29">
        <f t="shared" ref="J78:Z78" si="88">J77*$E$78</f>
        <v>0.15968749999999998</v>
      </c>
      <c r="K78" s="30">
        <f t="shared" si="88"/>
        <v>0.31937499999999996</v>
      </c>
      <c r="L78" s="30">
        <f t="shared" si="88"/>
        <v>0.63874999999999993</v>
      </c>
      <c r="M78" s="30">
        <f t="shared" si="88"/>
        <v>1.2774999999999999</v>
      </c>
      <c r="N78" s="30">
        <f t="shared" si="88"/>
        <v>2.5549999999999997</v>
      </c>
      <c r="O78" s="30">
        <f t="shared" si="88"/>
        <v>5.1099999999999994</v>
      </c>
      <c r="P78" s="30">
        <f t="shared" si="88"/>
        <v>10.219999999999999</v>
      </c>
      <c r="Q78" s="30">
        <f t="shared" si="88"/>
        <v>20.439999999999998</v>
      </c>
      <c r="R78" s="30">
        <f t="shared" si="88"/>
        <v>40.879999999999995</v>
      </c>
      <c r="S78" s="30">
        <f t="shared" si="88"/>
        <v>81.759999999999991</v>
      </c>
      <c r="T78" s="30">
        <f t="shared" si="88"/>
        <v>163.51999999999998</v>
      </c>
      <c r="U78" s="30">
        <f t="shared" si="88"/>
        <v>327.03999999999996</v>
      </c>
      <c r="V78" s="30">
        <f t="shared" si="88"/>
        <v>654.07999999999993</v>
      </c>
      <c r="W78" s="30">
        <f t="shared" si="88"/>
        <v>1308.1599999999999</v>
      </c>
      <c r="X78" s="30">
        <f t="shared" si="88"/>
        <v>2616.3199999999997</v>
      </c>
      <c r="Y78" s="30">
        <f t="shared" si="88"/>
        <v>5232.6399999999994</v>
      </c>
      <c r="Z78" s="30">
        <f t="shared" si="88"/>
        <v>10465.279999999999</v>
      </c>
      <c r="AA78" s="30">
        <f>AA77*$E$78</f>
        <v>20930.559999999998</v>
      </c>
      <c r="AB78" s="30">
        <f>AB77*$E$78</f>
        <v>41861.119999999995</v>
      </c>
      <c r="AC78" s="30">
        <f>AC77*$E$78</f>
        <v>83722.239999999991</v>
      </c>
      <c r="AD78" s="30">
        <f t="shared" ref="AD78:AH78" si="89">AD77*$E$78</f>
        <v>167444.47999999998</v>
      </c>
      <c r="AE78" s="30">
        <f t="shared" si="89"/>
        <v>334888.95999999996</v>
      </c>
      <c r="AF78" s="29">
        <f t="shared" si="89"/>
        <v>669777.91999999993</v>
      </c>
      <c r="AG78" s="30">
        <f t="shared" si="89"/>
        <v>1339555.8399999999</v>
      </c>
      <c r="AH78" s="30">
        <f t="shared" si="89"/>
        <v>1394447.46</v>
      </c>
      <c r="AI78" s="45"/>
    </row>
    <row r="79" spans="1:35" x14ac:dyDescent="0.25">
      <c r="A79" s="48" t="s">
        <v>6</v>
      </c>
      <c r="B79" s="24">
        <v>0.2</v>
      </c>
      <c r="C79" s="10">
        <f>$B$7 * B79</f>
        <v>54577200</v>
      </c>
      <c r="D79" s="47"/>
      <c r="E79" s="16"/>
      <c r="F79" s="16"/>
      <c r="G79" s="16"/>
      <c r="H79" s="16"/>
      <c r="I79" s="16"/>
      <c r="J79" s="20">
        <f t="shared" ref="J79:AH79" si="90">J$20*$B$79</f>
        <v>6.25</v>
      </c>
      <c r="K79" s="21">
        <f t="shared" si="90"/>
        <v>12.5</v>
      </c>
      <c r="L79" s="21">
        <f t="shared" si="90"/>
        <v>25</v>
      </c>
      <c r="M79" s="21">
        <f t="shared" si="90"/>
        <v>50</v>
      </c>
      <c r="N79" s="21">
        <f t="shared" si="90"/>
        <v>100</v>
      </c>
      <c r="O79" s="21">
        <f t="shared" si="90"/>
        <v>200</v>
      </c>
      <c r="P79" s="21">
        <f t="shared" si="90"/>
        <v>400</v>
      </c>
      <c r="Q79" s="21">
        <f t="shared" si="90"/>
        <v>800</v>
      </c>
      <c r="R79" s="21">
        <f t="shared" si="90"/>
        <v>1600</v>
      </c>
      <c r="S79" s="21">
        <f t="shared" si="90"/>
        <v>3200</v>
      </c>
      <c r="T79" s="21">
        <f t="shared" si="90"/>
        <v>6400</v>
      </c>
      <c r="U79" s="21">
        <f t="shared" si="90"/>
        <v>12800</v>
      </c>
      <c r="V79" s="21">
        <f t="shared" si="90"/>
        <v>25600</v>
      </c>
      <c r="W79" s="21">
        <f t="shared" si="90"/>
        <v>51200</v>
      </c>
      <c r="X79" s="21">
        <f t="shared" si="90"/>
        <v>102400</v>
      </c>
      <c r="Y79" s="21">
        <f t="shared" si="90"/>
        <v>204800</v>
      </c>
      <c r="Z79" s="21">
        <f t="shared" si="90"/>
        <v>409600</v>
      </c>
      <c r="AA79" s="21">
        <f t="shared" si="90"/>
        <v>819200</v>
      </c>
      <c r="AB79" s="21">
        <f t="shared" si="90"/>
        <v>1638400</v>
      </c>
      <c r="AC79" s="21">
        <f t="shared" si="90"/>
        <v>3276800</v>
      </c>
      <c r="AD79" s="21">
        <f t="shared" si="90"/>
        <v>6553600</v>
      </c>
      <c r="AE79" s="21">
        <f t="shared" si="90"/>
        <v>13107200</v>
      </c>
      <c r="AF79" s="20">
        <f t="shared" si="90"/>
        <v>26214400</v>
      </c>
      <c r="AG79" s="21">
        <f t="shared" si="90"/>
        <v>52428800</v>
      </c>
      <c r="AH79" s="21">
        <f t="shared" si="90"/>
        <v>54577200</v>
      </c>
      <c r="AI79" s="45"/>
    </row>
    <row r="80" spans="1:35" x14ac:dyDescent="0.25">
      <c r="A80" s="48"/>
      <c r="B80" s="16"/>
      <c r="C80" s="16"/>
      <c r="D80" s="25"/>
      <c r="E80" s="46">
        <v>6.3E-2</v>
      </c>
      <c r="F80" s="16"/>
      <c r="G80" s="16"/>
      <c r="H80" s="16"/>
      <c r="I80" s="16"/>
      <c r="J80" s="29">
        <f t="shared" ref="J80:Z80" si="91">J79*$E$80</f>
        <v>0.39374999999999999</v>
      </c>
      <c r="K80" s="30">
        <f t="shared" si="91"/>
        <v>0.78749999999999998</v>
      </c>
      <c r="L80" s="30">
        <f t="shared" si="91"/>
        <v>1.575</v>
      </c>
      <c r="M80" s="30">
        <f t="shared" si="91"/>
        <v>3.15</v>
      </c>
      <c r="N80" s="30">
        <f t="shared" si="91"/>
        <v>6.3</v>
      </c>
      <c r="O80" s="30">
        <f t="shared" si="91"/>
        <v>12.6</v>
      </c>
      <c r="P80" s="30">
        <f t="shared" si="91"/>
        <v>25.2</v>
      </c>
      <c r="Q80" s="30">
        <f t="shared" si="91"/>
        <v>50.4</v>
      </c>
      <c r="R80" s="30">
        <f t="shared" si="91"/>
        <v>100.8</v>
      </c>
      <c r="S80" s="30">
        <f t="shared" si="91"/>
        <v>201.6</v>
      </c>
      <c r="T80" s="30">
        <f t="shared" si="91"/>
        <v>403.2</v>
      </c>
      <c r="U80" s="30">
        <f t="shared" si="91"/>
        <v>806.4</v>
      </c>
      <c r="V80" s="30">
        <f t="shared" si="91"/>
        <v>1612.8</v>
      </c>
      <c r="W80" s="30">
        <f t="shared" si="91"/>
        <v>3225.6</v>
      </c>
      <c r="X80" s="30">
        <f t="shared" si="91"/>
        <v>6451.2</v>
      </c>
      <c r="Y80" s="30">
        <f t="shared" si="91"/>
        <v>12902.4</v>
      </c>
      <c r="Z80" s="30">
        <f t="shared" si="91"/>
        <v>25804.799999999999</v>
      </c>
      <c r="AA80" s="30">
        <f>AA79*$E$80</f>
        <v>51609.599999999999</v>
      </c>
      <c r="AB80" s="30">
        <f>AB79*$E$80</f>
        <v>103219.2</v>
      </c>
      <c r="AC80" s="30">
        <f>AC79*$E$80</f>
        <v>206438.39999999999</v>
      </c>
      <c r="AD80" s="30">
        <f t="shared" ref="AD80:AH80" si="92">AD79*$E$80</f>
        <v>412876.79999999999</v>
      </c>
      <c r="AE80" s="30">
        <f t="shared" si="92"/>
        <v>825753.59999999998</v>
      </c>
      <c r="AF80" s="29">
        <f>AF79*$E$80</f>
        <v>1651507.2</v>
      </c>
      <c r="AG80" s="30">
        <f t="shared" si="92"/>
        <v>3303014.3999999999</v>
      </c>
      <c r="AH80" s="30">
        <f t="shared" si="92"/>
        <v>3438363.6</v>
      </c>
      <c r="AI80" s="45"/>
    </row>
    <row r="81" spans="1:35" x14ac:dyDescent="0.25">
      <c r="A81" s="48" t="s">
        <v>7</v>
      </c>
      <c r="B81" s="24">
        <v>0.33400000000000002</v>
      </c>
      <c r="C81" s="10">
        <f>$B$7 * B81</f>
        <v>91143924</v>
      </c>
      <c r="D81" s="47"/>
      <c r="E81" s="16"/>
      <c r="F81" s="16"/>
      <c r="G81" s="16"/>
      <c r="H81" s="16"/>
      <c r="I81" s="16"/>
      <c r="J81" s="20">
        <f t="shared" ref="J81:AH81" si="93">J$20*$B$81</f>
        <v>10.4375</v>
      </c>
      <c r="K81" s="21">
        <f t="shared" si="93"/>
        <v>20.875</v>
      </c>
      <c r="L81" s="21">
        <f t="shared" si="93"/>
        <v>41.75</v>
      </c>
      <c r="M81" s="21">
        <f t="shared" si="93"/>
        <v>83.5</v>
      </c>
      <c r="N81" s="21">
        <f t="shared" si="93"/>
        <v>167</v>
      </c>
      <c r="O81" s="21">
        <f t="shared" si="93"/>
        <v>334</v>
      </c>
      <c r="P81" s="21">
        <f t="shared" si="93"/>
        <v>668</v>
      </c>
      <c r="Q81" s="21">
        <f t="shared" si="93"/>
        <v>1336</v>
      </c>
      <c r="R81" s="21">
        <f t="shared" si="93"/>
        <v>2672</v>
      </c>
      <c r="S81" s="21">
        <f t="shared" si="93"/>
        <v>5344</v>
      </c>
      <c r="T81" s="21">
        <f t="shared" si="93"/>
        <v>10688</v>
      </c>
      <c r="U81" s="21">
        <f t="shared" si="93"/>
        <v>21376</v>
      </c>
      <c r="V81" s="21">
        <f t="shared" si="93"/>
        <v>42752</v>
      </c>
      <c r="W81" s="21">
        <f t="shared" si="93"/>
        <v>85504</v>
      </c>
      <c r="X81" s="21">
        <f t="shared" si="93"/>
        <v>171008</v>
      </c>
      <c r="Y81" s="21">
        <f t="shared" si="93"/>
        <v>342016</v>
      </c>
      <c r="Z81" s="21">
        <f t="shared" si="93"/>
        <v>684032</v>
      </c>
      <c r="AA81" s="21">
        <f t="shared" si="93"/>
        <v>1368064</v>
      </c>
      <c r="AB81" s="21">
        <f t="shared" si="93"/>
        <v>2736128</v>
      </c>
      <c r="AC81" s="21">
        <f t="shared" si="93"/>
        <v>5472256</v>
      </c>
      <c r="AD81" s="21">
        <f t="shared" si="93"/>
        <v>10944512</v>
      </c>
      <c r="AE81" s="21">
        <f t="shared" si="93"/>
        <v>21889024</v>
      </c>
      <c r="AF81" s="20">
        <f t="shared" si="93"/>
        <v>43778048</v>
      </c>
      <c r="AG81" s="21">
        <f t="shared" si="93"/>
        <v>87556096</v>
      </c>
      <c r="AH81" s="21">
        <f t="shared" si="93"/>
        <v>91143924</v>
      </c>
      <c r="AI81" s="45"/>
    </row>
    <row r="82" spans="1:35" x14ac:dyDescent="0.25">
      <c r="A82" s="48"/>
      <c r="B82" s="16"/>
      <c r="C82" s="16"/>
      <c r="D82" s="25"/>
      <c r="E82" s="46">
        <v>0.06</v>
      </c>
      <c r="F82" s="16"/>
      <c r="G82" s="16"/>
      <c r="H82" s="16"/>
      <c r="I82" s="16"/>
      <c r="J82" s="29">
        <f t="shared" ref="J82:Z82" si="94">J81*$E$82</f>
        <v>0.62624999999999997</v>
      </c>
      <c r="K82" s="30">
        <f t="shared" si="94"/>
        <v>1.2524999999999999</v>
      </c>
      <c r="L82" s="30">
        <f t="shared" si="94"/>
        <v>2.5049999999999999</v>
      </c>
      <c r="M82" s="30">
        <f t="shared" si="94"/>
        <v>5.01</v>
      </c>
      <c r="N82" s="30">
        <f t="shared" si="94"/>
        <v>10.02</v>
      </c>
      <c r="O82" s="30">
        <f t="shared" si="94"/>
        <v>20.04</v>
      </c>
      <c r="P82" s="30">
        <f t="shared" si="94"/>
        <v>40.08</v>
      </c>
      <c r="Q82" s="30">
        <f t="shared" si="94"/>
        <v>80.16</v>
      </c>
      <c r="R82" s="30">
        <f t="shared" si="94"/>
        <v>160.32</v>
      </c>
      <c r="S82" s="30">
        <f t="shared" si="94"/>
        <v>320.64</v>
      </c>
      <c r="T82" s="30">
        <f t="shared" si="94"/>
        <v>641.28</v>
      </c>
      <c r="U82" s="30">
        <f t="shared" si="94"/>
        <v>1282.56</v>
      </c>
      <c r="V82" s="30">
        <f t="shared" si="94"/>
        <v>2565.12</v>
      </c>
      <c r="W82" s="30">
        <f t="shared" si="94"/>
        <v>5130.24</v>
      </c>
      <c r="X82" s="30">
        <f t="shared" si="94"/>
        <v>10260.48</v>
      </c>
      <c r="Y82" s="30">
        <f t="shared" si="94"/>
        <v>20520.96</v>
      </c>
      <c r="Z82" s="30">
        <f t="shared" si="94"/>
        <v>41041.919999999998</v>
      </c>
      <c r="AA82" s="30">
        <f>AA81*$E$82</f>
        <v>82083.839999999997</v>
      </c>
      <c r="AB82" s="30">
        <f>AB81*$E$82</f>
        <v>164167.67999999999</v>
      </c>
      <c r="AC82" s="30">
        <f>AC81*$E$82</f>
        <v>328335.35999999999</v>
      </c>
      <c r="AD82" s="30">
        <f t="shared" ref="AD82:AH82" si="95">AD81*$E$82</f>
        <v>656670.71999999997</v>
      </c>
      <c r="AE82" s="30">
        <f t="shared" si="95"/>
        <v>1313341.4399999999</v>
      </c>
      <c r="AF82" s="29">
        <f t="shared" si="95"/>
        <v>2626682.8799999999</v>
      </c>
      <c r="AG82" s="30">
        <f t="shared" si="95"/>
        <v>5253365.7599999998</v>
      </c>
      <c r="AH82" s="30">
        <f t="shared" si="95"/>
        <v>5468635.4399999995</v>
      </c>
      <c r="AI82" s="45"/>
    </row>
    <row r="83" spans="1:35" x14ac:dyDescent="0.25">
      <c r="A83" s="48" t="s">
        <v>8</v>
      </c>
      <c r="B83" s="264">
        <v>4.2999999999999999E-4</v>
      </c>
      <c r="C83" s="10">
        <f>$B$7 * B83</f>
        <v>117340.98</v>
      </c>
      <c r="D83" s="47"/>
      <c r="E83" s="16"/>
      <c r="F83" s="16"/>
      <c r="G83" s="16"/>
      <c r="H83" s="16"/>
      <c r="I83" s="16"/>
      <c r="J83" s="20">
        <f t="shared" ref="J83:AH83" si="96">J$20*$B$83</f>
        <v>1.34375E-2</v>
      </c>
      <c r="K83" s="21">
        <f t="shared" si="96"/>
        <v>2.6875E-2</v>
      </c>
      <c r="L83" s="21">
        <f t="shared" si="96"/>
        <v>5.3749999999999999E-2</v>
      </c>
      <c r="M83" s="21">
        <f t="shared" si="96"/>
        <v>0.1075</v>
      </c>
      <c r="N83" s="21">
        <f t="shared" si="96"/>
        <v>0.215</v>
      </c>
      <c r="O83" s="21">
        <f t="shared" si="96"/>
        <v>0.43</v>
      </c>
      <c r="P83" s="21">
        <f t="shared" si="96"/>
        <v>0.86</v>
      </c>
      <c r="Q83" s="21">
        <f t="shared" si="96"/>
        <v>1.72</v>
      </c>
      <c r="R83" s="21">
        <f t="shared" si="96"/>
        <v>3.44</v>
      </c>
      <c r="S83" s="21">
        <f t="shared" si="96"/>
        <v>6.88</v>
      </c>
      <c r="T83" s="21">
        <f t="shared" si="96"/>
        <v>13.76</v>
      </c>
      <c r="U83" s="21">
        <f t="shared" si="96"/>
        <v>27.52</v>
      </c>
      <c r="V83" s="21">
        <f t="shared" si="96"/>
        <v>55.04</v>
      </c>
      <c r="W83" s="21">
        <f t="shared" si="96"/>
        <v>110.08</v>
      </c>
      <c r="X83" s="21">
        <f t="shared" si="96"/>
        <v>220.16</v>
      </c>
      <c r="Y83" s="21">
        <f t="shared" si="96"/>
        <v>440.32</v>
      </c>
      <c r="Z83" s="21">
        <f t="shared" si="96"/>
        <v>880.64</v>
      </c>
      <c r="AA83" s="21">
        <f t="shared" si="96"/>
        <v>1761.28</v>
      </c>
      <c r="AB83" s="21">
        <f t="shared" si="96"/>
        <v>3522.56</v>
      </c>
      <c r="AC83" s="21">
        <f t="shared" si="96"/>
        <v>7045.12</v>
      </c>
      <c r="AD83" s="21">
        <f t="shared" si="96"/>
        <v>14090.24</v>
      </c>
      <c r="AE83" s="21">
        <f t="shared" si="96"/>
        <v>28180.48</v>
      </c>
      <c r="AF83" s="20">
        <f t="shared" si="96"/>
        <v>56360.959999999999</v>
      </c>
      <c r="AG83" s="21">
        <f t="shared" si="96"/>
        <v>112721.92</v>
      </c>
      <c r="AH83" s="21">
        <f t="shared" si="96"/>
        <v>117340.98</v>
      </c>
      <c r="AI83" s="45"/>
    </row>
    <row r="84" spans="1:35" x14ac:dyDescent="0.25">
      <c r="A84" s="48"/>
      <c r="B84" s="16"/>
      <c r="C84" s="16"/>
      <c r="D84" s="25"/>
      <c r="E84" s="46">
        <v>5.6000000000000001E-2</v>
      </c>
      <c r="F84" s="16"/>
      <c r="G84" s="16"/>
      <c r="H84" s="16"/>
      <c r="I84" s="16"/>
      <c r="J84" s="29">
        <f t="shared" ref="J84:Z84" si="97">J83*$E$84</f>
        <v>7.5250000000000002E-4</v>
      </c>
      <c r="K84" s="30">
        <f t="shared" si="97"/>
        <v>1.505E-3</v>
      </c>
      <c r="L84" s="30">
        <f t="shared" si="97"/>
        <v>3.0100000000000001E-3</v>
      </c>
      <c r="M84" s="30">
        <f t="shared" si="97"/>
        <v>6.0200000000000002E-3</v>
      </c>
      <c r="N84" s="30">
        <f t="shared" si="97"/>
        <v>1.204E-2</v>
      </c>
      <c r="O84" s="30">
        <f t="shared" si="97"/>
        <v>2.4080000000000001E-2</v>
      </c>
      <c r="P84" s="30">
        <f t="shared" si="97"/>
        <v>4.8160000000000001E-2</v>
      </c>
      <c r="Q84" s="30">
        <f t="shared" si="97"/>
        <v>9.6320000000000003E-2</v>
      </c>
      <c r="R84" s="30">
        <f t="shared" si="97"/>
        <v>0.19264000000000001</v>
      </c>
      <c r="S84" s="30">
        <f t="shared" si="97"/>
        <v>0.38528000000000001</v>
      </c>
      <c r="T84" s="30">
        <f t="shared" si="97"/>
        <v>0.77056000000000002</v>
      </c>
      <c r="U84" s="30">
        <f t="shared" si="97"/>
        <v>1.54112</v>
      </c>
      <c r="V84" s="30">
        <f t="shared" si="97"/>
        <v>3.0822400000000001</v>
      </c>
      <c r="W84" s="30">
        <f t="shared" si="97"/>
        <v>6.1644800000000002</v>
      </c>
      <c r="X84" s="30">
        <f t="shared" si="97"/>
        <v>12.32896</v>
      </c>
      <c r="Y84" s="30">
        <f t="shared" si="97"/>
        <v>24.657920000000001</v>
      </c>
      <c r="Z84" s="30">
        <f t="shared" si="97"/>
        <v>49.315840000000001</v>
      </c>
      <c r="AA84" s="30">
        <f>AA83*$E$84</f>
        <v>98.631680000000003</v>
      </c>
      <c r="AB84" s="30">
        <f>AB83*$E$84</f>
        <v>197.26336000000001</v>
      </c>
      <c r="AC84" s="30">
        <f>AC83*$E$84</f>
        <v>394.52672000000001</v>
      </c>
      <c r="AD84" s="30">
        <f t="shared" ref="AD84:AH84" si="98">AD83*$E$84</f>
        <v>789.05344000000002</v>
      </c>
      <c r="AE84" s="30">
        <f t="shared" si="98"/>
        <v>1578.10688</v>
      </c>
      <c r="AF84" s="29">
        <f t="shared" si="98"/>
        <v>3156.2137600000001</v>
      </c>
      <c r="AG84" s="30">
        <f t="shared" si="98"/>
        <v>6312.4275200000002</v>
      </c>
      <c r="AH84" s="30">
        <f t="shared" si="98"/>
        <v>6571.0948799999996</v>
      </c>
      <c r="AI84" s="45"/>
    </row>
    <row r="85" spans="1:35" x14ac:dyDescent="0.25">
      <c r="A85" s="48" t="s">
        <v>9</v>
      </c>
      <c r="B85" s="24">
        <v>0.34799999999999998</v>
      </c>
      <c r="C85" s="10">
        <f>$B$7 * B85</f>
        <v>94964328</v>
      </c>
      <c r="D85" s="47"/>
      <c r="E85" s="16"/>
      <c r="F85" s="16"/>
      <c r="G85" s="16"/>
      <c r="H85" s="16"/>
      <c r="I85" s="16"/>
      <c r="J85" s="20">
        <f t="shared" ref="J85:AH85" si="99">J$20*$B$85</f>
        <v>10.875</v>
      </c>
      <c r="K85" s="21">
        <f t="shared" si="99"/>
        <v>21.75</v>
      </c>
      <c r="L85" s="21">
        <f t="shared" si="99"/>
        <v>43.5</v>
      </c>
      <c r="M85" s="21">
        <f t="shared" si="99"/>
        <v>87</v>
      </c>
      <c r="N85" s="21">
        <f t="shared" si="99"/>
        <v>174</v>
      </c>
      <c r="O85" s="21">
        <f t="shared" si="99"/>
        <v>348</v>
      </c>
      <c r="P85" s="21">
        <f t="shared" si="99"/>
        <v>696</v>
      </c>
      <c r="Q85" s="21">
        <f t="shared" si="99"/>
        <v>1392</v>
      </c>
      <c r="R85" s="21">
        <f t="shared" si="99"/>
        <v>2784</v>
      </c>
      <c r="S85" s="21">
        <f t="shared" si="99"/>
        <v>5568</v>
      </c>
      <c r="T85" s="21">
        <f t="shared" si="99"/>
        <v>11136</v>
      </c>
      <c r="U85" s="21">
        <f t="shared" si="99"/>
        <v>22272</v>
      </c>
      <c r="V85" s="21">
        <f t="shared" si="99"/>
        <v>44544</v>
      </c>
      <c r="W85" s="21">
        <f t="shared" si="99"/>
        <v>89088</v>
      </c>
      <c r="X85" s="21">
        <f t="shared" si="99"/>
        <v>178176</v>
      </c>
      <c r="Y85" s="21">
        <f t="shared" si="99"/>
        <v>356352</v>
      </c>
      <c r="Z85" s="21">
        <f t="shared" si="99"/>
        <v>712704</v>
      </c>
      <c r="AA85" s="21">
        <f t="shared" si="99"/>
        <v>1425408</v>
      </c>
      <c r="AB85" s="21">
        <f t="shared" si="99"/>
        <v>2850816</v>
      </c>
      <c r="AC85" s="21">
        <f t="shared" si="99"/>
        <v>5701632</v>
      </c>
      <c r="AD85" s="21">
        <f t="shared" si="99"/>
        <v>11403264</v>
      </c>
      <c r="AE85" s="21">
        <f t="shared" si="99"/>
        <v>22806528</v>
      </c>
      <c r="AF85" s="20">
        <f t="shared" si="99"/>
        <v>45613056</v>
      </c>
      <c r="AG85" s="21">
        <f t="shared" si="99"/>
        <v>91226112</v>
      </c>
      <c r="AH85" s="21">
        <f t="shared" si="99"/>
        <v>94964328</v>
      </c>
      <c r="AI85" s="45"/>
    </row>
    <row r="86" spans="1:35" x14ac:dyDescent="0.25">
      <c r="A86" s="37"/>
      <c r="B86" s="39"/>
      <c r="C86" s="39"/>
      <c r="D86" s="55"/>
      <c r="E86" s="56" t="s">
        <v>10</v>
      </c>
      <c r="F86" s="39"/>
      <c r="G86" s="39"/>
      <c r="H86" s="39"/>
      <c r="I86" s="39"/>
      <c r="J86" s="29" t="s">
        <v>10</v>
      </c>
      <c r="K86" s="30" t="s">
        <v>10</v>
      </c>
      <c r="L86" s="30" t="s">
        <v>10</v>
      </c>
      <c r="M86" s="30" t="s">
        <v>10</v>
      </c>
      <c r="N86" s="30" t="s">
        <v>10</v>
      </c>
      <c r="O86" s="30" t="s">
        <v>10</v>
      </c>
      <c r="P86" s="30" t="s">
        <v>10</v>
      </c>
      <c r="Q86" s="30" t="s">
        <v>10</v>
      </c>
      <c r="R86" s="30" t="s">
        <v>10</v>
      </c>
      <c r="S86" s="30" t="s">
        <v>10</v>
      </c>
      <c r="T86" s="30" t="s">
        <v>10</v>
      </c>
      <c r="U86" s="30" t="s">
        <v>10</v>
      </c>
      <c r="V86" s="30" t="s">
        <v>10</v>
      </c>
      <c r="W86" s="30" t="s">
        <v>10</v>
      </c>
      <c r="X86" s="30" t="s">
        <v>10</v>
      </c>
      <c r="Y86" s="30" t="s">
        <v>10</v>
      </c>
      <c r="Z86" s="30" t="s">
        <v>10</v>
      </c>
      <c r="AA86" s="30" t="s">
        <v>10</v>
      </c>
      <c r="AB86" s="30" t="s">
        <v>10</v>
      </c>
      <c r="AC86" s="30" t="s">
        <v>10</v>
      </c>
      <c r="AD86" s="30" t="s">
        <v>10</v>
      </c>
      <c r="AE86" s="30" t="s">
        <v>10</v>
      </c>
      <c r="AF86" s="29" t="s">
        <v>10</v>
      </c>
      <c r="AG86" s="30" t="s">
        <v>10</v>
      </c>
      <c r="AH86" s="30" t="s">
        <v>10</v>
      </c>
      <c r="AI86" s="45"/>
    </row>
    <row r="87" spans="1:35" x14ac:dyDescent="0.25">
      <c r="A87" s="41" t="s">
        <v>196</v>
      </c>
      <c r="B87" s="16"/>
      <c r="C87" s="16"/>
      <c r="D87" s="47"/>
      <c r="E87" s="16"/>
      <c r="F87" s="16"/>
      <c r="G87" s="16"/>
      <c r="H87" s="16"/>
      <c r="I87" s="16"/>
      <c r="J87" s="18">
        <f>SUM(J75,J77,J79,J81,J83,J85)</f>
        <v>38.888437499999995</v>
      </c>
      <c r="K87" s="19">
        <f t="shared" ref="K87:Z87" si="100">SUM(K75,K77,K79,K81,K83,K85)</f>
        <v>77.77687499999999</v>
      </c>
      <c r="L87" s="19">
        <f t="shared" si="100"/>
        <v>155.55374999999998</v>
      </c>
      <c r="M87" s="19">
        <f t="shared" si="100"/>
        <v>311.10749999999996</v>
      </c>
      <c r="N87" s="19">
        <f t="shared" si="100"/>
        <v>622.21499999999992</v>
      </c>
      <c r="O87" s="19">
        <f t="shared" si="100"/>
        <v>1244.4299999999998</v>
      </c>
      <c r="P87" s="19">
        <f>SUM(P75,P77,P79,P81,P83,P85)</f>
        <v>2488.8599999999997</v>
      </c>
      <c r="Q87" s="19">
        <f t="shared" si="100"/>
        <v>4977.7199999999993</v>
      </c>
      <c r="R87" s="19">
        <f t="shared" si="100"/>
        <v>9955.4399999999987</v>
      </c>
      <c r="S87" s="19">
        <f t="shared" si="100"/>
        <v>19910.879999999997</v>
      </c>
      <c r="T87" s="19">
        <f t="shared" si="100"/>
        <v>39821.759999999995</v>
      </c>
      <c r="U87" s="19">
        <f t="shared" si="100"/>
        <v>79643.51999999999</v>
      </c>
      <c r="V87" s="19">
        <f t="shared" si="100"/>
        <v>159287.03999999998</v>
      </c>
      <c r="W87" s="19">
        <f t="shared" si="100"/>
        <v>318574.07999999996</v>
      </c>
      <c r="X87" s="19">
        <f t="shared" si="100"/>
        <v>637148.15999999992</v>
      </c>
      <c r="Y87" s="19">
        <f t="shared" si="100"/>
        <v>1274296.3199999998</v>
      </c>
      <c r="Z87" s="19">
        <f t="shared" si="100"/>
        <v>2548592.6399999997</v>
      </c>
      <c r="AA87" s="19">
        <f t="shared" ref="AA87:AC88" si="101">SUM(AA75,AA77,AA79,AA81,AA83,AA85)</f>
        <v>5097185.2799999993</v>
      </c>
      <c r="AB87" s="19">
        <f t="shared" si="101"/>
        <v>10194370.559999999</v>
      </c>
      <c r="AC87" s="19">
        <f t="shared" si="101"/>
        <v>20388741.119999997</v>
      </c>
      <c r="AD87" s="19">
        <f t="shared" ref="AD87:AH87" si="102">SUM(AD75,AD77,AD79,AD81,AD83,AD85)</f>
        <v>40777482.239999995</v>
      </c>
      <c r="AE87" s="19">
        <f t="shared" si="102"/>
        <v>81554964.479999989</v>
      </c>
      <c r="AF87" s="18">
        <f t="shared" si="102"/>
        <v>163109928.95999998</v>
      </c>
      <c r="AG87" s="19">
        <f t="shared" si="102"/>
        <v>326219857.91999996</v>
      </c>
      <c r="AH87" s="19">
        <f t="shared" si="102"/>
        <v>339587524.98000002</v>
      </c>
      <c r="AI87" s="45"/>
    </row>
    <row r="88" spans="1:35" x14ac:dyDescent="0.25">
      <c r="A88" s="37" t="s">
        <v>39</v>
      </c>
      <c r="B88" s="39"/>
      <c r="C88" s="39"/>
      <c r="D88" s="39"/>
      <c r="E88" s="39"/>
      <c r="F88" s="39"/>
      <c r="G88" s="39"/>
      <c r="H88" s="39"/>
      <c r="I88" s="39"/>
      <c r="J88" s="31">
        <f>SUM(J76,J78,J80,J82,J84,J86)</f>
        <v>2.1385649999999998</v>
      </c>
      <c r="K88" s="32">
        <f t="shared" ref="K88:Z88" si="103">SUM(K76,K78,K80,K82,K84,K86)</f>
        <v>4.2771299999999997</v>
      </c>
      <c r="L88" s="32">
        <f t="shared" si="103"/>
        <v>8.5542599999999993</v>
      </c>
      <c r="M88" s="32">
        <f t="shared" si="103"/>
        <v>17.108519999999999</v>
      </c>
      <c r="N88" s="32">
        <f t="shared" si="103"/>
        <v>34.217039999999997</v>
      </c>
      <c r="O88" s="32">
        <f t="shared" si="103"/>
        <v>68.434079999999994</v>
      </c>
      <c r="P88" s="32">
        <f t="shared" si="103"/>
        <v>136.86815999999999</v>
      </c>
      <c r="Q88" s="32">
        <f t="shared" si="103"/>
        <v>273.73631999999998</v>
      </c>
      <c r="R88" s="32">
        <f t="shared" si="103"/>
        <v>547.47263999999996</v>
      </c>
      <c r="S88" s="32">
        <f t="shared" si="103"/>
        <v>1094.9452799999999</v>
      </c>
      <c r="T88" s="32">
        <f t="shared" si="103"/>
        <v>2189.8905599999998</v>
      </c>
      <c r="U88" s="32">
        <f t="shared" si="103"/>
        <v>4379.7811199999996</v>
      </c>
      <c r="V88" s="32">
        <f t="shared" si="103"/>
        <v>8759.5622399999993</v>
      </c>
      <c r="W88" s="32">
        <f t="shared" si="103"/>
        <v>17519.124479999999</v>
      </c>
      <c r="X88" s="32">
        <f t="shared" si="103"/>
        <v>35038.248959999997</v>
      </c>
      <c r="Y88" s="32">
        <f t="shared" si="103"/>
        <v>70076.497919999994</v>
      </c>
      <c r="Z88" s="32">
        <f t="shared" si="103"/>
        <v>140152.99583999999</v>
      </c>
      <c r="AA88" s="32">
        <f t="shared" si="101"/>
        <v>280305.99167999998</v>
      </c>
      <c r="AB88" s="32">
        <f t="shared" si="101"/>
        <v>560611.98335999995</v>
      </c>
      <c r="AC88" s="32">
        <f t="shared" si="101"/>
        <v>1121223.9667199999</v>
      </c>
      <c r="AD88" s="32">
        <f t="shared" ref="AD88:AH88" si="104">SUM(AD76,AD78,AD80,AD82,AD84,AD86)</f>
        <v>2242447.9334399998</v>
      </c>
      <c r="AE88" s="32">
        <f t="shared" si="104"/>
        <v>4484895.8668799996</v>
      </c>
      <c r="AF88" s="31">
        <f t="shared" si="104"/>
        <v>8969791.7337599993</v>
      </c>
      <c r="AG88" s="32">
        <f t="shared" si="104"/>
        <v>17939583.467519999</v>
      </c>
      <c r="AH88" s="32">
        <f t="shared" si="104"/>
        <v>18674702.354879998</v>
      </c>
      <c r="AI88" s="45"/>
    </row>
    <row r="92" spans="1:35" x14ac:dyDescent="0.25">
      <c r="E92" s="2"/>
    </row>
    <row r="93" spans="1:35" x14ac:dyDescent="0.25">
      <c r="E93" s="2"/>
    </row>
    <row r="95" spans="1:35" x14ac:dyDescent="0.25">
      <c r="E95" s="241"/>
    </row>
  </sheetData>
  <conditionalFormatting sqref="AF31:AI31 J31:AD31">
    <cfRule type="cellIs" dxfId="24" priority="34" operator="greaterThan">
      <formula>$C$10</formula>
    </cfRule>
  </conditionalFormatting>
  <conditionalFormatting sqref="J33:AH33">
    <cfRule type="cellIs" dxfId="23" priority="33" operator="greaterThan">
      <formula>$C$11</formula>
    </cfRule>
  </conditionalFormatting>
  <conditionalFormatting sqref="J52:AH52">
    <cfRule type="cellIs" dxfId="22" priority="32" operator="greaterThan">
      <formula>$C$52</formula>
    </cfRule>
  </conditionalFormatting>
  <conditionalFormatting sqref="J54:AH54">
    <cfRule type="cellIs" dxfId="21" priority="31" operator="greaterThan">
      <formula>$C$54</formula>
    </cfRule>
  </conditionalFormatting>
  <conditionalFormatting sqref="J56:AH56">
    <cfRule type="cellIs" dxfId="20" priority="30" operator="greaterThan">
      <formula>$C$56</formula>
    </cfRule>
  </conditionalFormatting>
  <conditionalFormatting sqref="J58:AH58">
    <cfRule type="cellIs" dxfId="19" priority="22" operator="greaterThan">
      <formula>$C$58</formula>
    </cfRule>
  </conditionalFormatting>
  <conditionalFormatting sqref="J60:AH60">
    <cfRule type="cellIs" dxfId="18" priority="21" operator="greaterThan">
      <formula>$C$60</formula>
    </cfRule>
  </conditionalFormatting>
  <conditionalFormatting sqref="J62:AH62">
    <cfRule type="cellIs" dxfId="17" priority="20" operator="greaterThan">
      <formula>$C$62</formula>
    </cfRule>
  </conditionalFormatting>
  <conditionalFormatting sqref="J64:AH64">
    <cfRule type="cellIs" dxfId="16" priority="19" operator="greaterThan">
      <formula>$C$64</formula>
    </cfRule>
  </conditionalFormatting>
  <conditionalFormatting sqref="J66:AH66">
    <cfRule type="cellIs" dxfId="15" priority="18" operator="greaterThan">
      <formula>$C$66</formula>
    </cfRule>
  </conditionalFormatting>
  <conditionalFormatting sqref="J68:AH68">
    <cfRule type="cellIs" dxfId="14" priority="17" operator="greaterThan">
      <formula>$C$68</formula>
    </cfRule>
  </conditionalFormatting>
  <conditionalFormatting sqref="J22:AH22">
    <cfRule type="cellIs" dxfId="13" priority="16" operator="equal">
      <formula>0</formula>
    </cfRule>
  </conditionalFormatting>
  <conditionalFormatting sqref="J29:AD29 AF29:AH29 AF31:AH31 K33:AH33 J31:AD31">
    <cfRule type="cellIs" dxfId="12" priority="15" operator="equal">
      <formula>0</formula>
    </cfRule>
  </conditionalFormatting>
  <conditionalFormatting sqref="D52">
    <cfRule type="cellIs" dxfId="11" priority="12" operator="greaterThan">
      <formula>$B$52</formula>
    </cfRule>
  </conditionalFormatting>
  <conditionalFormatting sqref="D54">
    <cfRule type="cellIs" dxfId="10" priority="11" operator="greaterThan">
      <formula>$B$54</formula>
    </cfRule>
  </conditionalFormatting>
  <conditionalFormatting sqref="D56">
    <cfRule type="cellIs" dxfId="9" priority="10" operator="greaterThan">
      <formula>$B$56</formula>
    </cfRule>
  </conditionalFormatting>
  <conditionalFormatting sqref="D58">
    <cfRule type="cellIs" dxfId="8" priority="9" operator="greaterThan">
      <formula>$B$58</formula>
    </cfRule>
  </conditionalFormatting>
  <conditionalFormatting sqref="D60">
    <cfRule type="cellIs" dxfId="7" priority="8" operator="greaterThan">
      <formula>$B$60</formula>
    </cfRule>
  </conditionalFormatting>
  <conditionalFormatting sqref="D62">
    <cfRule type="cellIs" dxfId="6" priority="7" operator="greaterThan">
      <formula>$B$62</formula>
    </cfRule>
  </conditionalFormatting>
  <conditionalFormatting sqref="D64">
    <cfRule type="cellIs" dxfId="5" priority="6" operator="greaterThan">
      <formula>$B$64</formula>
    </cfRule>
  </conditionalFormatting>
  <conditionalFormatting sqref="D66">
    <cfRule type="cellIs" dxfId="4" priority="5" operator="greaterThan">
      <formula>$B$66</formula>
    </cfRule>
  </conditionalFormatting>
  <conditionalFormatting sqref="D68">
    <cfRule type="cellIs" dxfId="3" priority="4" operator="greaterThan">
      <formula>$B$68</formula>
    </cfRule>
  </conditionalFormatting>
  <conditionalFormatting sqref="AE29">
    <cfRule type="cellIs" dxfId="2" priority="3" operator="equal">
      <formula>0</formula>
    </cfRule>
  </conditionalFormatting>
  <conditionalFormatting sqref="AE31">
    <cfRule type="cellIs" dxfId="1" priority="2" operator="greaterThan">
      <formula>$C$10</formula>
    </cfRule>
  </conditionalFormatting>
  <conditionalFormatting sqref="AE31">
    <cfRule type="cellIs" dxfId="0" priority="1" operator="equal">
      <formula>0</formula>
    </cfRule>
  </conditionalFormatting>
  <hyperlinks>
    <hyperlink ref="E51" r:id="rId1" location="case-fatality-rate-of-covid-19-by-age" xr:uid="{0058192C-B05A-45D2-8597-C1F9B3D9241E}"/>
    <hyperlink ref="E74" r:id="rId2" location="case-fatality-rate-of-covid-19-by-preexisting-health-conditions" xr:uid="{110A2613-24A6-4768-B90C-571B307D13E2}"/>
    <hyperlink ref="A44" r:id="rId3" xr:uid="{168ADFE7-28CA-4E37-B04A-0F894FC4F702}"/>
    <hyperlink ref="A7" r:id="rId4" xr:uid="{C82EF781-DCE9-40F2-B400-788BB6410A85}"/>
    <hyperlink ref="B8"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4" sqref="G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Projections!B7</f>
        <v>272886000</v>
      </c>
      <c r="J3" s="2"/>
    </row>
    <row r="4" spans="2:10" x14ac:dyDescent="0.25">
      <c r="B4" s="171" t="s">
        <v>134</v>
      </c>
      <c r="C4" s="154">
        <f>Projections!J20</f>
        <v>31.25</v>
      </c>
      <c r="J4" s="2"/>
    </row>
    <row r="5" spans="2:10" x14ac:dyDescent="0.25">
      <c r="B5" s="171" t="s">
        <v>135</v>
      </c>
      <c r="C5" s="152">
        <f>Projections!J19</f>
        <v>43900</v>
      </c>
      <c r="J5" s="2"/>
    </row>
    <row r="6" spans="2:10" x14ac:dyDescent="0.25">
      <c r="B6" s="171" t="s">
        <v>118</v>
      </c>
      <c r="C6" s="154">
        <v>16006</v>
      </c>
    </row>
    <row r="7" spans="2:10" x14ac:dyDescent="0.25">
      <c r="B7" s="171" t="s">
        <v>120</v>
      </c>
      <c r="C7" s="152">
        <f ca="1">NOW()</f>
        <v>43966.832545949073</v>
      </c>
    </row>
    <row r="8" spans="2:10" x14ac:dyDescent="0.25">
      <c r="B8" s="171" t="s">
        <v>136</v>
      </c>
      <c r="C8" s="153">
        <f ca="1">C7-C5</f>
        <v>66.832545949073392</v>
      </c>
    </row>
    <row r="9" spans="2:10" x14ac:dyDescent="0.25">
      <c r="B9" s="171" t="s">
        <v>119</v>
      </c>
      <c r="C9" s="155">
        <f ca="1">C8/(LOG(C6/C4)/LOG(2))</f>
        <v>7.4253921651048005</v>
      </c>
      <c r="D9" t="s">
        <v>96</v>
      </c>
      <c r="F9" t="s">
        <v>137</v>
      </c>
    </row>
    <row r="10" spans="2:10" x14ac:dyDescent="0.25">
      <c r="B10" s="171" t="s">
        <v>124</v>
      </c>
      <c r="C10" s="154">
        <f>Projections!C10</f>
        <v>163731.6</v>
      </c>
    </row>
    <row r="11" spans="2:10" x14ac:dyDescent="0.25">
      <c r="B11" s="172" t="s">
        <v>125</v>
      </c>
      <c r="C11" s="159">
        <f>Projections!C11</f>
        <v>7367.9220000000005</v>
      </c>
    </row>
    <row r="12" spans="2:10" s="69" customFormat="1" x14ac:dyDescent="0.25">
      <c r="B12" s="62" t="s">
        <v>165</v>
      </c>
      <c r="C12" s="160">
        <f>C6/Projections!B8</f>
        <v>285821.42857142858</v>
      </c>
    </row>
    <row r="13" spans="2:10" s="69" customFormat="1" x14ac:dyDescent="0.25">
      <c r="B13" s="48" t="s">
        <v>166</v>
      </c>
      <c r="C13" s="161">
        <f ca="1">(C4/Projections!B8)*(2^(((C7-21)-C5)/C9))</f>
        <v>40247.766413127691</v>
      </c>
    </row>
    <row r="14" spans="2:10" s="69" customFormat="1" x14ac:dyDescent="0.25">
      <c r="B14" s="49" t="s">
        <v>167</v>
      </c>
      <c r="C14" s="144">
        <f ca="1">C12-C13</f>
        <v>245573.6621583009</v>
      </c>
      <c r="E14" s="157"/>
      <c r="F14" s="158" t="s">
        <v>141</v>
      </c>
      <c r="G14" s="156"/>
    </row>
    <row r="15" spans="2:10" x14ac:dyDescent="0.25">
      <c r="B15" s="4" t="s">
        <v>138</v>
      </c>
      <c r="C15" s="64">
        <f>C6*Projections!B12</f>
        <v>12964.86</v>
      </c>
      <c r="I15" s="151"/>
    </row>
    <row r="16" spans="2:10" x14ac:dyDescent="0.25">
      <c r="B16" s="41" t="s">
        <v>148</v>
      </c>
      <c r="C16" s="80">
        <f ca="1">(C4*Projections!B12)*(2^(((C7-21)-C5)/C9))</f>
        <v>1825.6386844994722</v>
      </c>
      <c r="I16" s="151"/>
    </row>
    <row r="17" spans="2:9" x14ac:dyDescent="0.25">
      <c r="B17" s="41" t="s">
        <v>139</v>
      </c>
      <c r="C17" s="80">
        <f ca="1">C15-C16</f>
        <v>11139.221315500528</v>
      </c>
      <c r="F17" t="s">
        <v>142</v>
      </c>
      <c r="I17" s="151"/>
    </row>
    <row r="18" spans="2:9" x14ac:dyDescent="0.25">
      <c r="B18" s="4" t="s">
        <v>144</v>
      </c>
      <c r="C18" s="64">
        <f>C6*Projections!B13</f>
        <v>2240.84</v>
      </c>
    </row>
    <row r="19" spans="2:9" x14ac:dyDescent="0.25">
      <c r="B19" s="41" t="s">
        <v>149</v>
      </c>
      <c r="C19" s="80">
        <f ca="1">(C4*Projections!B13)*(2^(((C7-49)-C5)/C9))</f>
        <v>23.116416502721293</v>
      </c>
    </row>
    <row r="20" spans="2:9" x14ac:dyDescent="0.25">
      <c r="B20" s="41" t="s">
        <v>143</v>
      </c>
      <c r="C20" s="80">
        <f ca="1">C18-C19</f>
        <v>2217.7235834972789</v>
      </c>
      <c r="F20" t="s">
        <v>147</v>
      </c>
    </row>
    <row r="21" spans="2:9" x14ac:dyDescent="0.25">
      <c r="B21" s="4" t="s">
        <v>145</v>
      </c>
      <c r="C21" s="64">
        <f>C6*Projections!B14</f>
        <v>800.30000000000007</v>
      </c>
      <c r="I21" s="151"/>
    </row>
    <row r="22" spans="2:9" x14ac:dyDescent="0.25">
      <c r="B22" s="41" t="s">
        <v>150</v>
      </c>
      <c r="C22" s="80">
        <f ca="1">(C4*Projections!B14)*(2^(((C7-49)-C5)/C9))</f>
        <v>8.2558630366861756</v>
      </c>
      <c r="I22" s="151"/>
    </row>
    <row r="23" spans="2:9" x14ac:dyDescent="0.25">
      <c r="B23" s="41" t="s">
        <v>146</v>
      </c>
      <c r="C23" s="80">
        <f ca="1">C21-C22</f>
        <v>792.04413696331392</v>
      </c>
      <c r="I23" s="151"/>
    </row>
    <row r="24" spans="2:9" x14ac:dyDescent="0.25">
      <c r="B24" s="4" t="s">
        <v>151</v>
      </c>
      <c r="C24" s="64">
        <f>C6*Projections!B15</f>
        <v>1040.3900000000001</v>
      </c>
    </row>
    <row r="25" spans="2:9" x14ac:dyDescent="0.25">
      <c r="B25" s="37" t="s">
        <v>152</v>
      </c>
      <c r="C25" s="61">
        <f ca="1">(C4*Projections!B15)*(2^(((C7-42)-C5)/C9))</f>
        <v>20.629569525298106</v>
      </c>
      <c r="F25" t="s">
        <v>153</v>
      </c>
    </row>
    <row r="26" spans="2:9" x14ac:dyDescent="0.25">
      <c r="B26" s="41" t="s">
        <v>129</v>
      </c>
      <c r="C26" s="164">
        <f ca="1">C9*(LOG(C10/C21)/LOG(2))</f>
        <v>57.001588491945043</v>
      </c>
      <c r="D26" t="s">
        <v>96</v>
      </c>
      <c r="F26" s="69" t="s">
        <v>154</v>
      </c>
    </row>
    <row r="27" spans="2:9" x14ac:dyDescent="0.25">
      <c r="B27" s="37" t="s">
        <v>126</v>
      </c>
      <c r="C27" s="163">
        <f ca="1">C7+C26</f>
        <v>44023.834134441022</v>
      </c>
      <c r="F27" t="s">
        <v>155</v>
      </c>
    </row>
    <row r="28" spans="2:9" x14ac:dyDescent="0.25">
      <c r="B28" s="4" t="s">
        <v>130</v>
      </c>
      <c r="C28" s="162">
        <f ca="1">C9*(LOG(C11/C21)/LOG(2))</f>
        <v>23.780894898883542</v>
      </c>
      <c r="D28" t="s">
        <v>96</v>
      </c>
    </row>
    <row r="29" spans="2:9" x14ac:dyDescent="0.25">
      <c r="B29" s="37" t="s">
        <v>127</v>
      </c>
      <c r="C29" s="163">
        <f ca="1">C7+C28</f>
        <v>43990.613440847956</v>
      </c>
      <c r="F29" t="s">
        <v>155</v>
      </c>
    </row>
    <row r="30" spans="2:9" x14ac:dyDescent="0.25">
      <c r="B30" s="4" t="s">
        <v>131</v>
      </c>
      <c r="C30" s="162">
        <f ca="1">C9*(LOG((C3*0.6)/C12)/LOG(2))</f>
        <v>68.031465216251434</v>
      </c>
      <c r="D30" t="s">
        <v>96</v>
      </c>
    </row>
    <row r="31" spans="2:9" x14ac:dyDescent="0.25">
      <c r="B31" s="37" t="s">
        <v>128</v>
      </c>
      <c r="C31" s="163">
        <f ca="1">C7+C30</f>
        <v>44034.864011165322</v>
      </c>
    </row>
    <row r="34" spans="2:6" x14ac:dyDescent="0.25">
      <c r="B34" s="4" t="s">
        <v>132</v>
      </c>
      <c r="C34" s="152">
        <f ca="1">C7+30</f>
        <v>43996.832545949073</v>
      </c>
      <c r="F34" t="s">
        <v>168</v>
      </c>
    </row>
    <row r="35" spans="2:6" x14ac:dyDescent="0.25">
      <c r="B35" s="41" t="s">
        <v>133</v>
      </c>
      <c r="C35" s="80">
        <f ca="1">C6*(2^((C34-C7)/C9))</f>
        <v>263330.63505134551</v>
      </c>
      <c r="F35" t="s">
        <v>140</v>
      </c>
    </row>
    <row r="36" spans="2:6" x14ac:dyDescent="0.25">
      <c r="B36" s="41" t="s">
        <v>174</v>
      </c>
      <c r="C36" s="80">
        <f ca="1">C35/Projections!B8</f>
        <v>4702332.768774027</v>
      </c>
    </row>
    <row r="37" spans="2:6" x14ac:dyDescent="0.25">
      <c r="B37" s="41" t="s">
        <v>72</v>
      </c>
      <c r="C37" s="80">
        <f ca="1">C35*Projections!B12</f>
        <v>213297.81439158987</v>
      </c>
    </row>
    <row r="38" spans="2:6" x14ac:dyDescent="0.25">
      <c r="B38" s="41" t="s">
        <v>121</v>
      </c>
      <c r="C38" s="80">
        <f ca="1">C35*Projections!B13</f>
        <v>36866.288907188376</v>
      </c>
    </row>
    <row r="39" spans="2:6" x14ac:dyDescent="0.25">
      <c r="B39" s="41" t="s">
        <v>122</v>
      </c>
      <c r="C39" s="80">
        <f ca="1">C35*Projections!B14</f>
        <v>13166.531752567276</v>
      </c>
    </row>
    <row r="40" spans="2:6" x14ac:dyDescent="0.25">
      <c r="B40" s="37" t="s">
        <v>123</v>
      </c>
      <c r="C40" s="61">
        <f ca="1">C35*Projections!B15</f>
        <v>17116.49127833746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2020-05-15T09:58:52Z</dcterms:modified>
</cp:coreProperties>
</file>