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52588BD2-10A0-49D9-A7FD-962BE140EF07}"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210" i="1" l="1"/>
  <c r="AM207" i="1" l="1"/>
  <c r="AR207" i="1" l="1"/>
  <c r="AG210" i="1"/>
  <c r="AH210" i="1"/>
  <c r="AW207" i="1" l="1"/>
  <c r="AF210" i="1"/>
  <c r="AE210" i="1" l="1"/>
  <c r="V60" i="1" l="1"/>
  <c r="BF183" i="1" l="1"/>
  <c r="Q210" i="1"/>
  <c r="R210" i="1"/>
  <c r="S210" i="1"/>
  <c r="T210" i="1"/>
  <c r="U210" i="1"/>
  <c r="V210" i="1"/>
  <c r="W210" i="1"/>
  <c r="X210" i="1"/>
  <c r="Y210" i="1"/>
  <c r="Z210" i="1"/>
  <c r="AA210" i="1"/>
  <c r="AB210" i="1"/>
  <c r="AC210" i="1"/>
  <c r="AD210" i="1"/>
  <c r="P210" i="1"/>
  <c r="E34" i="4" l="1"/>
  <c r="C45" i="4"/>
  <c r="BH187" i="1" l="1"/>
  <c r="BH184" i="1"/>
  <c r="BH183" i="1" s="1"/>
  <c r="BH191" i="1" s="1"/>
  <c r="BE187" i="1"/>
  <c r="BF187" i="1"/>
  <c r="BD187" i="1"/>
  <c r="BH189" i="1" l="1"/>
  <c r="BH188" i="1"/>
  <c r="C5" i="5"/>
  <c r="C4" i="5"/>
  <c r="B231" i="1"/>
  <c r="B227" i="1"/>
  <c r="B229" i="1"/>
  <c r="B225" i="1"/>
  <c r="B223" i="1"/>
  <c r="B221" i="1"/>
  <c r="B219" i="1"/>
  <c r="B217" i="1"/>
  <c r="B215"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Q182" i="1"/>
  <c r="P206" i="1"/>
  <c r="R182" i="1" l="1"/>
  <c r="Q208" i="1"/>
  <c r="S182" i="1" l="1"/>
  <c r="Q206" i="1"/>
  <c r="P208" i="1"/>
  <c r="P205" i="1"/>
  <c r="T182" i="1" l="1"/>
  <c r="R206" i="1"/>
  <c r="P193" i="1"/>
  <c r="P194" i="1" s="1"/>
  <c r="P195" i="1"/>
  <c r="P196" i="1" s="1"/>
  <c r="U182" i="1" l="1"/>
  <c r="S206" i="1"/>
  <c r="P191" i="1"/>
  <c r="P192" i="1" s="1"/>
  <c r="P187" i="1"/>
  <c r="P189" i="1" s="1"/>
  <c r="P190" i="1" s="1"/>
  <c r="C12" i="5"/>
  <c r="C7" i="5"/>
  <c r="C8" i="5" s="1"/>
  <c r="C9" i="5" s="1"/>
  <c r="C21" i="5"/>
  <c r="C18" i="5"/>
  <c r="C15" i="5"/>
  <c r="C24" i="5"/>
  <c r="C3" i="5"/>
  <c r="V182" i="1" l="1"/>
  <c r="C30" i="5"/>
  <c r="P188" i="1"/>
  <c r="T206" i="1"/>
  <c r="P185" i="1"/>
  <c r="P186" i="1" s="1"/>
  <c r="C34" i="5"/>
  <c r="W182" i="1" l="1"/>
  <c r="U206" i="1"/>
  <c r="C13" i="5"/>
  <c r="C14" i="5" s="1"/>
  <c r="BG183" i="1"/>
  <c r="P201" i="1"/>
  <c r="P199" i="1"/>
  <c r="P202" i="1"/>
  <c r="P200" i="1"/>
  <c r="BH207" i="1" l="1"/>
  <c r="BG207" i="1"/>
  <c r="X182" i="1"/>
  <c r="BG240" i="1"/>
  <c r="BG241" i="1" s="1"/>
  <c r="BG238" i="1"/>
  <c r="BG244" i="1"/>
  <c r="BG245" i="1" s="1"/>
  <c r="BG248" i="1"/>
  <c r="BG242" i="1"/>
  <c r="BG243" i="1" s="1"/>
  <c r="BG246" i="1"/>
  <c r="BG247" i="1" s="1"/>
  <c r="V206" i="1"/>
  <c r="BG184" i="1"/>
  <c r="BH197" i="1"/>
  <c r="BH195" i="1"/>
  <c r="BH193" i="1"/>
  <c r="BG191" i="1"/>
  <c r="BG187" i="1"/>
  <c r="BG189" i="1" s="1"/>
  <c r="C22" i="5"/>
  <c r="C23" i="5" s="1"/>
  <c r="C35" i="5"/>
  <c r="C40" i="5" s="1"/>
  <c r="C25" i="5"/>
  <c r="C19" i="5"/>
  <c r="C20" i="5" s="1"/>
  <c r="C16" i="5"/>
  <c r="C17" i="5" s="1"/>
  <c r="C31" i="5"/>
  <c r="AP25" i="4"/>
  <c r="E31" i="4"/>
  <c r="B17" i="4" s="1"/>
  <c r="K20" i="4" l="1"/>
  <c r="B18" i="4"/>
  <c r="B19" i="4" s="1"/>
  <c r="Y182" i="1"/>
  <c r="BG239" i="1"/>
  <c r="BG251" i="1" s="1"/>
  <c r="BG250"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Z182" i="1"/>
  <c r="E18" i="4"/>
  <c r="K21" i="4" s="1"/>
  <c r="N20" i="4"/>
  <c r="H17" i="4"/>
  <c r="P238" i="1"/>
  <c r="P239" i="1" s="1"/>
  <c r="AA182" i="1" l="1"/>
  <c r="E19" i="4"/>
  <c r="Q20" i="4"/>
  <c r="H18" i="4"/>
  <c r="N22" i="4" s="1"/>
  <c r="K17" i="4"/>
  <c r="Y24" i="4"/>
  <c r="B14" i="3"/>
  <c r="AB182" i="1" l="1"/>
  <c r="H19" i="4"/>
  <c r="T20" i="4"/>
  <c r="K18" i="4"/>
  <c r="K19" i="4" s="1"/>
  <c r="N21" i="4"/>
  <c r="AB24" i="4" s="1"/>
  <c r="N17" i="4"/>
  <c r="AC182" i="1" l="1"/>
  <c r="Q17" i="4"/>
  <c r="T17" i="4" s="1"/>
  <c r="W20" i="4"/>
  <c r="N18" i="4"/>
  <c r="N19" i="4" s="1"/>
  <c r="Q21" i="4"/>
  <c r="AE24" i="4" s="1"/>
  <c r="Q22" i="4"/>
  <c r="AD182" i="1" l="1"/>
  <c r="T18" i="4"/>
  <c r="T19" i="4" s="1"/>
  <c r="AC20" i="4"/>
  <c r="Z20" i="4"/>
  <c r="Q18" i="4"/>
  <c r="Q19" i="4" s="1"/>
  <c r="T21" i="4"/>
  <c r="AH24" i="4" s="1"/>
  <c r="T22" i="4"/>
  <c r="T23" i="4"/>
  <c r="W17" i="4"/>
  <c r="W21" i="4" l="1"/>
  <c r="AK24" i="4" s="1"/>
  <c r="W23" i="4"/>
  <c r="AH182" i="1"/>
  <c r="W18" i="4"/>
  <c r="W19" i="4" s="1"/>
  <c r="AF20" i="4"/>
  <c r="W22" i="4"/>
  <c r="Z21" i="4"/>
  <c r="AN24" i="4" s="1"/>
  <c r="Z23" i="4"/>
  <c r="Z22" i="4"/>
  <c r="Z17" i="4"/>
  <c r="C248" i="1"/>
  <c r="C246" i="1"/>
  <c r="C244" i="1"/>
  <c r="C242" i="1"/>
  <c r="C240" i="1"/>
  <c r="C238" i="1"/>
  <c r="P197" i="1"/>
  <c r="C5" i="3"/>
  <c r="D217" i="1" s="1"/>
  <c r="AH208" i="1" l="1"/>
  <c r="AG182" i="1"/>
  <c r="AE182" i="1"/>
  <c r="AF182" i="1"/>
  <c r="AL182" i="1"/>
  <c r="AI182" i="1" s="1"/>
  <c r="Z18" i="4"/>
  <c r="Z19" i="4" s="1"/>
  <c r="AI20" i="4"/>
  <c r="BG217" i="1"/>
  <c r="BG218" i="1"/>
  <c r="AC21" i="4"/>
  <c r="AC22" i="4"/>
  <c r="AC23" i="4"/>
  <c r="AC17" i="4"/>
  <c r="BG197" i="1"/>
  <c r="C7" i="3"/>
  <c r="D221" i="1" s="1"/>
  <c r="C4" i="3"/>
  <c r="D215" i="1" s="1"/>
  <c r="C12" i="3"/>
  <c r="D231" i="1" s="1"/>
  <c r="C11" i="3"/>
  <c r="D229" i="1" s="1"/>
  <c r="C10" i="3"/>
  <c r="D227" i="1" s="1"/>
  <c r="C9" i="3"/>
  <c r="D225" i="1" s="1"/>
  <c r="C8" i="3"/>
  <c r="D223" i="1" s="1"/>
  <c r="C6" i="3"/>
  <c r="D219" i="1" s="1"/>
  <c r="C172" i="1"/>
  <c r="C10" i="5" s="1"/>
  <c r="C26" i="5" s="1"/>
  <c r="C27" i="5" s="1"/>
  <c r="C173" i="1"/>
  <c r="C11" i="5" s="1"/>
  <c r="C28" i="5" s="1"/>
  <c r="C29" i="5" s="1"/>
  <c r="P218" i="1"/>
  <c r="P248" i="1"/>
  <c r="P246" i="1"/>
  <c r="P244" i="1"/>
  <c r="P245" i="1" s="1"/>
  <c r="P242" i="1"/>
  <c r="P243" i="1" s="1"/>
  <c r="P240" i="1"/>
  <c r="P241" i="1" s="1"/>
  <c r="C217" i="1"/>
  <c r="C219" i="1"/>
  <c r="C221" i="1"/>
  <c r="C223" i="1"/>
  <c r="C225" i="1"/>
  <c r="C227" i="1"/>
  <c r="C229" i="1"/>
  <c r="C231" i="1"/>
  <c r="C215" i="1"/>
  <c r="P184" i="1"/>
  <c r="Q183" i="1"/>
  <c r="AJ182" i="1" l="1"/>
  <c r="AK182" i="1"/>
  <c r="AE205" i="1"/>
  <c r="AE206" i="1"/>
  <c r="AG206" i="1"/>
  <c r="AG205" i="1"/>
  <c r="AF206" i="1"/>
  <c r="AF205" i="1"/>
  <c r="AE208" i="1"/>
  <c r="AG208" i="1"/>
  <c r="AF208" i="1"/>
  <c r="AQ182" i="1"/>
  <c r="BG215" i="1"/>
  <c r="BG216" i="1"/>
  <c r="AL20" i="4"/>
  <c r="AC18" i="4"/>
  <c r="AC19" i="4" s="1"/>
  <c r="BG227" i="1"/>
  <c r="BG228" i="1"/>
  <c r="BG220" i="1"/>
  <c r="BG219" i="1"/>
  <c r="BG223" i="1"/>
  <c r="BG224" i="1"/>
  <c r="BG230" i="1"/>
  <c r="BG229" i="1"/>
  <c r="BG222" i="1"/>
  <c r="BG221" i="1"/>
  <c r="BG226" i="1"/>
  <c r="BG225" i="1"/>
  <c r="P232" i="1"/>
  <c r="BG232" i="1"/>
  <c r="BG231" i="1"/>
  <c r="Q195" i="1"/>
  <c r="Q196" i="1" s="1"/>
  <c r="Q191" i="1"/>
  <c r="Q192" i="1" s="1"/>
  <c r="Q199" i="1"/>
  <c r="Q202" i="1"/>
  <c r="Q205" i="1"/>
  <c r="Q200" i="1"/>
  <c r="Q201" i="1"/>
  <c r="Q187" i="1"/>
  <c r="AF22" i="4"/>
  <c r="AF23" i="4"/>
  <c r="AF21" i="4"/>
  <c r="AF17" i="4"/>
  <c r="P216" i="1"/>
  <c r="P215" i="1"/>
  <c r="P224" i="1"/>
  <c r="P223" i="1"/>
  <c r="P227" i="1"/>
  <c r="P226" i="1"/>
  <c r="P229" i="1"/>
  <c r="P219" i="1"/>
  <c r="R183" i="1"/>
  <c r="Q242" i="1"/>
  <c r="Q243" i="1" s="1"/>
  <c r="P220" i="1"/>
  <c r="Q231" i="1"/>
  <c r="Q240" i="1"/>
  <c r="Q241" i="1" s="1"/>
  <c r="P228" i="1"/>
  <c r="Q229" i="1"/>
  <c r="Q248" i="1"/>
  <c r="P217" i="1"/>
  <c r="P225" i="1"/>
  <c r="Q246" i="1"/>
  <c r="Q247" i="1" s="1"/>
  <c r="Q244" i="1"/>
  <c r="Q245" i="1" s="1"/>
  <c r="Q227" i="1"/>
  <c r="Q220" i="1"/>
  <c r="Q224" i="1"/>
  <c r="Q228" i="1"/>
  <c r="Q232" i="1"/>
  <c r="P250" i="1"/>
  <c r="Q238" i="1"/>
  <c r="Q239" i="1" s="1"/>
  <c r="P221" i="1"/>
  <c r="Q217" i="1"/>
  <c r="P222" i="1"/>
  <c r="P230" i="1"/>
  <c r="Q221" i="1"/>
  <c r="Q218" i="1"/>
  <c r="Q225" i="1"/>
  <c r="P231" i="1"/>
  <c r="Q215" i="1"/>
  <c r="Q222" i="1"/>
  <c r="Q226" i="1"/>
  <c r="Q230" i="1"/>
  <c r="Q219" i="1"/>
  <c r="Q216" i="1"/>
  <c r="Q223" i="1"/>
  <c r="P247" i="1"/>
  <c r="P251" i="1" s="1"/>
  <c r="Q184" i="1"/>
  <c r="Q197" i="1"/>
  <c r="AK206" i="1" l="1"/>
  <c r="AK205" i="1"/>
  <c r="AJ205" i="1"/>
  <c r="AJ206" i="1"/>
  <c r="AI205" i="1"/>
  <c r="AI206" i="1"/>
  <c r="AM182" i="1"/>
  <c r="AO182" i="1"/>
  <c r="AN182" i="1"/>
  <c r="AP182" i="1"/>
  <c r="R191" i="1"/>
  <c r="R192" i="1" s="1"/>
  <c r="AV182" i="1"/>
  <c r="AS182" i="1" s="1"/>
  <c r="AO20" i="4"/>
  <c r="AF18" i="4"/>
  <c r="AF19" i="4" s="1"/>
  <c r="BG234" i="1"/>
  <c r="BG233" i="1"/>
  <c r="R240" i="1"/>
  <c r="R241" i="1" s="1"/>
  <c r="R221" i="1"/>
  <c r="R195" i="1"/>
  <c r="R196" i="1" s="1"/>
  <c r="R246" i="1"/>
  <c r="R247" i="1" s="1"/>
  <c r="R217" i="1"/>
  <c r="R216" i="1"/>
  <c r="R238" i="1"/>
  <c r="R239" i="1" s="1"/>
  <c r="R218" i="1"/>
  <c r="R184" i="1"/>
  <c r="Q188" i="1"/>
  <c r="Q189" i="1"/>
  <c r="Q190" i="1" s="1"/>
  <c r="R208" i="1"/>
  <c r="S183" i="1"/>
  <c r="R187" i="1"/>
  <c r="R197" i="1"/>
  <c r="R231" i="1"/>
  <c r="R230" i="1"/>
  <c r="R242" i="1"/>
  <c r="R243" i="1" s="1"/>
  <c r="R226" i="1"/>
  <c r="R225" i="1"/>
  <c r="R201" i="1"/>
  <c r="R199" i="1"/>
  <c r="R202" i="1"/>
  <c r="R205" i="1"/>
  <c r="R200" i="1"/>
  <c r="AI23" i="4"/>
  <c r="AI21" i="4"/>
  <c r="AI22" i="4"/>
  <c r="AI17" i="4"/>
  <c r="AI18" i="4" s="1"/>
  <c r="P234" i="1"/>
  <c r="Q234" i="1"/>
  <c r="R228" i="1"/>
  <c r="R227" i="1"/>
  <c r="R223" i="1"/>
  <c r="R220" i="1"/>
  <c r="R222" i="1"/>
  <c r="R215" i="1"/>
  <c r="R224" i="1"/>
  <c r="R229" i="1"/>
  <c r="R248" i="1"/>
  <c r="R219" i="1"/>
  <c r="R244" i="1"/>
  <c r="R245" i="1" s="1"/>
  <c r="R232" i="1"/>
  <c r="Q250" i="1"/>
  <c r="P233" i="1"/>
  <c r="Q233" i="1"/>
  <c r="Q251" i="1"/>
  <c r="AS206" i="1" l="1"/>
  <c r="AS205" i="1"/>
  <c r="AM205" i="1"/>
  <c r="AM206" i="1"/>
  <c r="AM208" i="1"/>
  <c r="AR182" i="1"/>
  <c r="BA182" i="1"/>
  <c r="AW182" i="1" s="1"/>
  <c r="AP206" i="1"/>
  <c r="AP205" i="1"/>
  <c r="AT182" i="1"/>
  <c r="AO206" i="1"/>
  <c r="AO205" i="1"/>
  <c r="AN206" i="1"/>
  <c r="AN205" i="1"/>
  <c r="AU182" i="1"/>
  <c r="S191" i="1"/>
  <c r="S192" i="1" s="1"/>
  <c r="S232" i="1"/>
  <c r="S222" i="1"/>
  <c r="S220" i="1"/>
  <c r="S218" i="1"/>
  <c r="S240" i="1"/>
  <c r="S241" i="1" s="1"/>
  <c r="S228" i="1"/>
  <c r="S227" i="1"/>
  <c r="S219" i="1"/>
  <c r="S230" i="1"/>
  <c r="S225" i="1"/>
  <c r="S248" i="1"/>
  <c r="S215" i="1"/>
  <c r="S195" i="1"/>
  <c r="S196" i="1" s="1"/>
  <c r="S226" i="1"/>
  <c r="S224" i="1"/>
  <c r="S217" i="1"/>
  <c r="S238" i="1"/>
  <c r="S239" i="1" s="1"/>
  <c r="S221" i="1"/>
  <c r="T183" i="1"/>
  <c r="S231" i="1"/>
  <c r="S229" i="1"/>
  <c r="S197" i="1"/>
  <c r="S242" i="1"/>
  <c r="S243" i="1" s="1"/>
  <c r="R251" i="1"/>
  <c r="S216" i="1"/>
  <c r="S244" i="1"/>
  <c r="S245" i="1" s="1"/>
  <c r="S246" i="1"/>
  <c r="S247" i="1" s="1"/>
  <c r="S184" i="1"/>
  <c r="S223" i="1"/>
  <c r="S208" i="1"/>
  <c r="R188" i="1"/>
  <c r="R189" i="1"/>
  <c r="R190" i="1" s="1"/>
  <c r="S200" i="1"/>
  <c r="S201" i="1"/>
  <c r="S202" i="1"/>
  <c r="S205" i="1"/>
  <c r="S199" i="1"/>
  <c r="R250" i="1"/>
  <c r="S187" i="1"/>
  <c r="AL22" i="4"/>
  <c r="AL21" i="4"/>
  <c r="AL23" i="4"/>
  <c r="AL17" i="4"/>
  <c r="AL18" i="4" s="1"/>
  <c r="AI19" i="4"/>
  <c r="R233" i="1"/>
  <c r="R234" i="1"/>
  <c r="AW205" i="1" l="1"/>
  <c r="AW206" i="1"/>
  <c r="AW208" i="1"/>
  <c r="AY182" i="1"/>
  <c r="AU206" i="1"/>
  <c r="AU205" i="1"/>
  <c r="AX182" i="1"/>
  <c r="AR205" i="1"/>
  <c r="AR206" i="1"/>
  <c r="AR208" i="1"/>
  <c r="AZ182" i="1"/>
  <c r="AT205" i="1"/>
  <c r="AT206" i="1"/>
  <c r="T227" i="1"/>
  <c r="BB182" i="1"/>
  <c r="T231" i="1"/>
  <c r="T228" i="1"/>
  <c r="T240" i="1"/>
  <c r="T241" i="1" s="1"/>
  <c r="T225" i="1"/>
  <c r="T226" i="1"/>
  <c r="T217" i="1"/>
  <c r="T223" i="1"/>
  <c r="T238" i="1"/>
  <c r="T239" i="1" s="1"/>
  <c r="S234" i="1"/>
  <c r="T224" i="1"/>
  <c r="T216" i="1"/>
  <c r="T246" i="1"/>
  <c r="T247" i="1" s="1"/>
  <c r="T230" i="1"/>
  <c r="T222" i="1"/>
  <c r="T229" i="1"/>
  <c r="T244" i="1"/>
  <c r="T245" i="1" s="1"/>
  <c r="S251" i="1"/>
  <c r="T191" i="1"/>
  <c r="T184" i="1"/>
  <c r="T218" i="1"/>
  <c r="T219" i="1"/>
  <c r="T242" i="1"/>
  <c r="T243" i="1" s="1"/>
  <c r="T187" i="1"/>
  <c r="T189" i="1" s="1"/>
  <c r="T197" i="1"/>
  <c r="T221" i="1"/>
  <c r="U183" i="1"/>
  <c r="U215" i="1" s="1"/>
  <c r="T232" i="1"/>
  <c r="S233" i="1"/>
  <c r="T220" i="1"/>
  <c r="T248" i="1"/>
  <c r="S250" i="1"/>
  <c r="T215" i="1"/>
  <c r="T208" i="1"/>
  <c r="S188" i="1"/>
  <c r="S189" i="1"/>
  <c r="S190" i="1" s="1"/>
  <c r="T200" i="1"/>
  <c r="T205" i="1"/>
  <c r="T201" i="1"/>
  <c r="T202" i="1"/>
  <c r="T199" i="1"/>
  <c r="AO21" i="4"/>
  <c r="AO22" i="4"/>
  <c r="AO23" i="4"/>
  <c r="AO17" i="4"/>
  <c r="AO18" i="4" s="1"/>
  <c r="AO19" i="4" s="1"/>
  <c r="AL19" i="4"/>
  <c r="AX205" i="1" l="1"/>
  <c r="AX206" i="1"/>
  <c r="AY206" i="1"/>
  <c r="AY205" i="1"/>
  <c r="U225" i="1"/>
  <c r="AZ206" i="1"/>
  <c r="AZ205" i="1"/>
  <c r="U228" i="1"/>
  <c r="BC182" i="1"/>
  <c r="BB205" i="1"/>
  <c r="BB206" i="1"/>
  <c r="U218" i="1"/>
  <c r="T233" i="1"/>
  <c r="T251" i="1"/>
  <c r="U231" i="1"/>
  <c r="U197" i="1"/>
  <c r="V183" i="1"/>
  <c r="V187" i="1" s="1"/>
  <c r="U220" i="1"/>
  <c r="U246" i="1"/>
  <c r="U247" i="1" s="1"/>
  <c r="U226" i="1"/>
  <c r="U227" i="1"/>
  <c r="T250" i="1"/>
  <c r="U223" i="1"/>
  <c r="T234" i="1"/>
  <c r="U184" i="1"/>
  <c r="U221" i="1"/>
  <c r="U244" i="1"/>
  <c r="U245" i="1" s="1"/>
  <c r="U191" i="1"/>
  <c r="U240" i="1"/>
  <c r="U241" i="1" s="1"/>
  <c r="U222" i="1"/>
  <c r="U187" i="1"/>
  <c r="U188" i="1" s="1"/>
  <c r="U230" i="1"/>
  <c r="U229" i="1"/>
  <c r="U224" i="1"/>
  <c r="U242" i="1"/>
  <c r="U243" i="1" s="1"/>
  <c r="U217" i="1"/>
  <c r="U238" i="1"/>
  <c r="U239" i="1" s="1"/>
  <c r="U248" i="1"/>
  <c r="U219" i="1"/>
  <c r="T188" i="1"/>
  <c r="U216" i="1"/>
  <c r="U232" i="1"/>
  <c r="U208" i="1"/>
  <c r="U200" i="1"/>
  <c r="U201" i="1"/>
  <c r="U199" i="1"/>
  <c r="U202" i="1"/>
  <c r="U205" i="1"/>
  <c r="V229" i="1" l="1"/>
  <c r="V191" i="1"/>
  <c r="BD182" i="1"/>
  <c r="BC206" i="1"/>
  <c r="BC205" i="1"/>
  <c r="V197" i="1"/>
  <c r="V226" i="1"/>
  <c r="V238" i="1"/>
  <c r="V248" i="1"/>
  <c r="V223" i="1"/>
  <c r="V224" i="1"/>
  <c r="V216" i="1"/>
  <c r="V230" i="1"/>
  <c r="V217" i="1"/>
  <c r="V215" i="1"/>
  <c r="V220" i="1"/>
  <c r="V227" i="1"/>
  <c r="V228" i="1"/>
  <c r="V184" i="1"/>
  <c r="V240" i="1"/>
  <c r="V241" i="1" s="1"/>
  <c r="V225" i="1"/>
  <c r="V218" i="1"/>
  <c r="V244" i="1"/>
  <c r="V245" i="1" s="1"/>
  <c r="V242" i="1"/>
  <c r="V243" i="1" s="1"/>
  <c r="V222" i="1"/>
  <c r="V221" i="1"/>
  <c r="W183" i="1"/>
  <c r="V232" i="1"/>
  <c r="V231" i="1"/>
  <c r="V246" i="1"/>
  <c r="V247" i="1" s="1"/>
  <c r="V219" i="1"/>
  <c r="U251" i="1"/>
  <c r="U234" i="1"/>
  <c r="U250" i="1"/>
  <c r="U233" i="1"/>
  <c r="U189" i="1"/>
  <c r="V208" i="1"/>
  <c r="V188" i="1"/>
  <c r="V189" i="1"/>
  <c r="V200" i="1"/>
  <c r="V201" i="1"/>
  <c r="V202" i="1"/>
  <c r="V199" i="1"/>
  <c r="V205" i="1"/>
  <c r="V239" i="1"/>
  <c r="W225" i="1" l="1"/>
  <c r="BE182" i="1"/>
  <c r="BD205" i="1"/>
  <c r="BD206" i="1"/>
  <c r="W228" i="1"/>
  <c r="W240" i="1"/>
  <c r="W241" i="1" s="1"/>
  <c r="W215" i="1"/>
  <c r="W238" i="1"/>
  <c r="W239" i="1" s="1"/>
  <c r="W197" i="1"/>
  <c r="W226" i="1"/>
  <c r="W231" i="1"/>
  <c r="W248" i="1"/>
  <c r="W220" i="1"/>
  <c r="X183" i="1"/>
  <c r="W227" i="1"/>
  <c r="W232" i="1"/>
  <c r="W216" i="1"/>
  <c r="V233" i="1"/>
  <c r="W222" i="1"/>
  <c r="V234" i="1"/>
  <c r="V250" i="1"/>
  <c r="W218" i="1"/>
  <c r="W229" i="1"/>
  <c r="W224" i="1"/>
  <c r="W223" i="1"/>
  <c r="W242" i="1"/>
  <c r="W243" i="1" s="1"/>
  <c r="V251" i="1"/>
  <c r="W187" i="1"/>
  <c r="W188" i="1" s="1"/>
  <c r="W244" i="1"/>
  <c r="W245" i="1" s="1"/>
  <c r="W191" i="1"/>
  <c r="W184" i="1"/>
  <c r="W217" i="1"/>
  <c r="W219" i="1"/>
  <c r="W230" i="1"/>
  <c r="W246" i="1"/>
  <c r="W247" i="1" s="1"/>
  <c r="W221" i="1"/>
  <c r="X208" i="1"/>
  <c r="W208" i="1"/>
  <c r="W206" i="1"/>
  <c r="W205" i="1"/>
  <c r="W200" i="1"/>
  <c r="W202" i="1"/>
  <c r="W201" i="1"/>
  <c r="W199" i="1"/>
  <c r="X191" i="1" l="1"/>
  <c r="BF182" i="1"/>
  <c r="BE205" i="1"/>
  <c r="BE206" i="1"/>
  <c r="X228" i="1"/>
  <c r="X231" i="1"/>
  <c r="X232" i="1"/>
  <c r="X184" i="1"/>
  <c r="X246" i="1"/>
  <c r="X247" i="1" s="1"/>
  <c r="X244" i="1"/>
  <c r="X245" i="1" s="1"/>
  <c r="X242" i="1"/>
  <c r="X243" i="1" s="1"/>
  <c r="X223" i="1"/>
  <c r="X240" i="1"/>
  <c r="X241" i="1" s="1"/>
  <c r="X226" i="1"/>
  <c r="X218" i="1"/>
  <c r="X216" i="1"/>
  <c r="X215" i="1"/>
  <c r="X224" i="1"/>
  <c r="X230" i="1"/>
  <c r="X197" i="1"/>
  <c r="X217" i="1"/>
  <c r="X225" i="1"/>
  <c r="X229" i="1"/>
  <c r="X238" i="1"/>
  <c r="X239" i="1" s="1"/>
  <c r="X222" i="1"/>
  <c r="X227" i="1"/>
  <c r="X221" i="1"/>
  <c r="X220" i="1"/>
  <c r="Y183" i="1"/>
  <c r="Y221" i="1" s="1"/>
  <c r="X219" i="1"/>
  <c r="X248" i="1"/>
  <c r="X187" i="1"/>
  <c r="X188" i="1" s="1"/>
  <c r="W234" i="1"/>
  <c r="W189" i="1"/>
  <c r="W233" i="1"/>
  <c r="W250" i="1"/>
  <c r="W251" i="1"/>
  <c r="X205" i="1"/>
  <c r="X206" i="1"/>
  <c r="X200" i="1"/>
  <c r="X202" i="1"/>
  <c r="X199" i="1"/>
  <c r="X201" i="1"/>
  <c r="Y248" i="1"/>
  <c r="Y244" i="1"/>
  <c r="Y245" i="1" s="1"/>
  <c r="Y197" i="1" l="1"/>
  <c r="Y187" i="1"/>
  <c r="Y189" i="1" s="1"/>
  <c r="Y184" i="1"/>
  <c r="BG182" i="1"/>
  <c r="BF205" i="1"/>
  <c r="BF206" i="1"/>
  <c r="X251" i="1"/>
  <c r="X250" i="1"/>
  <c r="X234" i="1"/>
  <c r="X233" i="1"/>
  <c r="Y218" i="1"/>
  <c r="Y220" i="1"/>
  <c r="Y228" i="1"/>
  <c r="Y215" i="1"/>
  <c r="Z183" i="1"/>
  <c r="Y229" i="1"/>
  <c r="Y242" i="1"/>
  <c r="Y243" i="1" s="1"/>
  <c r="Y238" i="1"/>
  <c r="Y239" i="1" s="1"/>
  <c r="Y231" i="1"/>
  <c r="Y240" i="1"/>
  <c r="Y241" i="1" s="1"/>
  <c r="Y226" i="1"/>
  <c r="Y222" i="1"/>
  <c r="Y227" i="1"/>
  <c r="Y217" i="1"/>
  <c r="Y191" i="1"/>
  <c r="Y225" i="1"/>
  <c r="Y223" i="1"/>
  <c r="Y216" i="1"/>
  <c r="Y232" i="1"/>
  <c r="Y224" i="1"/>
  <c r="Y246" i="1"/>
  <c r="Y247" i="1" s="1"/>
  <c r="Y230" i="1"/>
  <c r="Y219" i="1"/>
  <c r="X189" i="1"/>
  <c r="Y188" i="1"/>
  <c r="Y208" i="1"/>
  <c r="Y206" i="1"/>
  <c r="Y205" i="1"/>
  <c r="Y201" i="1"/>
  <c r="Y202" i="1"/>
  <c r="Y199" i="1"/>
  <c r="Y200" i="1"/>
  <c r="Z191" i="1" l="1"/>
  <c r="Z220" i="1"/>
  <c r="Z225" i="1"/>
  <c r="Z223" i="1"/>
  <c r="Z240" i="1"/>
  <c r="Z241" i="1" s="1"/>
  <c r="Z227" i="1"/>
  <c r="Y233" i="1"/>
  <c r="Z231" i="1"/>
  <c r="Z238" i="1"/>
  <c r="Z239" i="1" s="1"/>
  <c r="Z217" i="1"/>
  <c r="Z224" i="1"/>
  <c r="Z197" i="1"/>
  <c r="Z242" i="1"/>
  <c r="Z243" i="1" s="1"/>
  <c r="Z229" i="1"/>
  <c r="Z226" i="1"/>
  <c r="Z232" i="1"/>
  <c r="Z218" i="1"/>
  <c r="Z222" i="1"/>
  <c r="Z244" i="1"/>
  <c r="Z245" i="1" s="1"/>
  <c r="Z230" i="1"/>
  <c r="AA183" i="1"/>
  <c r="AA229" i="1" s="1"/>
  <c r="Z215" i="1"/>
  <c r="Z187" i="1"/>
  <c r="Z189" i="1" s="1"/>
  <c r="Y234" i="1"/>
  <c r="Z228" i="1"/>
  <c r="Z221" i="1"/>
  <c r="Z246" i="1"/>
  <c r="Z247" i="1" s="1"/>
  <c r="Z216" i="1"/>
  <c r="Z219" i="1"/>
  <c r="Z248" i="1"/>
  <c r="Z184" i="1"/>
  <c r="Y250" i="1"/>
  <c r="Y251" i="1"/>
  <c r="Z208" i="1"/>
  <c r="Z206" i="1"/>
  <c r="Z205" i="1"/>
  <c r="Z202" i="1"/>
  <c r="Z199" i="1"/>
  <c r="Z201" i="1"/>
  <c r="Z200" i="1"/>
  <c r="AA242" i="1" l="1"/>
  <c r="AA243" i="1" s="1"/>
  <c r="AA227" i="1"/>
  <c r="AA184" i="1"/>
  <c r="AA220" i="1"/>
  <c r="AA246" i="1"/>
  <c r="AA247" i="1" s="1"/>
  <c r="Z188" i="1"/>
  <c r="AA248" i="1"/>
  <c r="AA232" i="1"/>
  <c r="AA222" i="1"/>
  <c r="AA223" i="1"/>
  <c r="AA221" i="1"/>
  <c r="AA218" i="1"/>
  <c r="AA231" i="1"/>
  <c r="AA215" i="1"/>
  <c r="Z250" i="1"/>
  <c r="Z233" i="1"/>
  <c r="AA225" i="1"/>
  <c r="AA230" i="1"/>
  <c r="AA197" i="1"/>
  <c r="AA228" i="1"/>
  <c r="AA191" i="1"/>
  <c r="AA219" i="1"/>
  <c r="AA217" i="1"/>
  <c r="AB183" i="1"/>
  <c r="AB248" i="1" s="1"/>
  <c r="AA216" i="1"/>
  <c r="AA187" i="1"/>
  <c r="AA189" i="1" s="1"/>
  <c r="AA226" i="1"/>
  <c r="AA244" i="1"/>
  <c r="AA245" i="1" s="1"/>
  <c r="AA224" i="1"/>
  <c r="Z234" i="1"/>
  <c r="Z251" i="1"/>
  <c r="AA240" i="1"/>
  <c r="AA241" i="1" s="1"/>
  <c r="AA238" i="1"/>
  <c r="AA239" i="1" s="1"/>
  <c r="AA206" i="1"/>
  <c r="AA208" i="1"/>
  <c r="AA199" i="1"/>
  <c r="AA201" i="1"/>
  <c r="AA205" i="1"/>
  <c r="AA200" i="1"/>
  <c r="AA202" i="1"/>
  <c r="AB223" i="1" l="1"/>
  <c r="AB240" i="1"/>
  <c r="AB241" i="1" s="1"/>
  <c r="AB229" i="1"/>
  <c r="AB222" i="1"/>
  <c r="AB219" i="1"/>
  <c r="AB191" i="1"/>
  <c r="AB225" i="1"/>
  <c r="AB242" i="1"/>
  <c r="AB243" i="1" s="1"/>
  <c r="AB227" i="1"/>
  <c r="AB226" i="1"/>
  <c r="AB230" i="1"/>
  <c r="AB217" i="1"/>
  <c r="AB187" i="1"/>
  <c r="AB188" i="1" s="1"/>
  <c r="AB244" i="1"/>
  <c r="AB245" i="1" s="1"/>
  <c r="AB184" i="1"/>
  <c r="AA234" i="1"/>
  <c r="AA233" i="1"/>
  <c r="AB215" i="1"/>
  <c r="AB216" i="1"/>
  <c r="AB224" i="1"/>
  <c r="AB220" i="1"/>
  <c r="AB218" i="1"/>
  <c r="AB221" i="1"/>
  <c r="AA188" i="1"/>
  <c r="AB231" i="1"/>
  <c r="AC183" i="1"/>
  <c r="AB246" i="1"/>
  <c r="AB247" i="1" s="1"/>
  <c r="AA250" i="1"/>
  <c r="AB238" i="1"/>
  <c r="AB239" i="1" s="1"/>
  <c r="AB228" i="1"/>
  <c r="AB232" i="1"/>
  <c r="AB197" i="1"/>
  <c r="AA251" i="1"/>
  <c r="AB206" i="1"/>
  <c r="AB208" i="1"/>
  <c r="AB199" i="1"/>
  <c r="AB201" i="1"/>
  <c r="AB202" i="1"/>
  <c r="AB205" i="1"/>
  <c r="AB200" i="1"/>
  <c r="AC191" i="1" l="1"/>
  <c r="AB189" i="1"/>
  <c r="AB234" i="1"/>
  <c r="AB233" i="1"/>
  <c r="AC216" i="1"/>
  <c r="AC217" i="1"/>
  <c r="AC229" i="1"/>
  <c r="AC232" i="1"/>
  <c r="AC215" i="1"/>
  <c r="AC226" i="1"/>
  <c r="AC248" i="1"/>
  <c r="AC224" i="1"/>
  <c r="AC221" i="1"/>
  <c r="AC219" i="1"/>
  <c r="AC240" i="1"/>
  <c r="AC241" i="1" s="1"/>
  <c r="AC222" i="1"/>
  <c r="AC218" i="1"/>
  <c r="AC228" i="1"/>
  <c r="AC225" i="1"/>
  <c r="AC220" i="1"/>
  <c r="AC184" i="1"/>
  <c r="AD183" i="1"/>
  <c r="AC187" i="1"/>
  <c r="AC188" i="1" s="1"/>
  <c r="AC242" i="1"/>
  <c r="AC243" i="1" s="1"/>
  <c r="AC227" i="1"/>
  <c r="AC197" i="1"/>
  <c r="AC231" i="1"/>
  <c r="AB251" i="1"/>
  <c r="AB250" i="1"/>
  <c r="AC238" i="1"/>
  <c r="AC239" i="1" s="1"/>
  <c r="AC223" i="1"/>
  <c r="AC230" i="1"/>
  <c r="AC246" i="1"/>
  <c r="AC247" i="1" s="1"/>
  <c r="AC244" i="1"/>
  <c r="AC245" i="1" s="1"/>
  <c r="AC206" i="1"/>
  <c r="AC208" i="1"/>
  <c r="AC202" i="1"/>
  <c r="AC201" i="1"/>
  <c r="AC199" i="1"/>
  <c r="AC205" i="1"/>
  <c r="AC200" i="1"/>
  <c r="AD191" i="1" l="1"/>
  <c r="AD222" i="1"/>
  <c r="AD221" i="1"/>
  <c r="AD223" i="1"/>
  <c r="AD227" i="1"/>
  <c r="AH183" i="1"/>
  <c r="AH224" i="1" s="1"/>
  <c r="AD218" i="1"/>
  <c r="AD197" i="1"/>
  <c r="AD220" i="1"/>
  <c r="AD246" i="1"/>
  <c r="AD247" i="1" s="1"/>
  <c r="AD226" i="1"/>
  <c r="AD184" i="1"/>
  <c r="AD224" i="1"/>
  <c r="AD240" i="1"/>
  <c r="AD241" i="1" s="1"/>
  <c r="AD187" i="1"/>
  <c r="AD188" i="1" s="1"/>
  <c r="AD216" i="1"/>
  <c r="AD248" i="1"/>
  <c r="AD242" i="1"/>
  <c r="AD243" i="1" s="1"/>
  <c r="AD244" i="1"/>
  <c r="AD245" i="1" s="1"/>
  <c r="AD228" i="1"/>
  <c r="AC234" i="1"/>
  <c r="AD230" i="1"/>
  <c r="AD229" i="1"/>
  <c r="AD231" i="1"/>
  <c r="AD225" i="1"/>
  <c r="AD215" i="1"/>
  <c r="AD232" i="1"/>
  <c r="AC233" i="1"/>
  <c r="AC189" i="1"/>
  <c r="AC251" i="1"/>
  <c r="AC250" i="1"/>
  <c r="AD217" i="1"/>
  <c r="AD219" i="1"/>
  <c r="AD238" i="1"/>
  <c r="AD239" i="1" s="1"/>
  <c r="AD206" i="1"/>
  <c r="AD208" i="1"/>
  <c r="AD202" i="1"/>
  <c r="AD199" i="1"/>
  <c r="AD201" i="1"/>
  <c r="AD205" i="1"/>
  <c r="AD200" i="1"/>
  <c r="AH222" i="1"/>
  <c r="AH227" i="1"/>
  <c r="AH217" i="1" l="1"/>
  <c r="AE183" i="1"/>
  <c r="AG183" i="1"/>
  <c r="AF183" i="1"/>
  <c r="AH244" i="1"/>
  <c r="AH245" i="1" s="1"/>
  <c r="AH218" i="1"/>
  <c r="AH246" i="1"/>
  <c r="AH247" i="1" s="1"/>
  <c r="AH215" i="1"/>
  <c r="AH225" i="1"/>
  <c r="AH230" i="1"/>
  <c r="AH240" i="1"/>
  <c r="AH241" i="1" s="1"/>
  <c r="AH229" i="1"/>
  <c r="AH232" i="1"/>
  <c r="AH219" i="1"/>
  <c r="AH231" i="1"/>
  <c r="AH184" i="1"/>
  <c r="AH191" i="1"/>
  <c r="AH216" i="1"/>
  <c r="AH228" i="1"/>
  <c r="AH220" i="1"/>
  <c r="AH187" i="1"/>
  <c r="AH188" i="1" s="1"/>
  <c r="AH226" i="1"/>
  <c r="AH242" i="1"/>
  <c r="AH243" i="1" s="1"/>
  <c r="AH248" i="1"/>
  <c r="AH221" i="1"/>
  <c r="AL183" i="1"/>
  <c r="AH223" i="1"/>
  <c r="AH238" i="1"/>
  <c r="AH239" i="1" s="1"/>
  <c r="AH197" i="1"/>
  <c r="AD251" i="1"/>
  <c r="AD234" i="1"/>
  <c r="AD189" i="1"/>
  <c r="AD233" i="1"/>
  <c r="AD250" i="1"/>
  <c r="AH206" i="1"/>
  <c r="AH199" i="1"/>
  <c r="AH201" i="1"/>
  <c r="AH205" i="1"/>
  <c r="AH200" i="1"/>
  <c r="AH202" i="1"/>
  <c r="AL207" i="1" l="1"/>
  <c r="AI183" i="1"/>
  <c r="AJ183" i="1"/>
  <c r="AK183" i="1"/>
  <c r="AL228" i="1"/>
  <c r="AQ207" i="1"/>
  <c r="AV207" i="1" s="1"/>
  <c r="BA207" i="1" s="1"/>
  <c r="BB207" i="1" s="1"/>
  <c r="AL218" i="1"/>
  <c r="AL230" i="1"/>
  <c r="AL197" i="1"/>
  <c r="AQ183" i="1"/>
  <c r="AL229" i="1"/>
  <c r="AH189" i="1"/>
  <c r="AL232" i="1"/>
  <c r="AL244" i="1"/>
  <c r="AL245" i="1" s="1"/>
  <c r="AL219" i="1"/>
  <c r="AL215" i="1"/>
  <c r="AL240" i="1"/>
  <c r="AL241" i="1" s="1"/>
  <c r="AL223" i="1"/>
  <c r="AL225" i="1"/>
  <c r="AL184" i="1"/>
  <c r="AL246" i="1"/>
  <c r="AL247" i="1" s="1"/>
  <c r="AL242" i="1"/>
  <c r="AL243" i="1" s="1"/>
  <c r="AL248" i="1"/>
  <c r="AL231" i="1"/>
  <c r="AL216" i="1"/>
  <c r="AL217" i="1"/>
  <c r="AL224" i="1"/>
  <c r="AL191" i="1"/>
  <c r="AL238" i="1"/>
  <c r="AL239" i="1" s="1"/>
  <c r="AL221" i="1"/>
  <c r="AH233" i="1"/>
  <c r="AH234" i="1"/>
  <c r="AL227" i="1"/>
  <c r="AH250" i="1"/>
  <c r="AL187" i="1"/>
  <c r="AL188" i="1" s="1"/>
  <c r="AL220" i="1"/>
  <c r="AL222" i="1"/>
  <c r="AL226" i="1"/>
  <c r="AH251" i="1"/>
  <c r="AF240" i="1"/>
  <c r="AF241" i="1" s="1"/>
  <c r="AF246" i="1"/>
  <c r="AF247" i="1" s="1"/>
  <c r="AF242" i="1"/>
  <c r="AF243" i="1" s="1"/>
  <c r="AF197" i="1"/>
  <c r="AF184" i="1"/>
  <c r="AF187" i="1"/>
  <c r="AF238" i="1"/>
  <c r="AF191" i="1"/>
  <c r="AF248" i="1"/>
  <c r="AF244" i="1"/>
  <c r="AF245" i="1" s="1"/>
  <c r="AF218" i="1"/>
  <c r="AF217" i="1"/>
  <c r="AF226" i="1"/>
  <c r="AF219" i="1"/>
  <c r="AF223" i="1"/>
  <c r="AF225" i="1"/>
  <c r="AF229" i="1"/>
  <c r="AF220" i="1"/>
  <c r="AF224" i="1"/>
  <c r="AF230" i="1"/>
  <c r="AF231" i="1"/>
  <c r="AF227" i="1"/>
  <c r="AF215" i="1"/>
  <c r="AF221" i="1"/>
  <c r="AF232" i="1"/>
  <c r="AF228" i="1"/>
  <c r="AF222" i="1"/>
  <c r="AF216" i="1"/>
  <c r="AG240" i="1"/>
  <c r="AG241" i="1" s="1"/>
  <c r="AG246" i="1"/>
  <c r="AG247" i="1" s="1"/>
  <c r="AG187" i="1"/>
  <c r="AG242" i="1"/>
  <c r="AG243" i="1" s="1"/>
  <c r="AG244" i="1"/>
  <c r="AG245" i="1" s="1"/>
  <c r="AG238" i="1"/>
  <c r="AG191" i="1"/>
  <c r="AG248" i="1"/>
  <c r="AG197" i="1"/>
  <c r="AG184" i="1"/>
  <c r="AG217" i="1"/>
  <c r="AG218" i="1"/>
  <c r="AG229" i="1"/>
  <c r="AG230" i="1"/>
  <c r="AG219" i="1"/>
  <c r="AG223" i="1"/>
  <c r="AG215" i="1"/>
  <c r="AG226" i="1"/>
  <c r="AG225" i="1"/>
  <c r="AG220" i="1"/>
  <c r="AG224" i="1"/>
  <c r="AG222" i="1"/>
  <c r="AG231" i="1"/>
  <c r="AG227" i="1"/>
  <c r="AG221" i="1"/>
  <c r="AG232" i="1"/>
  <c r="AG228" i="1"/>
  <c r="AG216" i="1"/>
  <c r="AE184" i="1"/>
  <c r="AE191" i="1"/>
  <c r="AE238" i="1"/>
  <c r="AE187" i="1"/>
  <c r="AE248" i="1"/>
  <c r="AE244" i="1"/>
  <c r="AE245" i="1" s="1"/>
  <c r="AE197" i="1"/>
  <c r="AE240" i="1"/>
  <c r="AE241" i="1" s="1"/>
  <c r="AE246" i="1"/>
  <c r="AE247" i="1" s="1"/>
  <c r="AE242" i="1"/>
  <c r="AE243" i="1" s="1"/>
  <c r="AE217" i="1"/>
  <c r="AE218" i="1"/>
  <c r="AE219" i="1"/>
  <c r="AE223" i="1"/>
  <c r="AE225" i="1"/>
  <c r="AE229" i="1"/>
  <c r="AE220" i="1"/>
  <c r="AE224" i="1"/>
  <c r="AE230" i="1"/>
  <c r="AE226" i="1"/>
  <c r="AE227" i="1"/>
  <c r="AE215" i="1"/>
  <c r="AE221" i="1"/>
  <c r="AE232" i="1"/>
  <c r="AE228" i="1"/>
  <c r="AE216" i="1"/>
  <c r="AE231" i="1"/>
  <c r="AE222" i="1"/>
  <c r="AL208" i="1"/>
  <c r="AL206" i="1"/>
  <c r="W190" i="1" s="1"/>
  <c r="AL205" i="1"/>
  <c r="AL200" i="1"/>
  <c r="AL199" i="1"/>
  <c r="AL201" i="1"/>
  <c r="AL202" i="1"/>
  <c r="AQ219" i="1"/>
  <c r="Z192" i="1" l="1"/>
  <c r="AB198" i="1"/>
  <c r="W195" i="1"/>
  <c r="W196" i="1" s="1"/>
  <c r="V190" i="1"/>
  <c r="U190" i="1"/>
  <c r="AB190" i="1"/>
  <c r="AE192" i="1"/>
  <c r="V193" i="1"/>
  <c r="V194" i="1" s="1"/>
  <c r="AX193" i="1"/>
  <c r="AX195" i="1"/>
  <c r="AX196" i="1" s="1"/>
  <c r="AX198" i="1"/>
  <c r="T193" i="1"/>
  <c r="T194" i="1" s="1"/>
  <c r="AE195" i="1"/>
  <c r="AE196" i="1" s="1"/>
  <c r="V195" i="1"/>
  <c r="V196" i="1" s="1"/>
  <c r="Y193" i="1"/>
  <c r="Y194" i="1" s="1"/>
  <c r="AA190" i="1"/>
  <c r="Y192" i="1"/>
  <c r="AJ198" i="1"/>
  <c r="AF198" i="1"/>
  <c r="Q193" i="1"/>
  <c r="Q194" i="1" s="1"/>
  <c r="Q185" i="1" s="1"/>
  <c r="Q186" i="1" s="1"/>
  <c r="AC190" i="1"/>
  <c r="V192" i="1"/>
  <c r="U192" i="1"/>
  <c r="AE198" i="1"/>
  <c r="T190" i="1"/>
  <c r="AG198" i="1"/>
  <c r="U193" i="1"/>
  <c r="U194" i="1" s="1"/>
  <c r="X195" i="1"/>
  <c r="X196" i="1" s="1"/>
  <c r="AD198" i="1"/>
  <c r="U195" i="1"/>
  <c r="U196" i="1" s="1"/>
  <c r="T192" i="1"/>
  <c r="S193" i="1"/>
  <c r="S194" i="1" s="1"/>
  <c r="S185" i="1" s="1"/>
  <c r="S186" i="1" s="1"/>
  <c r="Z190" i="1"/>
  <c r="Y195" i="1"/>
  <c r="Y196" i="1" s="1"/>
  <c r="R193" i="1"/>
  <c r="R194" i="1" s="1"/>
  <c r="R185" i="1" s="1"/>
  <c r="R186" i="1" s="1"/>
  <c r="W193" i="1"/>
  <c r="W194" i="1" s="1"/>
  <c r="AC198" i="1"/>
  <c r="Z193" i="1"/>
  <c r="Z194" i="1" s="1"/>
  <c r="X192" i="1"/>
  <c r="AI198" i="1"/>
  <c r="T195" i="1"/>
  <c r="T196" i="1" s="1"/>
  <c r="W192" i="1"/>
  <c r="Y190" i="1"/>
  <c r="X190" i="1"/>
  <c r="Z195" i="1"/>
  <c r="Z196" i="1" s="1"/>
  <c r="AK198" i="1"/>
  <c r="X193" i="1"/>
  <c r="X194" i="1" s="1"/>
  <c r="AQ191" i="1"/>
  <c r="AQ244" i="1"/>
  <c r="AQ245" i="1" s="1"/>
  <c r="AN183" i="1"/>
  <c r="AQ238" i="1"/>
  <c r="AQ239" i="1" s="1"/>
  <c r="AM183" i="1"/>
  <c r="AO183" i="1"/>
  <c r="AP183" i="1"/>
  <c r="AQ187" i="1"/>
  <c r="AQ189" i="1" s="1"/>
  <c r="AV183" i="1"/>
  <c r="AV197" i="1" s="1"/>
  <c r="AQ222" i="1"/>
  <c r="AQ197" i="1"/>
  <c r="AQ231" i="1"/>
  <c r="AQ228" i="1"/>
  <c r="AQ221" i="1"/>
  <c r="AQ223" i="1"/>
  <c r="AQ232" i="1"/>
  <c r="AQ226" i="1"/>
  <c r="AQ248" i="1"/>
  <c r="AQ216" i="1"/>
  <c r="AQ224" i="1"/>
  <c r="AQ217" i="1"/>
  <c r="AQ230" i="1"/>
  <c r="AQ242" i="1"/>
  <c r="AQ243" i="1" s="1"/>
  <c r="AQ246" i="1"/>
  <c r="AQ247" i="1" s="1"/>
  <c r="AK187" i="1"/>
  <c r="AK242" i="1"/>
  <c r="AK243" i="1" s="1"/>
  <c r="AK246" i="1"/>
  <c r="AK247" i="1" s="1"/>
  <c r="AK215" i="1"/>
  <c r="AK219" i="1"/>
  <c r="AK223" i="1"/>
  <c r="AK227" i="1"/>
  <c r="AK231" i="1"/>
  <c r="AK238" i="1"/>
  <c r="AK222" i="1"/>
  <c r="AK216" i="1"/>
  <c r="AK220" i="1"/>
  <c r="AK224" i="1"/>
  <c r="AK228" i="1"/>
  <c r="AK232" i="1"/>
  <c r="AK207" i="1"/>
  <c r="AK230" i="1"/>
  <c r="AK240" i="1"/>
  <c r="AK241" i="1" s="1"/>
  <c r="AK244" i="1"/>
  <c r="AK245" i="1" s="1"/>
  <c r="AK248" i="1"/>
  <c r="AK217" i="1"/>
  <c r="AK221" i="1"/>
  <c r="AK225" i="1"/>
  <c r="AK229" i="1"/>
  <c r="AK226" i="1"/>
  <c r="AK218" i="1"/>
  <c r="AK197" i="1"/>
  <c r="AK191" i="1"/>
  <c r="AK184" i="1"/>
  <c r="AQ220" i="1"/>
  <c r="AQ184" i="1"/>
  <c r="AJ191" i="1"/>
  <c r="AJ242" i="1"/>
  <c r="AJ243" i="1" s="1"/>
  <c r="AJ246" i="1"/>
  <c r="AJ247" i="1" s="1"/>
  <c r="AJ215" i="1"/>
  <c r="AJ219" i="1"/>
  <c r="AJ223" i="1"/>
  <c r="AJ227" i="1"/>
  <c r="AJ231" i="1"/>
  <c r="AJ244" i="1"/>
  <c r="AJ245" i="1" s="1"/>
  <c r="AJ221" i="1"/>
  <c r="AJ218" i="1"/>
  <c r="AJ238" i="1"/>
  <c r="AJ240" i="1"/>
  <c r="AJ241" i="1" s="1"/>
  <c r="AJ217" i="1"/>
  <c r="AJ229" i="1"/>
  <c r="AJ226" i="1"/>
  <c r="AJ216" i="1"/>
  <c r="AJ220" i="1"/>
  <c r="AJ224" i="1"/>
  <c r="AJ228" i="1"/>
  <c r="AJ232" i="1"/>
  <c r="AJ248" i="1"/>
  <c r="AJ225" i="1"/>
  <c r="AJ207" i="1"/>
  <c r="AJ222" i="1"/>
  <c r="AJ230" i="1"/>
  <c r="AJ184" i="1"/>
  <c r="AJ187" i="1"/>
  <c r="AJ197" i="1"/>
  <c r="AQ227" i="1"/>
  <c r="AQ218" i="1"/>
  <c r="AQ225" i="1"/>
  <c r="AQ215" i="1"/>
  <c r="AQ229" i="1"/>
  <c r="AQ240" i="1"/>
  <c r="AQ241" i="1" s="1"/>
  <c r="AI197" i="1"/>
  <c r="AI238" i="1"/>
  <c r="AI226" i="1"/>
  <c r="AI219" i="1"/>
  <c r="AI223" i="1"/>
  <c r="AI216" i="1"/>
  <c r="AI220" i="1"/>
  <c r="AI224" i="1"/>
  <c r="AI228" i="1"/>
  <c r="AI232" i="1"/>
  <c r="AI218" i="1"/>
  <c r="AI242" i="1"/>
  <c r="AI243" i="1" s="1"/>
  <c r="AI227" i="1"/>
  <c r="AI231" i="1"/>
  <c r="AI240" i="1"/>
  <c r="AI241" i="1" s="1"/>
  <c r="AI244" i="1"/>
  <c r="AI245" i="1" s="1"/>
  <c r="AI248" i="1"/>
  <c r="AI217" i="1"/>
  <c r="AI221" i="1"/>
  <c r="AI225" i="1"/>
  <c r="AI229" i="1"/>
  <c r="AI230" i="1"/>
  <c r="AI215" i="1"/>
  <c r="AI222" i="1"/>
  <c r="AI246" i="1"/>
  <c r="AI247" i="1" s="1"/>
  <c r="AI184" i="1"/>
  <c r="AI191" i="1"/>
  <c r="AI187" i="1"/>
  <c r="BC207" i="1"/>
  <c r="BB208" i="1"/>
  <c r="AL189" i="1"/>
  <c r="AL250" i="1"/>
  <c r="AL233" i="1"/>
  <c r="AL251" i="1"/>
  <c r="AL234" i="1"/>
  <c r="AG234" i="1"/>
  <c r="AE234" i="1"/>
  <c r="AE188" i="1"/>
  <c r="AE189" i="1"/>
  <c r="AE190" i="1" s="1"/>
  <c r="AE250" i="1"/>
  <c r="AE239" i="1"/>
  <c r="AE251" i="1" s="1"/>
  <c r="AF233" i="1"/>
  <c r="AG239" i="1"/>
  <c r="AG251" i="1" s="1"/>
  <c r="AG250" i="1"/>
  <c r="AG233" i="1"/>
  <c r="AG188" i="1"/>
  <c r="AG189" i="1"/>
  <c r="AF239" i="1"/>
  <c r="AF251" i="1" s="1"/>
  <c r="AF250" i="1"/>
  <c r="AE233" i="1"/>
  <c r="AF188" i="1"/>
  <c r="AF189" i="1"/>
  <c r="AF234" i="1"/>
  <c r="AD190" i="1"/>
  <c r="AB192" i="1"/>
  <c r="AC192" i="1"/>
  <c r="AD192" i="1"/>
  <c r="AA192" i="1"/>
  <c r="AA195" i="1"/>
  <c r="AA196" i="1" s="1"/>
  <c r="AA193" i="1"/>
  <c r="AA194" i="1" s="1"/>
  <c r="AB193" i="1"/>
  <c r="AB194" i="1" s="1"/>
  <c r="AB195" i="1"/>
  <c r="AB196" i="1" s="1"/>
  <c r="AC195" i="1"/>
  <c r="AC196" i="1" s="1"/>
  <c r="AC193" i="1"/>
  <c r="AC194" i="1" s="1"/>
  <c r="AD195" i="1"/>
  <c r="AD196" i="1" s="1"/>
  <c r="AH198" i="1"/>
  <c r="AQ206" i="1"/>
  <c r="AQ208" i="1"/>
  <c r="AQ200" i="1"/>
  <c r="AQ201" i="1"/>
  <c r="AQ199" i="1"/>
  <c r="AQ202" i="1"/>
  <c r="AQ205" i="1"/>
  <c r="V185" i="1" l="1"/>
  <c r="V186" i="1" s="1"/>
  <c r="U185" i="1"/>
  <c r="U186" i="1" s="1"/>
  <c r="T185" i="1"/>
  <c r="T186" i="1" s="1"/>
  <c r="W185" i="1"/>
  <c r="W186" i="1" s="1"/>
  <c r="AV219" i="1"/>
  <c r="AX194" i="1"/>
  <c r="Y185" i="1"/>
  <c r="Y186" i="1" s="1"/>
  <c r="X185" i="1"/>
  <c r="X186" i="1" s="1"/>
  <c r="Z185" i="1"/>
  <c r="Z186" i="1" s="1"/>
  <c r="AN240" i="1"/>
  <c r="AN241" i="1" s="1"/>
  <c r="AN244" i="1"/>
  <c r="AN245" i="1" s="1"/>
  <c r="AN248" i="1"/>
  <c r="AN216" i="1"/>
  <c r="AN219" i="1"/>
  <c r="AN222" i="1"/>
  <c r="AN225" i="1"/>
  <c r="AN228" i="1"/>
  <c r="AN231" i="1"/>
  <c r="AN220" i="1"/>
  <c r="AN232" i="1"/>
  <c r="AN217" i="1"/>
  <c r="AN226" i="1"/>
  <c r="AN229" i="1"/>
  <c r="AN238" i="1"/>
  <c r="AN242" i="1"/>
  <c r="AN243" i="1" s="1"/>
  <c r="AN223" i="1"/>
  <c r="AN246" i="1"/>
  <c r="AN247" i="1" s="1"/>
  <c r="AN215" i="1"/>
  <c r="AN218" i="1"/>
  <c r="AN221" i="1"/>
  <c r="AN224" i="1"/>
  <c r="AN227" i="1"/>
  <c r="AN230" i="1"/>
  <c r="AM231" i="1"/>
  <c r="AM224" i="1"/>
  <c r="AM227" i="1"/>
  <c r="AM240" i="1"/>
  <c r="AM241" i="1" s="1"/>
  <c r="AM244" i="1"/>
  <c r="AM245" i="1" s="1"/>
  <c r="AM248" i="1"/>
  <c r="AM216" i="1"/>
  <c r="AM219" i="1"/>
  <c r="AM222" i="1"/>
  <c r="AM225" i="1"/>
  <c r="AM228" i="1"/>
  <c r="AM218" i="1"/>
  <c r="AM221" i="1"/>
  <c r="AM238" i="1"/>
  <c r="AM242" i="1"/>
  <c r="AM243" i="1" s="1"/>
  <c r="AM217" i="1"/>
  <c r="AM220" i="1"/>
  <c r="AM223" i="1"/>
  <c r="AM226" i="1"/>
  <c r="AM229" i="1"/>
  <c r="AM232" i="1"/>
  <c r="AM230" i="1"/>
  <c r="AM246" i="1"/>
  <c r="AM247" i="1" s="1"/>
  <c r="AM215" i="1"/>
  <c r="AT183" i="1"/>
  <c r="AR183" i="1"/>
  <c r="AU183" i="1"/>
  <c r="AP220" i="1"/>
  <c r="AP246" i="1"/>
  <c r="AP247" i="1" s="1"/>
  <c r="AP215" i="1"/>
  <c r="AP218" i="1"/>
  <c r="AP221" i="1"/>
  <c r="AP224" i="1"/>
  <c r="AP227" i="1"/>
  <c r="AP230" i="1"/>
  <c r="AP226" i="1"/>
  <c r="AP217" i="1"/>
  <c r="AP238" i="1"/>
  <c r="AP242" i="1"/>
  <c r="AP243" i="1" s="1"/>
  <c r="AP240" i="1"/>
  <c r="AP241" i="1" s="1"/>
  <c r="AP244" i="1"/>
  <c r="AP245" i="1" s="1"/>
  <c r="AP248" i="1"/>
  <c r="AP216" i="1"/>
  <c r="AP219" i="1"/>
  <c r="AP222" i="1"/>
  <c r="AP225" i="1"/>
  <c r="AP228" i="1"/>
  <c r="AP231" i="1"/>
  <c r="AP223" i="1"/>
  <c r="AP232" i="1"/>
  <c r="AP229" i="1"/>
  <c r="AS183" i="1"/>
  <c r="AO246" i="1"/>
  <c r="AO247" i="1" s="1"/>
  <c r="AO215" i="1"/>
  <c r="AO218" i="1"/>
  <c r="AO221" i="1"/>
  <c r="AO224" i="1"/>
  <c r="AO227" i="1"/>
  <c r="AO230" i="1"/>
  <c r="AO220" i="1"/>
  <c r="AO226" i="1"/>
  <c r="AO240" i="1"/>
  <c r="AO241" i="1" s="1"/>
  <c r="AO244" i="1"/>
  <c r="AO245" i="1" s="1"/>
  <c r="AO248" i="1"/>
  <c r="AO216" i="1"/>
  <c r="AO219" i="1"/>
  <c r="AO222" i="1"/>
  <c r="AO225" i="1"/>
  <c r="AO228" i="1"/>
  <c r="AO231" i="1"/>
  <c r="AO229" i="1"/>
  <c r="AO223" i="1"/>
  <c r="AO232" i="1"/>
  <c r="AO238" i="1"/>
  <c r="AO242" i="1"/>
  <c r="AO243" i="1" s="1"/>
  <c r="AO217" i="1"/>
  <c r="AV221" i="1"/>
  <c r="AV223" i="1"/>
  <c r="AV227" i="1"/>
  <c r="AV225" i="1"/>
  <c r="AV215" i="1"/>
  <c r="AV217" i="1"/>
  <c r="BA183" i="1"/>
  <c r="D179" i="1" s="1"/>
  <c r="AV184" i="1"/>
  <c r="AQ188" i="1"/>
  <c r="AV218" i="1"/>
  <c r="AI208" i="1"/>
  <c r="AN207" i="1"/>
  <c r="AJ208" i="1"/>
  <c r="AO207" i="1"/>
  <c r="AV248" i="1"/>
  <c r="AP184" i="1"/>
  <c r="AP197" i="1"/>
  <c r="AP187" i="1"/>
  <c r="AP191" i="1"/>
  <c r="AV222" i="1"/>
  <c r="AV231" i="1"/>
  <c r="AV226" i="1"/>
  <c r="AV220" i="1"/>
  <c r="AV242" i="1"/>
  <c r="AV243" i="1" s="1"/>
  <c r="AO184" i="1"/>
  <c r="AO197" i="1"/>
  <c r="AO187" i="1"/>
  <c r="AO191" i="1"/>
  <c r="AK208" i="1"/>
  <c r="AP207" i="1"/>
  <c r="AM184" i="1"/>
  <c r="AM197" i="1"/>
  <c r="AM187" i="1"/>
  <c r="AM191" i="1"/>
  <c r="AV224" i="1"/>
  <c r="AV246" i="1"/>
  <c r="AV247" i="1" s="1"/>
  <c r="AV228" i="1"/>
  <c r="AV216" i="1"/>
  <c r="AV244" i="1"/>
  <c r="AV245" i="1" s="1"/>
  <c r="AV191" i="1"/>
  <c r="AV240" i="1"/>
  <c r="AV241" i="1" s="1"/>
  <c r="AV229" i="1"/>
  <c r="AV232" i="1"/>
  <c r="AV238" i="1"/>
  <c r="AV187" i="1"/>
  <c r="AV189" i="1" s="1"/>
  <c r="AN184" i="1"/>
  <c r="AN197" i="1"/>
  <c r="AN187" i="1"/>
  <c r="AN191" i="1"/>
  <c r="AV230" i="1"/>
  <c r="AK233" i="1"/>
  <c r="AQ233" i="1"/>
  <c r="AQ250" i="1"/>
  <c r="AQ234" i="1"/>
  <c r="AQ251" i="1"/>
  <c r="AI189" i="1"/>
  <c r="AI188" i="1"/>
  <c r="AJ189" i="1"/>
  <c r="AJ188" i="1"/>
  <c r="AJ233" i="1"/>
  <c r="AK234" i="1"/>
  <c r="AI234" i="1"/>
  <c r="AI239" i="1"/>
  <c r="AI251" i="1" s="1"/>
  <c r="AI250" i="1"/>
  <c r="AK239" i="1"/>
  <c r="AK251" i="1" s="1"/>
  <c r="AK250" i="1"/>
  <c r="AK189" i="1"/>
  <c r="AK188" i="1"/>
  <c r="AJ239" i="1"/>
  <c r="AJ251" i="1" s="1"/>
  <c r="AJ250" i="1"/>
  <c r="AI233" i="1"/>
  <c r="AJ234" i="1"/>
  <c r="BD207" i="1"/>
  <c r="BC208" i="1"/>
  <c r="AC185" i="1"/>
  <c r="AC186" i="1" s="1"/>
  <c r="AB185" i="1"/>
  <c r="AB186" i="1" s="1"/>
  <c r="AA185" i="1"/>
  <c r="AA186" i="1" s="1"/>
  <c r="AV206" i="1"/>
  <c r="AV208" i="1"/>
  <c r="AV201" i="1"/>
  <c r="AV200" i="1"/>
  <c r="AV199" i="1"/>
  <c r="AV202" i="1"/>
  <c r="AV205" i="1"/>
  <c r="AW193" i="1" l="1"/>
  <c r="BA221" i="1"/>
  <c r="BA238" i="1"/>
  <c r="BA216" i="1"/>
  <c r="BA244" i="1"/>
  <c r="BA245" i="1" s="1"/>
  <c r="BA242" i="1"/>
  <c r="BA243" i="1" s="1"/>
  <c r="BA227" i="1"/>
  <c r="BA187" i="1"/>
  <c r="BA189" i="1" s="1"/>
  <c r="AW195" i="1"/>
  <c r="AW196" i="1" s="1"/>
  <c r="AW194" i="1" s="1"/>
  <c r="AX183" i="1"/>
  <c r="AY183" i="1"/>
  <c r="AZ183" i="1"/>
  <c r="AW183" i="1"/>
  <c r="BA224" i="1"/>
  <c r="BA231" i="1"/>
  <c r="AW198" i="1"/>
  <c r="BA226" i="1"/>
  <c r="BA229" i="1"/>
  <c r="BA240" i="1"/>
  <c r="BA241" i="1" s="1"/>
  <c r="AM233" i="1"/>
  <c r="AM234" i="1"/>
  <c r="BA225" i="1"/>
  <c r="BA222" i="1"/>
  <c r="BA228" i="1"/>
  <c r="BA191" i="1"/>
  <c r="BA230" i="1"/>
  <c r="BA220" i="1"/>
  <c r="BA232" i="1"/>
  <c r="BA217" i="1"/>
  <c r="BA215" i="1"/>
  <c r="BA248" i="1"/>
  <c r="BA197" i="1"/>
  <c r="BA184" i="1"/>
  <c r="BA246" i="1"/>
  <c r="BA247" i="1" s="1"/>
  <c r="AR193" i="1"/>
  <c r="AR198" i="1"/>
  <c r="AO208" i="1"/>
  <c r="AT207" i="1"/>
  <c r="AN208" i="1"/>
  <c r="AS207" i="1"/>
  <c r="AO233" i="1"/>
  <c r="AS238" i="1"/>
  <c r="AS242" i="1"/>
  <c r="AS243" i="1" s="1"/>
  <c r="AS217" i="1"/>
  <c r="AS220" i="1"/>
  <c r="AS223" i="1"/>
  <c r="AS226" i="1"/>
  <c r="AS229" i="1"/>
  <c r="AS232" i="1"/>
  <c r="AS246" i="1"/>
  <c r="AS247" i="1" s="1"/>
  <c r="AS215" i="1"/>
  <c r="AS218" i="1"/>
  <c r="AS221" i="1"/>
  <c r="AS224" i="1"/>
  <c r="AS227" i="1"/>
  <c r="AS230" i="1"/>
  <c r="AS184" i="1"/>
  <c r="AS197" i="1"/>
  <c r="AS240" i="1"/>
  <c r="AS241" i="1" s="1"/>
  <c r="AS244" i="1"/>
  <c r="AS245" i="1" s="1"/>
  <c r="AS248" i="1"/>
  <c r="AS216" i="1"/>
  <c r="AS219" i="1"/>
  <c r="AS222" i="1"/>
  <c r="AS225" i="1"/>
  <c r="AS228" i="1"/>
  <c r="AS231" i="1"/>
  <c r="AS187" i="1"/>
  <c r="AS191" i="1"/>
  <c r="AP234" i="1"/>
  <c r="AU191" i="1"/>
  <c r="AU238" i="1"/>
  <c r="AU242" i="1"/>
  <c r="AU243" i="1" s="1"/>
  <c r="AU217" i="1"/>
  <c r="AU220" i="1"/>
  <c r="AU223" i="1"/>
  <c r="AU226" i="1"/>
  <c r="AU229" i="1"/>
  <c r="AU232" i="1"/>
  <c r="AU246" i="1"/>
  <c r="AU247" i="1" s="1"/>
  <c r="AU215" i="1"/>
  <c r="AU218" i="1"/>
  <c r="AU221" i="1"/>
  <c r="AU224" i="1"/>
  <c r="AU227" i="1"/>
  <c r="AU230" i="1"/>
  <c r="AU184" i="1"/>
  <c r="AU197" i="1"/>
  <c r="AU240" i="1"/>
  <c r="AU241" i="1" s="1"/>
  <c r="AU244" i="1"/>
  <c r="AU245" i="1" s="1"/>
  <c r="AU248" i="1"/>
  <c r="AU216" i="1"/>
  <c r="AU219" i="1"/>
  <c r="AU222" i="1"/>
  <c r="AU225" i="1"/>
  <c r="AU228" i="1"/>
  <c r="AU231" i="1"/>
  <c r="AU187" i="1"/>
  <c r="AN250" i="1"/>
  <c r="AN239" i="1"/>
  <c r="AN251" i="1" s="1"/>
  <c r="AO239" i="1"/>
  <c r="AO251" i="1" s="1"/>
  <c r="AO250" i="1"/>
  <c r="AP239" i="1"/>
  <c r="AP251" i="1" s="1"/>
  <c r="AP250" i="1"/>
  <c r="AR238" i="1"/>
  <c r="AR242" i="1"/>
  <c r="AR243" i="1" s="1"/>
  <c r="AR217" i="1"/>
  <c r="AR220" i="1"/>
  <c r="AR223" i="1"/>
  <c r="AR226" i="1"/>
  <c r="AR229" i="1"/>
  <c r="AR232" i="1"/>
  <c r="AR246" i="1"/>
  <c r="AR247" i="1" s="1"/>
  <c r="AR215" i="1"/>
  <c r="AR218" i="1"/>
  <c r="AR221" i="1"/>
  <c r="AR224" i="1"/>
  <c r="AR227" i="1"/>
  <c r="AR230" i="1"/>
  <c r="AR184" i="1"/>
  <c r="AR197" i="1"/>
  <c r="AR240" i="1"/>
  <c r="AR241" i="1" s="1"/>
  <c r="AR244" i="1"/>
  <c r="AR245" i="1" s="1"/>
  <c r="AR248" i="1"/>
  <c r="AR216" i="1"/>
  <c r="AR219" i="1"/>
  <c r="AR222" i="1"/>
  <c r="AR225" i="1"/>
  <c r="AR228" i="1"/>
  <c r="AR231" i="1"/>
  <c r="AR187" i="1"/>
  <c r="AR191" i="1"/>
  <c r="AR192" i="1" s="1"/>
  <c r="AM250" i="1"/>
  <c r="AM239" i="1"/>
  <c r="AM251" i="1" s="1"/>
  <c r="AP233" i="1"/>
  <c r="AT222" i="1"/>
  <c r="AT187" i="1"/>
  <c r="AT228" i="1"/>
  <c r="AT238" i="1"/>
  <c r="AT242" i="1"/>
  <c r="AT243" i="1" s="1"/>
  <c r="AT217" i="1"/>
  <c r="AT220" i="1"/>
  <c r="AT223" i="1"/>
  <c r="AT226" i="1"/>
  <c r="AT229" i="1"/>
  <c r="AT232" i="1"/>
  <c r="AT244" i="1"/>
  <c r="AT245" i="1" s="1"/>
  <c r="AT216" i="1"/>
  <c r="AT219" i="1"/>
  <c r="AT225" i="1"/>
  <c r="AT246" i="1"/>
  <c r="AT247" i="1" s="1"/>
  <c r="AT215" i="1"/>
  <c r="AT218" i="1"/>
  <c r="AT221" i="1"/>
  <c r="AT224" i="1"/>
  <c r="AT227" i="1"/>
  <c r="AT230" i="1"/>
  <c r="AT184" i="1"/>
  <c r="AT240" i="1"/>
  <c r="AT241" i="1" s="1"/>
  <c r="AT197" i="1"/>
  <c r="AT231" i="1"/>
  <c r="AT191" i="1"/>
  <c r="AT248" i="1"/>
  <c r="AN234" i="1"/>
  <c r="AV250" i="1"/>
  <c r="AO234" i="1"/>
  <c r="AN233" i="1"/>
  <c r="AP208" i="1"/>
  <c r="AU207" i="1"/>
  <c r="BA223" i="1"/>
  <c r="BB183" i="1"/>
  <c r="BB221" i="1" s="1"/>
  <c r="AV233" i="1"/>
  <c r="BA219" i="1"/>
  <c r="BA218" i="1"/>
  <c r="AV188" i="1"/>
  <c r="AN192" i="1"/>
  <c r="AV234" i="1"/>
  <c r="AO189" i="1"/>
  <c r="AO190" i="1" s="1"/>
  <c r="AO188" i="1"/>
  <c r="AN189" i="1"/>
  <c r="AN188" i="1"/>
  <c r="AP188" i="1"/>
  <c r="AP189" i="1"/>
  <c r="AV239" i="1"/>
  <c r="AV251" i="1" s="1"/>
  <c r="AI192" i="1"/>
  <c r="AM198" i="1"/>
  <c r="AN195" i="1"/>
  <c r="AN196" i="1" s="1"/>
  <c r="AN198" i="1"/>
  <c r="AN193" i="1"/>
  <c r="AP198" i="1"/>
  <c r="AM195" i="1"/>
  <c r="AM196" i="1" s="1"/>
  <c r="AM192" i="1"/>
  <c r="AM189" i="1"/>
  <c r="AM190" i="1" s="1"/>
  <c r="AM188" i="1"/>
  <c r="AJ193" i="1"/>
  <c r="AI193" i="1"/>
  <c r="AJ195" i="1"/>
  <c r="AJ196" i="1" s="1"/>
  <c r="AI195" i="1"/>
  <c r="AI196" i="1" s="1"/>
  <c r="AK193" i="1"/>
  <c r="AK195" i="1"/>
  <c r="AK196" i="1" s="1"/>
  <c r="AJ190" i="1"/>
  <c r="AI190" i="1"/>
  <c r="AK190" i="1"/>
  <c r="AJ192" i="1"/>
  <c r="AK192" i="1"/>
  <c r="BE207" i="1"/>
  <c r="BD208" i="1"/>
  <c r="BA188" i="1"/>
  <c r="BB246" i="1"/>
  <c r="BB247" i="1" s="1"/>
  <c r="BB244" i="1"/>
  <c r="BB245" i="1" s="1"/>
  <c r="BA206" i="1"/>
  <c r="AO195" i="1" s="1"/>
  <c r="AO196" i="1" s="1"/>
  <c r="BA208" i="1"/>
  <c r="BA202" i="1"/>
  <c r="BA199" i="1"/>
  <c r="BA205" i="1"/>
  <c r="BA200" i="1"/>
  <c r="BA201" i="1"/>
  <c r="BA239" i="1"/>
  <c r="BA251" i="1" l="1"/>
  <c r="BB197" i="1"/>
  <c r="BB218" i="1"/>
  <c r="BB216" i="1"/>
  <c r="BB184" i="1"/>
  <c r="AS208" i="1"/>
  <c r="AX207" i="1"/>
  <c r="AX208" i="1" s="1"/>
  <c r="AT208" i="1"/>
  <c r="AU192" i="1" s="1"/>
  <c r="AY207" i="1"/>
  <c r="AY208" i="1" s="1"/>
  <c r="AU208" i="1"/>
  <c r="AV190" i="1" s="1"/>
  <c r="AZ207" i="1"/>
  <c r="AZ208" i="1" s="1"/>
  <c r="BA192" i="1" s="1"/>
  <c r="AW238" i="1"/>
  <c r="AW242" i="1"/>
  <c r="AW243" i="1" s="1"/>
  <c r="AW246" i="1"/>
  <c r="AW247" i="1" s="1"/>
  <c r="AW184" i="1"/>
  <c r="AW240" i="1"/>
  <c r="AW241" i="1" s="1"/>
  <c r="AW197" i="1"/>
  <c r="AW244" i="1"/>
  <c r="AW245" i="1" s="1"/>
  <c r="AW248" i="1"/>
  <c r="AW187" i="1"/>
  <c r="AW191" i="1"/>
  <c r="AW192" i="1" s="1"/>
  <c r="AW185" i="1" s="1"/>
  <c r="AW186" i="1" s="1"/>
  <c r="AW218" i="1"/>
  <c r="AW217" i="1"/>
  <c r="AW220" i="1"/>
  <c r="AW223" i="1"/>
  <c r="AW228" i="1"/>
  <c r="AW215" i="1"/>
  <c r="AW231" i="1"/>
  <c r="AW216" i="1"/>
  <c r="AW232" i="1"/>
  <c r="AW225" i="1"/>
  <c r="AW227" i="1"/>
  <c r="AW230" i="1"/>
  <c r="AW221" i="1"/>
  <c r="AW224" i="1"/>
  <c r="AW219" i="1"/>
  <c r="AW226" i="1"/>
  <c r="AW229" i="1"/>
  <c r="AW222" i="1"/>
  <c r="AZ244" i="1"/>
  <c r="AZ245" i="1" s="1"/>
  <c r="AZ238" i="1"/>
  <c r="AZ242" i="1"/>
  <c r="AZ243" i="1" s="1"/>
  <c r="AZ197" i="1"/>
  <c r="AZ187" i="1"/>
  <c r="AZ246" i="1"/>
  <c r="AZ247" i="1" s="1"/>
  <c r="AZ184" i="1"/>
  <c r="AZ248" i="1"/>
  <c r="AZ191" i="1"/>
  <c r="AZ240" i="1"/>
  <c r="AZ241" i="1" s="1"/>
  <c r="AZ218" i="1"/>
  <c r="AZ217" i="1"/>
  <c r="AZ232" i="1"/>
  <c r="AZ224" i="1"/>
  <c r="AZ230" i="1"/>
  <c r="AZ227" i="1"/>
  <c r="AZ222" i="1"/>
  <c r="AZ231" i="1"/>
  <c r="AZ226" i="1"/>
  <c r="AZ215" i="1"/>
  <c r="AZ228" i="1"/>
  <c r="AZ229" i="1"/>
  <c r="AZ220" i="1"/>
  <c r="AZ225" i="1"/>
  <c r="AZ216" i="1"/>
  <c r="AZ223" i="1"/>
  <c r="AZ221" i="1"/>
  <c r="AZ219" i="1"/>
  <c r="AY191" i="1"/>
  <c r="AY238" i="1"/>
  <c r="AY242" i="1"/>
  <c r="AY243" i="1" s="1"/>
  <c r="AY248" i="1"/>
  <c r="AY246" i="1"/>
  <c r="AY247" i="1" s="1"/>
  <c r="AY184" i="1"/>
  <c r="AY187" i="1"/>
  <c r="AY197" i="1"/>
  <c r="AY240" i="1"/>
  <c r="AY241" i="1" s="1"/>
  <c r="AY244" i="1"/>
  <c r="AY245" i="1" s="1"/>
  <c r="AY218" i="1"/>
  <c r="AY217" i="1"/>
  <c r="AY227" i="1"/>
  <c r="AY219" i="1"/>
  <c r="AY232" i="1"/>
  <c r="AY222" i="1"/>
  <c r="AY228" i="1"/>
  <c r="AY215" i="1"/>
  <c r="AY229" i="1"/>
  <c r="AY221" i="1"/>
  <c r="AY231" i="1"/>
  <c r="AY226" i="1"/>
  <c r="AY230" i="1"/>
  <c r="AY220" i="1"/>
  <c r="AY223" i="1"/>
  <c r="AY225" i="1"/>
  <c r="AY216" i="1"/>
  <c r="AY224" i="1"/>
  <c r="AX238" i="1"/>
  <c r="AX242" i="1"/>
  <c r="AX243" i="1" s="1"/>
  <c r="AX246" i="1"/>
  <c r="AX247" i="1" s="1"/>
  <c r="AX184" i="1"/>
  <c r="AX191" i="1"/>
  <c r="AX192" i="1" s="1"/>
  <c r="AX197" i="1"/>
  <c r="AX248" i="1"/>
  <c r="AX187" i="1"/>
  <c r="AX244" i="1"/>
  <c r="AX245" i="1" s="1"/>
  <c r="AX240" i="1"/>
  <c r="AX241" i="1" s="1"/>
  <c r="AX217" i="1"/>
  <c r="AX218" i="1"/>
  <c r="AX219" i="1"/>
  <c r="AX222" i="1"/>
  <c r="AX224" i="1"/>
  <c r="AX226" i="1"/>
  <c r="AX229" i="1"/>
  <c r="AX231" i="1"/>
  <c r="AX228" i="1"/>
  <c r="AX220" i="1"/>
  <c r="AX215" i="1"/>
  <c r="AX223" i="1"/>
  <c r="AX225" i="1"/>
  <c r="AX230" i="1"/>
  <c r="AX216" i="1"/>
  <c r="AX221" i="1"/>
  <c r="AX232" i="1"/>
  <c r="AX227" i="1"/>
  <c r="AX185" i="1"/>
  <c r="AX186" i="1" s="1"/>
  <c r="BB219" i="1"/>
  <c r="BB217" i="1"/>
  <c r="BA234" i="1"/>
  <c r="AM193" i="1"/>
  <c r="AM194" i="1" s="1"/>
  <c r="AM185" i="1" s="1"/>
  <c r="AM186" i="1" s="1"/>
  <c r="AP193" i="1"/>
  <c r="AR195" i="1"/>
  <c r="AR196" i="1" s="1"/>
  <c r="AR194" i="1" s="1"/>
  <c r="AR185" i="1" s="1"/>
  <c r="AR186" i="1" s="1"/>
  <c r="AS192" i="1"/>
  <c r="AS193" i="1"/>
  <c r="AS198" i="1"/>
  <c r="AS195" i="1"/>
  <c r="AS196" i="1" s="1"/>
  <c r="AO192" i="1"/>
  <c r="AT192" i="1"/>
  <c r="AO198" i="1"/>
  <c r="AN190" i="1"/>
  <c r="BA233" i="1"/>
  <c r="AP192" i="1"/>
  <c r="BA250" i="1"/>
  <c r="AP195" i="1"/>
  <c r="AP196" i="1" s="1"/>
  <c r="AO193" i="1"/>
  <c r="AO194" i="1" s="1"/>
  <c r="AO185" i="1" s="1"/>
  <c r="AO186" i="1" s="1"/>
  <c r="AP190" i="1"/>
  <c r="AT233" i="1"/>
  <c r="BB191" i="1"/>
  <c r="BB192" i="1" s="1"/>
  <c r="BB248" i="1"/>
  <c r="BB215" i="1"/>
  <c r="AT250" i="1"/>
  <c r="AT239" i="1"/>
  <c r="AT251" i="1" s="1"/>
  <c r="BC183" i="1"/>
  <c r="BC232" i="1" s="1"/>
  <c r="BB238" i="1"/>
  <c r="BB239" i="1" s="1"/>
  <c r="BB242" i="1"/>
  <c r="BB243" i="1" s="1"/>
  <c r="AT188" i="1"/>
  <c r="AT189" i="1"/>
  <c r="AT190" i="1" s="1"/>
  <c r="AS188" i="1"/>
  <c r="AS189" i="1"/>
  <c r="AS190" i="1" s="1"/>
  <c r="AS233" i="1"/>
  <c r="BB232" i="1"/>
  <c r="BB240" i="1"/>
  <c r="BB241" i="1" s="1"/>
  <c r="BB187" i="1"/>
  <c r="BB189" i="1" s="1"/>
  <c r="BB190" i="1" s="1"/>
  <c r="AR250" i="1"/>
  <c r="AR239" i="1"/>
  <c r="AR251" i="1" s="1"/>
  <c r="AS250" i="1"/>
  <c r="AS239" i="1"/>
  <c r="AS251" i="1" s="1"/>
  <c r="AS234" i="1"/>
  <c r="BB229" i="1"/>
  <c r="AU234" i="1"/>
  <c r="BB230" i="1"/>
  <c r="BB228" i="1"/>
  <c r="BB227" i="1"/>
  <c r="AU188" i="1"/>
  <c r="AU189" i="1"/>
  <c r="AU233" i="1"/>
  <c r="AT195" i="1"/>
  <c r="AT196" i="1" s="1"/>
  <c r="AT198" i="1"/>
  <c r="AT193" i="1"/>
  <c r="BB231" i="1"/>
  <c r="BB226" i="1"/>
  <c r="BB224" i="1"/>
  <c r="BB225" i="1"/>
  <c r="AR234" i="1"/>
  <c r="AU250" i="1"/>
  <c r="AU239" i="1"/>
  <c r="AU251" i="1" s="1"/>
  <c r="AU193" i="1"/>
  <c r="AU198" i="1"/>
  <c r="AU195" i="1"/>
  <c r="AU196" i="1" s="1"/>
  <c r="BB222" i="1"/>
  <c r="BB223" i="1"/>
  <c r="BB220" i="1"/>
  <c r="AT234" i="1"/>
  <c r="AR188" i="1"/>
  <c r="AR189" i="1"/>
  <c r="AR190" i="1" s="1"/>
  <c r="AR233" i="1"/>
  <c r="AN194" i="1"/>
  <c r="AN185" i="1" s="1"/>
  <c r="AN186" i="1" s="1"/>
  <c r="AK194" i="1"/>
  <c r="AK185" i="1" s="1"/>
  <c r="AK186" i="1" s="1"/>
  <c r="AI194" i="1"/>
  <c r="AI185" i="1" s="1"/>
  <c r="AI186" i="1" s="1"/>
  <c r="AJ194" i="1"/>
  <c r="AJ185" i="1" s="1"/>
  <c r="AJ186" i="1" s="1"/>
  <c r="AH193" i="1"/>
  <c r="AL193" i="1"/>
  <c r="BF207" i="1"/>
  <c r="BF208" i="1" s="1"/>
  <c r="BE208" i="1"/>
  <c r="AF195" i="1"/>
  <c r="AF196" i="1" s="1"/>
  <c r="AF192" i="1"/>
  <c r="AF190" i="1"/>
  <c r="AH192" i="1"/>
  <c r="AL192" i="1"/>
  <c r="AQ192" i="1"/>
  <c r="AG192" i="1"/>
  <c r="AQ190" i="1"/>
  <c r="AG193" i="1"/>
  <c r="AG190" i="1"/>
  <c r="AG195" i="1"/>
  <c r="AG196" i="1" s="1"/>
  <c r="AF193" i="1"/>
  <c r="BB198" i="1"/>
  <c r="AH190" i="1"/>
  <c r="AL190" i="1"/>
  <c r="AH195" i="1"/>
  <c r="AH196" i="1" s="1"/>
  <c r="AL198" i="1"/>
  <c r="BD193" i="1"/>
  <c r="BE193" i="1"/>
  <c r="BE195" i="1"/>
  <c r="BE196" i="1" s="1"/>
  <c r="BC224" i="1"/>
  <c r="BB195" i="1"/>
  <c r="BB196" i="1" s="1"/>
  <c r="BC198" i="1"/>
  <c r="BE198" i="1"/>
  <c r="BD198" i="1"/>
  <c r="BC184" i="1"/>
  <c r="BD195" i="1"/>
  <c r="BD196" i="1" s="1"/>
  <c r="BB193" i="1"/>
  <c r="BC195" i="1"/>
  <c r="BC196" i="1" s="1"/>
  <c r="BC193" i="1"/>
  <c r="AD193" i="1"/>
  <c r="AD194" i="1" s="1"/>
  <c r="AQ198" i="1"/>
  <c r="BG206" i="1"/>
  <c r="BG208" i="1"/>
  <c r="BG193" i="1" s="1"/>
  <c r="BG202" i="1"/>
  <c r="BG199" i="1"/>
  <c r="BG205" i="1"/>
  <c r="BH182" i="1"/>
  <c r="BG201" i="1"/>
  <c r="BG200" i="1"/>
  <c r="AY192" i="1" l="1"/>
  <c r="BA193" i="1"/>
  <c r="AP194" i="1"/>
  <c r="BA198" i="1"/>
  <c r="BA190" i="1"/>
  <c r="AU190" i="1"/>
  <c r="AV192" i="1"/>
  <c r="BC229" i="1"/>
  <c r="BC227" i="1"/>
  <c r="BC223" i="1"/>
  <c r="BC230" i="1"/>
  <c r="BC228" i="1"/>
  <c r="AZ192" i="1"/>
  <c r="AW233" i="1"/>
  <c r="AP185" i="1"/>
  <c r="AP186" i="1" s="1"/>
  <c r="AV198" i="1"/>
  <c r="AY188" i="1"/>
  <c r="AY189" i="1"/>
  <c r="AY190" i="1" s="1"/>
  <c r="AY233" i="1"/>
  <c r="AX234" i="1"/>
  <c r="AX250" i="1"/>
  <c r="AX239" i="1"/>
  <c r="AX251" i="1" s="1"/>
  <c r="AZ233" i="1"/>
  <c r="AY234" i="1"/>
  <c r="AW250" i="1"/>
  <c r="AW239" i="1"/>
  <c r="AW251" i="1" s="1"/>
  <c r="AY250" i="1"/>
  <c r="AY239" i="1"/>
  <c r="AY251" i="1" s="1"/>
  <c r="AZ188" i="1"/>
  <c r="AZ189" i="1"/>
  <c r="AZ190" i="1" s="1"/>
  <c r="AX188" i="1"/>
  <c r="AX189" i="1"/>
  <c r="AX190" i="1" s="1"/>
  <c r="AZ195" i="1"/>
  <c r="AZ196" i="1" s="1"/>
  <c r="AZ193" i="1"/>
  <c r="AZ198" i="1"/>
  <c r="AW189" i="1"/>
  <c r="AW190" i="1" s="1"/>
  <c r="AW188" i="1"/>
  <c r="AZ250" i="1"/>
  <c r="AZ239" i="1"/>
  <c r="AZ251" i="1" s="1"/>
  <c r="AY195" i="1"/>
  <c r="AY196" i="1" s="1"/>
  <c r="AY193" i="1"/>
  <c r="AY198" i="1"/>
  <c r="BB233" i="1"/>
  <c r="AX233" i="1"/>
  <c r="AZ234" i="1"/>
  <c r="AW234" i="1"/>
  <c r="BB234" i="1"/>
  <c r="AS194" i="1"/>
  <c r="AS185" i="1" s="1"/>
  <c r="AS186" i="1" s="1"/>
  <c r="AU194" i="1"/>
  <c r="AU185" i="1" s="1"/>
  <c r="AU186" i="1" s="1"/>
  <c r="BB188" i="1"/>
  <c r="BC225" i="1"/>
  <c r="BC226" i="1"/>
  <c r="BC221" i="1"/>
  <c r="BC222" i="1"/>
  <c r="BB250" i="1"/>
  <c r="BC218" i="1"/>
  <c r="BB251" i="1"/>
  <c r="BC215" i="1"/>
  <c r="BC216" i="1"/>
  <c r="BC217" i="1"/>
  <c r="BC244" i="1"/>
  <c r="BC245" i="1" s="1"/>
  <c r="BC246" i="1"/>
  <c r="BC247" i="1" s="1"/>
  <c r="BC248" i="1"/>
  <c r="BC220" i="1"/>
  <c r="BD183" i="1"/>
  <c r="BD230" i="1" s="1"/>
  <c r="BC238" i="1"/>
  <c r="BC239" i="1" s="1"/>
  <c r="BC242" i="1"/>
  <c r="BC243" i="1" s="1"/>
  <c r="BC219" i="1"/>
  <c r="BC191" i="1"/>
  <c r="BC192" i="1" s="1"/>
  <c r="BC187" i="1"/>
  <c r="BC189" i="1" s="1"/>
  <c r="BC190" i="1" s="1"/>
  <c r="AT194" i="1"/>
  <c r="AT185" i="1" s="1"/>
  <c r="AT186" i="1" s="1"/>
  <c r="BC240" i="1"/>
  <c r="BC241" i="1" s="1"/>
  <c r="BC197" i="1"/>
  <c r="BC231" i="1"/>
  <c r="BF198" i="1"/>
  <c r="AG194" i="1"/>
  <c r="AG185" i="1" s="1"/>
  <c r="AG186" i="1" s="1"/>
  <c r="AF194" i="1"/>
  <c r="AF185" i="1" s="1"/>
  <c r="AF186" i="1" s="1"/>
  <c r="BE194" i="1"/>
  <c r="BD194" i="1"/>
  <c r="BF195" i="1"/>
  <c r="BF196" i="1" s="1"/>
  <c r="BG190" i="1"/>
  <c r="BB194" i="1"/>
  <c r="BB185" i="1" s="1"/>
  <c r="BB186" i="1" s="1"/>
  <c r="AD185" i="1"/>
  <c r="AD186" i="1" s="1"/>
  <c r="BC194" i="1"/>
  <c r="BA195" i="1"/>
  <c r="BA196" i="1" s="1"/>
  <c r="BA194" i="1" s="1"/>
  <c r="AQ193" i="1"/>
  <c r="BG198" i="1"/>
  <c r="AH194" i="1"/>
  <c r="AV195" i="1"/>
  <c r="AV196" i="1" s="1"/>
  <c r="AL195" i="1"/>
  <c r="AL196" i="1" s="1"/>
  <c r="AV193" i="1"/>
  <c r="AQ195" i="1"/>
  <c r="AQ196" i="1" s="1"/>
  <c r="BG192" i="1"/>
  <c r="BG195" i="1"/>
  <c r="BG196" i="1" s="1"/>
  <c r="BG194" i="1" s="1"/>
  <c r="BH206" i="1"/>
  <c r="BF193" i="1" s="1"/>
  <c r="BH205" i="1"/>
  <c r="BH208" i="1"/>
  <c r="AY194" i="1" l="1"/>
  <c r="AY185" i="1" s="1"/>
  <c r="AY186" i="1" s="1"/>
  <c r="BD217" i="1"/>
  <c r="BD221" i="1"/>
  <c r="BC234" i="1"/>
  <c r="AZ194" i="1"/>
  <c r="AZ185" i="1" s="1"/>
  <c r="AZ186" i="1" s="1"/>
  <c r="BD246" i="1"/>
  <c r="BD247" i="1" s="1"/>
  <c r="BD219" i="1"/>
  <c r="BD228" i="1"/>
  <c r="BD232" i="1"/>
  <c r="BD226" i="1"/>
  <c r="BD224" i="1"/>
  <c r="BD191" i="1"/>
  <c r="BD192" i="1" s="1"/>
  <c r="BD185" i="1" s="1"/>
  <c r="BD186" i="1" s="1"/>
  <c r="BD222" i="1"/>
  <c r="BC233" i="1"/>
  <c r="BC251" i="1"/>
  <c r="BC185" i="1"/>
  <c r="BC186" i="1" s="1"/>
  <c r="BD220" i="1"/>
  <c r="BD227" i="1"/>
  <c r="BD218" i="1"/>
  <c r="BD240" i="1"/>
  <c r="BD241" i="1" s="1"/>
  <c r="BD216" i="1"/>
  <c r="BD242" i="1"/>
  <c r="BD243" i="1" s="1"/>
  <c r="BD248" i="1"/>
  <c r="BE183" i="1"/>
  <c r="BE242" i="1" s="1"/>
  <c r="BE243" i="1" s="1"/>
  <c r="BD223" i="1"/>
  <c r="BD229" i="1"/>
  <c r="BD197" i="1"/>
  <c r="BD215" i="1"/>
  <c r="BC250" i="1"/>
  <c r="BD184" i="1"/>
  <c r="BD231" i="1"/>
  <c r="BD244" i="1"/>
  <c r="BD245" i="1" s="1"/>
  <c r="BC188" i="1"/>
  <c r="BD238" i="1"/>
  <c r="BD239" i="1" s="1"/>
  <c r="BD225" i="1"/>
  <c r="BH198" i="1"/>
  <c r="AE193" i="1"/>
  <c r="AE194" i="1" s="1"/>
  <c r="AE185" i="1" s="1"/>
  <c r="AE186" i="1" s="1"/>
  <c r="AV194" i="1"/>
  <c r="AV185" i="1" s="1"/>
  <c r="AV186" i="1" s="1"/>
  <c r="BG185" i="1"/>
  <c r="BG186" i="1" s="1"/>
  <c r="BF194" i="1"/>
  <c r="BD188" i="1"/>
  <c r="BD189" i="1"/>
  <c r="BD190" i="1" s="1"/>
  <c r="AH185" i="1"/>
  <c r="AH186" i="1" s="1"/>
  <c r="AQ194" i="1"/>
  <c r="AQ185" i="1" s="1"/>
  <c r="AQ186" i="1" s="1"/>
  <c r="AL194" i="1"/>
  <c r="AL185" i="1" s="1"/>
  <c r="AL186" i="1" s="1"/>
  <c r="BA185" i="1"/>
  <c r="BA186" i="1" s="1"/>
  <c r="BE227" i="1" l="1"/>
  <c r="BD234" i="1"/>
  <c r="BE225" i="1"/>
  <c r="BE220" i="1"/>
  <c r="BE223" i="1"/>
  <c r="BE222" i="1"/>
  <c r="BE218" i="1"/>
  <c r="BE216" i="1"/>
  <c r="BE217" i="1"/>
  <c r="BE238" i="1"/>
  <c r="BE239" i="1" s="1"/>
  <c r="BE248" i="1"/>
  <c r="BE191" i="1"/>
  <c r="BE192" i="1" s="1"/>
  <c r="BE185" i="1" s="1"/>
  <c r="BE186" i="1" s="1"/>
  <c r="BE184" i="1"/>
  <c r="BE232" i="1"/>
  <c r="BE230" i="1"/>
  <c r="BE240" i="1"/>
  <c r="BE241" i="1" s="1"/>
  <c r="BE228" i="1"/>
  <c r="BE221" i="1"/>
  <c r="BE219" i="1"/>
  <c r="BE244" i="1"/>
  <c r="BE245" i="1" s="1"/>
  <c r="BE246" i="1"/>
  <c r="BE247" i="1" s="1"/>
  <c r="BE231" i="1"/>
  <c r="BE226" i="1"/>
  <c r="BE229" i="1"/>
  <c r="BE224" i="1"/>
  <c r="BD233" i="1"/>
  <c r="BE197" i="1"/>
  <c r="BE215" i="1"/>
  <c r="BD251" i="1"/>
  <c r="BD250" i="1"/>
  <c r="BF240" i="1"/>
  <c r="BF241" i="1" s="1"/>
  <c r="BF238" i="1"/>
  <c r="BF244" i="1"/>
  <c r="BF245" i="1" s="1"/>
  <c r="BF248" i="1"/>
  <c r="BF216" i="1"/>
  <c r="BF218" i="1"/>
  <c r="BF220" i="1"/>
  <c r="BF222" i="1"/>
  <c r="BF224" i="1"/>
  <c r="BF226" i="1"/>
  <c r="BF228" i="1"/>
  <c r="BF230" i="1"/>
  <c r="BF232" i="1"/>
  <c r="BF242" i="1"/>
  <c r="BF243" i="1" s="1"/>
  <c r="BF246" i="1"/>
  <c r="BF247" i="1" s="1"/>
  <c r="BF215" i="1"/>
  <c r="BF217" i="1"/>
  <c r="BF219" i="1"/>
  <c r="BF221" i="1"/>
  <c r="BF223" i="1"/>
  <c r="BF225" i="1"/>
  <c r="BF227" i="1"/>
  <c r="BF229" i="1"/>
  <c r="BF231" i="1"/>
  <c r="BE189" i="1"/>
  <c r="BE190" i="1" s="1"/>
  <c r="BE188" i="1"/>
  <c r="BF197" i="1"/>
  <c r="BF184" i="1"/>
  <c r="BF191" i="1"/>
  <c r="BE234" i="1" l="1"/>
  <c r="BE233" i="1"/>
  <c r="BE251" i="1"/>
  <c r="BE250" i="1"/>
  <c r="BF192" i="1"/>
  <c r="BF185" i="1" s="1"/>
  <c r="BF186" i="1" s="1"/>
  <c r="BF233" i="1"/>
  <c r="BF234" i="1"/>
  <c r="BF188" i="1"/>
  <c r="BF189" i="1"/>
  <c r="BF190" i="1" s="1"/>
  <c r="BF239" i="1"/>
  <c r="BF251" i="1" s="1"/>
  <c r="BF250" i="1"/>
</calcChain>
</file>

<file path=xl/sharedStrings.xml><?xml version="1.0" encoding="utf-8"?>
<sst xmlns="http://schemas.openxmlformats.org/spreadsheetml/2006/main" count="527" uniqueCount="365">
  <si>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</si>
  <si>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</si>
  <si>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</si>
  <si>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</si>
  <si>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</si>
  <si>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</si>
  <si>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</si>
  <si>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</si>
  <si>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</si>
  <si>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</si>
  <si>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</si>
  <si>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</si>
  <si>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</si>
  <si>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</si>
  <si>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</si>
  <si>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</si>
  <si>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</si>
  <si>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</si>
  <si>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</si>
  <si>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</si>
  <si>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</si>
  <si>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</si>
  <si>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</si>
  <si>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</si>
  <si>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</si>
  <si>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</si>
  <si>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</si>
  <si>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</si>
  <si>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</si>
  <si>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</si>
  <si>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</si>
  <si>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</si>
  <si>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</si>
  <si>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</si>
  <si>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</si>
  <si>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</si>
  <si>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</si>
  <si>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</si>
  <si>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</si>
  <si>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</si>
  <si>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</si>
  <si>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</si>
  <si>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</si>
  <si>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</si>
  <si>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</si>
  <si>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</si>
  <si>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</si>
  <si>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</si>
  <si>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</si>
  <si>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</si>
  <si>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</si>
  <si>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</si>
  <si>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</si>
  <si>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</si>
  <si>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</si>
  <si>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</si>
  <si>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</si>
  <si>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</si>
  <si>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</si>
  <si>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</si>
  <si>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</si>
  <si>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</si>
  <si>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</si>
  <si>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</si>
  <si>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</si>
  <si>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</si>
  <si>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</si>
  <si>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</si>
  <si>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</si>
  <si>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</si>
  <si>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</si>
  <si>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</si>
  <si>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</si>
  <si>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</si>
  <si>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</si>
  <si>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</si>
  <si>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</si>
  <si>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</si>
  <si>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</si>
  <si>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</si>
  <si>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</si>
  <si>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</si>
  <si>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</si>
  <si>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</si>
  <si>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</si>
  <si>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</si>
  <si>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</si>
  <si>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</si>
  <si>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</si>
  <si>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</si>
  <si>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</si>
  <si>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</si>
  <si>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</si>
  <si>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</si>
  <si>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</si>
  <si>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</si>
  <si>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</si>
  <si>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</si>
  <si>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</si>
  <si>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</si>
  <si>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</si>
  <si>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</si>
  <si>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</si>
  <si>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</si>
  <si>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</si>
  <si>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</si>
  <si>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</si>
  <si>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</si>
  <si>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</si>
  <si>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</si>
  <si>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</si>
  <si>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</si>
  <si>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</si>
  <si>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</si>
  <si>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</si>
  <si>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</si>
  <si>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</si>
  <si>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</si>
  <si>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</si>
  <si>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</si>
  <si>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</si>
  <si>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</si>
  <si>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</si>
  <si>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</si>
  <si>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</si>
  <si>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</si>
  <si>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</si>
  <si>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</si>
  <si>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</si>
  <si>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</si>
  <si>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</si>
  <si>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</si>
  <si>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</si>
  <si>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</si>
  <si>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</si>
  <si>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</si>
  <si>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</si>
  <si>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</si>
  <si>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</si>
  <si>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</si>
  <si>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</si>
  <si>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</si>
  <si>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</si>
  <si>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</si>
  <si>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</si>
  <si>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</si>
  <si>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</si>
  <si>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</si>
  <si>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</si>
  <si>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</si>
  <si>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</si>
  <si>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</si>
  <si>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</si>
  <si>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</si>
  <si>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</si>
  <si>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</si>
  <si>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</si>
  <si>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</si>
  <si>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</si>
  <si>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</si>
  <si>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</si>
  <si>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</si>
  <si>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</si>
  <si>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</si>
  <si>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</si>
  <si>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</si>
  <si>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</si>
  <si>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</si>
  <si>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</si>
  <si>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</si>
  <si>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</si>
  <si>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</si>
  <si>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</si>
  <si>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</si>
  <si>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</si>
  <si>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</si>
  <si>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</si>
  <si>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</si>
  <si>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</si>
  <si>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</si>
  <si>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</si>
  <si>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</si>
  <si>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</si>
  <si>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</si>
  <si>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</si>
  <si>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</si>
  <si>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</si>
  <si>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</si>
  <si>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</si>
  <si>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</si>
  <si>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</si>
  <si>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</si>
  <si>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</si>
  <si>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</si>
  <si>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</si>
  <si>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</si>
  <si>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</si>
  <si>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</si>
  <si>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</si>
  <si>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</si>
  <si>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</si>
  <si>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</si>
  <si>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</si>
  <si>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</si>
  <si>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</si>
  <si>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</si>
  <si>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</si>
  <si>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</si>
  <si>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</si>
  <si>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</si>
  <si>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</si>
  <si>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Trump predicts that "it’s going to work out fine. I think when we get into April, in the warmer weather, that has a very negative effect on that and that type of a virus."</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</si>
  <si>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</si>
  <si>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</si>
  <si>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</si>
  <si>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</si>
  <si>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</si>
  <si>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First community spread case documented, Trump states "The infection seems to have gone down over the last two days… We’re going to be pretty soon at only five people. And we could be at just one or two people over the next short period of time." and tweets "Low Ratings Fake News MSDNC (Comcast) &amp; @CNN are doing everything possible to make the Caronavirus look as bad as possible, including panicking markets, if possible. Likewise their incompetent Do Nothing Democrat comrades are all talk, no action. USA in great shape!"</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</si>
  <si>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</si>
  <si>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</si>
  <si>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</si>
  <si>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</si>
  <si>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</si>
  <si>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</si>
  <si>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</si>
  <si>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</si>
  <si>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</si>
  <si>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</si>
  <si>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</si>
  <si>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</si>
  <si>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</si>
  <si>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</si>
  <si>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</si>
  <si>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</si>
  <si>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</si>
  <si>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</si>
  <si>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</si>
  <si>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</si>
  <si>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</si>
  <si>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</si>
  <si>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</si>
  <si>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</si>
  <si>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</si>
  <si>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</si>
  <si>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</si>
  <si>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</si>
  <si>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</si>
  <si>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</si>
  <si>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</si>
  <si>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</si>
  <si>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</si>
  <si>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</si>
  <si>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</si>
  <si>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</si>
  <si>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</si>
  <si>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</si>
  <si>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</si>
  <si>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</si>
  <si>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</si>
  <si>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</si>
  <si>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</si>
  <si>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WHO report preliminary Chinese studies suggest no clear evidence of human to human transmission, but stated that it was still a strong possibility</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</si>
  <si>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</si>
  <si>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</si>
  <si>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</si>
  <si>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</si>
  <si>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</si>
  <si>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</si>
  <si>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</si>
  <si>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</si>
  <si>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</si>
  <si>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</si>
  <si>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</si>
  <si>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</si>
  <si>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</si>
  <si>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</si>
  <si>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</si>
  <si>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</si>
  <si>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</si>
  <si>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</si>
  <si>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</si>
  <si>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</si>
  <si>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</si>
  <si>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</si>
  <si>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</si>
  <si>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</si>
  <si>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</si>
  <si>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</si>
  <si>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</si>
  <si>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</si>
  <si>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</si>
  <si>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</si>
  <si>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</si>
  <si>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</si>
  <si>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</si>
  <si>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</si>
  <si>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</si>
  <si>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</si>
  <si>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</si>
  <si>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</si>
  <si>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</si>
  <si>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</si>
  <si>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</si>
  <si>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</si>
  <si>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</si>
  <si>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</si>
  <si>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</si>
  <si>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</si>
  <si>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</si>
  <si>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</si>
  <si>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</si>
  <si>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</si>
  <si>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</si>
  <si>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</si>
  <si>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</si>
  <si>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</si>
  <si>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</si>
  <si>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</si>
  <si>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</si>
  <si>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</si>
  <si>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</si>
  <si>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</si>
  <si>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</si>
  <si>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</si>
  <si>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</si>
  <si>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</si>
  <si>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</si>
  <si>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</si>
  <si>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</si>
  <si>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</si>
  <si>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</si>
  <si>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</si>
  <si>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</si>
  <si>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</si>
  <si>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</si>
  <si>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</si>
  <si>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</si>
  <si>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</si>
  <si>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</si>
  <si>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</si>
  <si>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</si>
  <si>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</si>
  <si>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</si>
  <si>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CDC was to release guidelines for reopening the previous Friday, but WH has now stated that it is to be shelved and will not see the light of day.  However Birx states that "No one has stopped those guidelines.  We're still in editing."</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</si>
  <si>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</si>
  <si>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</si>
  <si>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</si>
  <si>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</si>
  <si>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</si>
  <si>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</si>
  <si>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</si>
  <si>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</si>
  <si>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</si>
  <si>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</si>
  <si>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</si>
  <si>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</si>
  <si>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</si>
  <si>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</si>
  <si>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</si>
  <si>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</si>
  <si>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 xml:space="preserve"> By 16/3 all states had declared a State of Emergency.  States progressively began implementing stay at home orders.  Not all states end up doing so</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</si>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</sst>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00">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3" fontId="9" fillId="8" borderId="14" xfId="0" applyNumberFormat="1" applyFont="1" applyFill="1" applyBorder="1"/>
    <xf numFmtId="3" fontId="9" fillId="2" borderId="14" xfId="0" applyNumberFormat="1" applyFont="1" applyFill="1" applyBorder="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9" fillId="4" borderId="15" xfId="0" applyNumberFormat="1" applyFont="1" applyFill="1" applyBorder="1" applyAlignment="1">
      <alignment horizontal="center"/>
    </xf>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170" fontId="0" fillId="18" borderId="14" xfId="0" applyNumberFormat="1" applyFill="1" applyBorder="1"/>
    <xf numFmtId="171" fontId="0" fillId="18" borderId="4"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0" fontId="0" fillId="2" borderId="0" xfId="0" applyFill="1"/>
    <xf numFmtId="14" fontId="0" fillId="4" borderId="20" xfId="0" applyNumberFormat="1" applyFill="1" applyBorder="1"/>
    <xf numFmtId="14" fontId="0" fillId="15" borderId="21" xfId="0" applyNumberFormat="1" applyFill="1" applyBorder="1"/>
    <xf numFmtId="14" fontId="0" fillId="16" borderId="21" xfId="0" applyNumberFormat="1" applyFill="1" applyBorder="1"/>
    <xf numFmtId="14" fontId="0" fillId="10" borderId="21" xfId="0" applyNumberFormat="1" applyFill="1" applyBorder="1"/>
    <xf numFmtId="14" fontId="0" fillId="4" borderId="21" xfId="0" applyNumberFormat="1" applyFill="1" applyBorder="1"/>
    <xf numFmtId="14" fontId="0" fillId="0" borderId="21" xfId="0" applyNumberFormat="1" applyFill="1" applyBorder="1"/>
    <xf numFmtId="14" fontId="0" fillId="8" borderId="21" xfId="0" applyNumberFormat="1" applyFill="1" applyBorder="1"/>
    <xf numFmtId="171" fontId="11" fillId="0" borderId="7" xfId="0" applyNumberFormat="1" applyFont="1" applyBorder="1"/>
    <xf numFmtId="14" fontId="0" fillId="8" borderId="14" xfId="0" applyNumberFormat="1" applyFill="1" applyBorder="1"/>
    <xf numFmtId="171" fontId="12" fillId="0" borderId="7" xfId="0" applyNumberFormat="1" applyFont="1" applyBorder="1"/>
    <xf numFmtId="14" fontId="0" fillId="8" borderId="22" xfId="0" applyNumberFormat="1" applyFill="1" applyBorder="1"/>
    <xf numFmtId="3" fontId="0" fillId="9" borderId="2" xfId="0" applyNumberFormat="1" applyFill="1" applyBorder="1"/>
    <xf numFmtId="166" fontId="0" fillId="9" borderId="0"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43926.875143634257</c:v>
                </c:pt>
                <c:pt idx="1">
                  <c:v>43929.875143634257</c:v>
                </c:pt>
                <c:pt idx="2">
                  <c:v>43932.875143634257</c:v>
                </c:pt>
                <c:pt idx="3">
                  <c:v>43935.875143634257</c:v>
                </c:pt>
                <c:pt idx="4">
                  <c:v>43938.875143634257</c:v>
                </c:pt>
                <c:pt idx="5">
                  <c:v>43941.875143634257</c:v>
                </c:pt>
                <c:pt idx="6">
                  <c:v>43944.875143634257</c:v>
                </c:pt>
                <c:pt idx="7">
                  <c:v>43947.875143634257</c:v>
                </c:pt>
                <c:pt idx="8">
                  <c:v>43950.875143634257</c:v>
                </c:pt>
                <c:pt idx="9">
                  <c:v>43953.875143634257</c:v>
                </c:pt>
                <c:pt idx="10">
                  <c:v>43956.875143634257</c:v>
                </c:pt>
                <c:pt idx="11">
                  <c:v>43959.875143634257</c:v>
                </c:pt>
                <c:pt idx="12">
                  <c:v>43962.875143634257</c:v>
                </c:pt>
                <c:pt idx="13">
                  <c:v>43965.875143634257</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138.88888888888891</c:v>
                </c:pt>
                <c:pt idx="1">
                  <c:v>277.77777777777783</c:v>
                </c:pt>
                <c:pt idx="2">
                  <c:v>555.55555555555566</c:v>
                </c:pt>
                <c:pt idx="3">
                  <c:v>1111.1111111111113</c:v>
                </c:pt>
                <c:pt idx="4">
                  <c:v>2222.2222222222226</c:v>
                </c:pt>
                <c:pt idx="5">
                  <c:v>4444.4444444444453</c:v>
                </c:pt>
                <c:pt idx="6">
                  <c:v>8888.8888888888905</c:v>
                </c:pt>
                <c:pt idx="7">
                  <c:v>17777.777777777781</c:v>
                </c:pt>
                <c:pt idx="8">
                  <c:v>35555.555555555562</c:v>
                </c:pt>
                <c:pt idx="9">
                  <c:v>71111.111111111124</c:v>
                </c:pt>
                <c:pt idx="10">
                  <c:v>142222.22222222225</c:v>
                </c:pt>
                <c:pt idx="11">
                  <c:v>284444.4444444445</c:v>
                </c:pt>
                <c:pt idx="12">
                  <c:v>568888.88888888899</c:v>
                </c:pt>
                <c:pt idx="13">
                  <c:v>1137777.777777778</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43926.875143634257</c:v>
                </c:pt>
                <c:pt idx="1">
                  <c:v>43929.875143634257</c:v>
                </c:pt>
                <c:pt idx="2">
                  <c:v>43932.875143634257</c:v>
                </c:pt>
                <c:pt idx="3">
                  <c:v>43935.875143634257</c:v>
                </c:pt>
                <c:pt idx="4">
                  <c:v>43938.875143634257</c:v>
                </c:pt>
                <c:pt idx="5">
                  <c:v>43941.875143634257</c:v>
                </c:pt>
                <c:pt idx="6">
                  <c:v>43944.875143634257</c:v>
                </c:pt>
                <c:pt idx="7">
                  <c:v>43947.875143634257</c:v>
                </c:pt>
                <c:pt idx="8">
                  <c:v>43950.875143634257</c:v>
                </c:pt>
                <c:pt idx="9">
                  <c:v>43953.875143634257</c:v>
                </c:pt>
                <c:pt idx="10">
                  <c:v>43956.875143634257</c:v>
                </c:pt>
                <c:pt idx="11">
                  <c:v>43959.875143634257</c:v>
                </c:pt>
                <c:pt idx="12">
                  <c:v>43962.875143634257</c:v>
                </c:pt>
                <c:pt idx="13">
                  <c:v>43965.875143634257</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122.22222222222224</c:v>
                </c:pt>
                <c:pt idx="1">
                  <c:v>244.44444444444449</c:v>
                </c:pt>
                <c:pt idx="2">
                  <c:v>488.88888888888897</c:v>
                </c:pt>
                <c:pt idx="3">
                  <c:v>977.77777777777794</c:v>
                </c:pt>
                <c:pt idx="4">
                  <c:v>1955.5555555555559</c:v>
                </c:pt>
                <c:pt idx="5">
                  <c:v>3911.1111111111118</c:v>
                </c:pt>
                <c:pt idx="6">
                  <c:v>7822.2222222222235</c:v>
                </c:pt>
                <c:pt idx="7">
                  <c:v>15644.444444444447</c:v>
                </c:pt>
                <c:pt idx="8">
                  <c:v>31288.888888888894</c:v>
                </c:pt>
                <c:pt idx="9">
                  <c:v>62577.777777777788</c:v>
                </c:pt>
                <c:pt idx="10">
                  <c:v>125155.55555555558</c:v>
                </c:pt>
                <c:pt idx="11">
                  <c:v>250311.11111111115</c:v>
                </c:pt>
                <c:pt idx="12">
                  <c:v>500622.22222222231</c:v>
                </c:pt>
                <c:pt idx="13">
                  <c:v>1001244.4444444446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43926.875143634257</c:v>
                </c:pt>
                <c:pt idx="1">
                  <c:v>43929.875143634257</c:v>
                </c:pt>
                <c:pt idx="2">
                  <c:v>43932.875143634257</c:v>
                </c:pt>
                <c:pt idx="3">
                  <c:v>43935.875143634257</c:v>
                </c:pt>
                <c:pt idx="4">
                  <c:v>43938.875143634257</c:v>
                </c:pt>
                <c:pt idx="5">
                  <c:v>43941.875143634257</c:v>
                </c:pt>
                <c:pt idx="6">
                  <c:v>43944.875143634257</c:v>
                </c:pt>
                <c:pt idx="7">
                  <c:v>43947.875143634257</c:v>
                </c:pt>
                <c:pt idx="8">
                  <c:v>43950.875143634257</c:v>
                </c:pt>
                <c:pt idx="9">
                  <c:v>43953.875143634257</c:v>
                </c:pt>
                <c:pt idx="10">
                  <c:v>43956.875143634257</c:v>
                </c:pt>
                <c:pt idx="11">
                  <c:v>43959.875143634257</c:v>
                </c:pt>
                <c:pt idx="12">
                  <c:v>43962.875143634257</c:v>
                </c:pt>
                <c:pt idx="13">
                  <c:v>43965.875143634257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16.666666666666668</c:v>
                </c:pt>
                <c:pt idx="4">
                  <c:v>33.333333333333336</c:v>
                </c:pt>
                <c:pt idx="5">
                  <c:v>66.666666666666671</c:v>
                </c:pt>
                <c:pt idx="6">
                  <c:v>133.33333333333334</c:v>
                </c:pt>
                <c:pt idx="7">
                  <c:v>266.66666666666669</c:v>
                </c:pt>
                <c:pt idx="8">
                  <c:v>533.33333333333337</c:v>
                </c:pt>
                <c:pt idx="9">
                  <c:v>1066.6666666666667</c:v>
                </c:pt>
                <c:pt idx="10">
                  <c:v>2133.3333333333335</c:v>
                </c:pt>
                <c:pt idx="11">
                  <c:v>4266.666666666667</c:v>
                </c:pt>
                <c:pt idx="12">
                  <c:v>8533.3333333333339</c:v>
                </c:pt>
                <c:pt idx="13">
                  <c:v>17066.666666666668</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Projections!$A$183</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Projections!$P$182:$BG$182</c15:sqref>
                  </c15:fullRef>
                </c:ext>
              </c:extLst>
              <c:f>Projections!$P$182:$AL$182</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numCache>
            </c:numRef>
          </c:cat>
          <c:val>
            <c:numRef>
              <c:extLst>
                <c:ext xmlns:c15="http://schemas.microsoft.com/office/drawing/2012/chart" uri="{02D57815-91ED-43cb-92C2-25804820EDAC}">
                  <c15:fullRef>
                    <c15:sqref>Projections!$P$183:$BG$183</c15:sqref>
                  </c15:fullRef>
                </c:ext>
              </c:extLst>
              <c:f>Projections!$P$183:$AL$183</c:f>
              <c:numCache>
                <c:formatCode>#,##0_ ;[Red]\-#,##0\ </c:formatCode>
                <c:ptCount val="2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1280000</c:v>
                </c:pt>
                <c:pt idx="20">
                  <c:v>1536000</c:v>
                </c:pt>
                <c:pt idx="21">
                  <c:v>1792000</c:v>
                </c:pt>
                <c:pt idx="22">
                  <c:v>2048000</c:v>
                </c:pt>
              </c:numCache>
            </c:numRef>
          </c:val>
          <c:smooth val="0"/>
          <c:extLst>
            <c:ext xmlns:c16="http://schemas.microsoft.com/office/drawing/2014/chart" uri="{C3380CC4-5D6E-409C-BE32-E72D297353CC}">
              <c16:uniqueId val="{00000004-8BCC-427B-903C-670C749E04E9}"/>
            </c:ext>
          </c:extLst>
        </c:ser>
        <c:ser>
          <c:idx val="1"/>
          <c:order val="1"/>
          <c:tx>
            <c:strRef>
              <c:f>Projections!$A$207</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Projections!$P$182:$BG$182</c15:sqref>
                  </c15:fullRef>
                </c:ext>
              </c:extLst>
              <c:f>Projections!$P$182:$AL$182</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numCache>
            </c:numRef>
          </c:cat>
          <c:val>
            <c:numRef>
              <c:extLst>
                <c:ext xmlns:c15="http://schemas.microsoft.com/office/drawing/2012/chart" uri="{02D57815-91ED-43cb-92C2-25804820EDAC}">
                  <c15:fullRef>
                    <c15:sqref>Projections!$P$207:$BG$207</c15:sqref>
                  </c15:fullRef>
                </c:ext>
              </c:extLst>
              <c:f>Projections!$P$207:$AL$207</c:f>
              <c:numCache>
                <c:formatCode>General</c:formatCode>
                <c:ptCount val="2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1536000</c:v>
                </c:pt>
                <c:pt idx="21" formatCode="#,##0">
                  <c:v>1792000</c:v>
                </c:pt>
                <c:pt idx="22" formatCode="#,##0">
                  <c:v>2048000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Projections!$A$197</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Projections!$P$182:$BG$182</c15:sqref>
                  </c15:fullRef>
                </c:ext>
              </c:extLst>
              <c:f>Projections!$P$182:$AL$182</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numCache>
            </c:numRef>
          </c:cat>
          <c:val>
            <c:numRef>
              <c:extLst>
                <c:ext xmlns:c15="http://schemas.microsoft.com/office/drawing/2012/chart" uri="{02D57815-91ED-43cb-92C2-25804820EDAC}">
                  <c15:fullRef>
                    <c15:sqref>Projections!$P$197:$BG$197</c15:sqref>
                  </c15:fullRef>
                </c:ext>
              </c:extLst>
              <c:f>Projections!$P$197:$AL$197</c:f>
              <c:numCache>
                <c:formatCode>#,##0_ ;[Red]\-#,##0\ </c:formatCode>
                <c:ptCount val="23"/>
                <c:pt idx="0">
                  <c:v>1.875</c:v>
                </c:pt>
                <c:pt idx="1">
                  <c:v>3.75</c:v>
                </c:pt>
                <c:pt idx="2">
                  <c:v>7.5</c:v>
                </c:pt>
                <c:pt idx="3">
                  <c:v>15</c:v>
                </c:pt>
                <c:pt idx="4">
                  <c:v>30</c:v>
                </c:pt>
                <c:pt idx="5">
                  <c:v>60</c:v>
                </c:pt>
                <c:pt idx="6">
                  <c:v>120</c:v>
                </c:pt>
                <c:pt idx="7">
                  <c:v>240</c:v>
                </c:pt>
                <c:pt idx="8">
                  <c:v>480</c:v>
                </c:pt>
                <c:pt idx="9">
                  <c:v>960</c:v>
                </c:pt>
                <c:pt idx="10">
                  <c:v>1920</c:v>
                </c:pt>
                <c:pt idx="11">
                  <c:v>3840</c:v>
                </c:pt>
                <c:pt idx="12">
                  <c:v>7680</c:v>
                </c:pt>
                <c:pt idx="13">
                  <c:v>15360</c:v>
                </c:pt>
                <c:pt idx="14">
                  <c:v>30720</c:v>
                </c:pt>
                <c:pt idx="15">
                  <c:v>38400</c:v>
                </c:pt>
                <c:pt idx="16">
                  <c:v>46080</c:v>
                </c:pt>
                <c:pt idx="17">
                  <c:v>53760</c:v>
                </c:pt>
                <c:pt idx="18">
                  <c:v>61440</c:v>
                </c:pt>
                <c:pt idx="19">
                  <c:v>76800</c:v>
                </c:pt>
                <c:pt idx="20">
                  <c:v>92160</c:v>
                </c:pt>
                <c:pt idx="21">
                  <c:v>107520</c:v>
                </c:pt>
                <c:pt idx="22">
                  <c:v>122880</c:v>
                </c:pt>
              </c:numCache>
            </c:numRef>
          </c:val>
          <c:smooth val="0"/>
          <c:extLst>
            <c:ext xmlns:c16="http://schemas.microsoft.com/office/drawing/2014/chart" uri="{C3380CC4-5D6E-409C-BE32-E72D297353CC}">
              <c16:uniqueId val="{00000000-50BE-40C1-B679-81AF0BCE3FCD}"/>
            </c:ext>
          </c:extLst>
        </c:ser>
        <c:ser>
          <c:idx val="1"/>
          <c:order val="1"/>
          <c:tx>
            <c:strRef>
              <c:f>Projections!$A$211</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Projections!$P$182:$BG$182</c15:sqref>
                  </c15:fullRef>
                </c:ext>
              </c:extLst>
              <c:f>Projections!$P$182:$AL$182</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numCache>
            </c:numRef>
          </c:cat>
          <c:val>
            <c:numRef>
              <c:extLst>
                <c:ext xmlns:c15="http://schemas.microsoft.com/office/drawing/2012/chart" uri="{02D57815-91ED-43cb-92C2-25804820EDAC}">
                  <c15:fullRef>
                    <c15:sqref>Projections!$P$211:$BG$211</c15:sqref>
                  </c15:fullRef>
                </c:ext>
              </c:extLst>
              <c:f>Projections!$P$211:$AL$211</c:f>
              <c:numCache>
                <c:formatCode>General</c:formatCode>
                <c:ptCount val="2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86912</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Projections!$A$193</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Projections!$P$193:$BG$193</c15:sqref>
                  </c15:fullRef>
                </c:ext>
              </c:extLst>
              <c:f>Projections!$P$193:$AQ$193</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283775.83306500048</c:v>
                </c:pt>
                <c:pt idx="20">
                  <c:v>391401.10225493676</c:v>
                </c:pt>
                <c:pt idx="21">
                  <c:v>557169.23215059924</c:v>
                </c:pt>
                <c:pt idx="22">
                  <c:v>342924.73002205521</c:v>
                </c:pt>
                <c:pt idx="23">
                  <c:v>665287.8662262687</c:v>
                </c:pt>
                <c:pt idx="24">
                  <c:v>608534.02120355377</c:v>
                </c:pt>
                <c:pt idx="25">
                  <c:v>742149.61727864842</c:v>
                </c:pt>
                <c:pt idx="26">
                  <c:v>845586.46744864958</c:v>
                </c:pt>
                <c:pt idx="27">
                  <c:v>952081.11966056121</c:v>
                </c:pt>
              </c:numCache>
            </c:numRef>
          </c:val>
          <c:smooth val="0"/>
          <c:extLst>
            <c:ext xmlns:c16="http://schemas.microsoft.com/office/drawing/2014/chart" uri="{C3380CC4-5D6E-409C-BE32-E72D297353CC}">
              <c16:uniqueId val="{00000000-A3C2-4B4C-996C-CDB1A252886F}"/>
            </c:ext>
          </c:extLst>
        </c:ser>
        <c:ser>
          <c:idx val="2"/>
          <c:order val="1"/>
          <c:tx>
            <c:strRef>
              <c:f>Projections!$A$194</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Projections!$P$194:$BG$194</c15:sqref>
                  </c15:fullRef>
                </c:ext>
              </c:extLst>
              <c:f>Projections!$P$194:$AQ$194</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242961.87404959198</c:v>
                </c:pt>
                <c:pt idx="20">
                  <c:v>204479.8212995049</c:v>
                </c:pt>
                <c:pt idx="21">
                  <c:v>235648.55902647899</c:v>
                </c:pt>
                <c:pt idx="22">
                  <c:v>103817.2106019966</c:v>
                </c:pt>
                <c:pt idx="23">
                  <c:v>470027.63490696007</c:v>
                </c:pt>
                <c:pt idx="24">
                  <c:v>13855.127680487989</c:v>
                </c:pt>
                <c:pt idx="25">
                  <c:v>211067.13758120735</c:v>
                </c:pt>
                <c:pt idx="26">
                  <c:v>0</c:v>
                </c:pt>
                <c:pt idx="27">
                  <c:v>120400.38882585507</c:v>
                </c:pt>
              </c:numCache>
            </c:numRef>
          </c:val>
          <c:smooth val="0"/>
          <c:extLst>
            <c:ext xmlns:c16="http://schemas.microsoft.com/office/drawing/2014/chart" uri="{C3380CC4-5D6E-409C-BE32-E72D297353CC}">
              <c16:uniqueId val="{00000001-A3C2-4B4C-996C-CDB1A252886F}"/>
            </c:ext>
          </c:extLst>
        </c:ser>
        <c:ser>
          <c:idx val="0"/>
          <c:order val="2"/>
          <c:tx>
            <c:strRef>
              <c:f>Projections!$A$195</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Projections!$P$195:$BG$195</c15:sqref>
                  </c15:fullRef>
                </c:ext>
              </c:extLst>
              <c:f>Projections!$P$195:$AQ$195</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41149.616953211123</c:v>
                </c:pt>
                <c:pt idx="20">
                  <c:v>143560.79446847865</c:v>
                </c:pt>
                <c:pt idx="21">
                  <c:v>213818.6361690232</c:v>
                </c:pt>
                <c:pt idx="22">
                  <c:v>168310.71475351235</c:v>
                </c:pt>
                <c:pt idx="23">
                  <c:v>181510.39218532681</c:v>
                </c:pt>
                <c:pt idx="24">
                  <c:v>335250.99708197563</c:v>
                </c:pt>
                <c:pt idx="25">
                  <c:v>284279.88501626055</c:v>
                </c:pt>
                <c:pt idx="26">
                  <c:v>330492.71124494524</c:v>
                </c:pt>
                <c:pt idx="27">
                  <c:v>361056.91060199292</c:v>
                </c:pt>
              </c:numCache>
            </c:numRef>
          </c:val>
          <c:smooth val="0"/>
          <c:extLst>
            <c:ext xmlns:c16="http://schemas.microsoft.com/office/drawing/2014/chart" uri="{C3380CC4-5D6E-409C-BE32-E72D297353CC}">
              <c16:uniqueId val="{00000002-A3C2-4B4C-996C-CDB1A252886F}"/>
            </c:ext>
          </c:extLst>
        </c:ser>
        <c:ser>
          <c:idx val="4"/>
          <c:order val="3"/>
          <c:tx>
            <c:strRef>
              <c:f>Projections!$A$196</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Projections!$P$196:$BG$196</c15:sqref>
                  </c15:fullRef>
                </c:ext>
              </c:extLst>
              <c:f>Projections!$P$196:$AQ$196</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29360.355102132755</c:v>
                </c:pt>
                <c:pt idx="20">
                  <c:v>104969.69863455679</c:v>
                </c:pt>
                <c:pt idx="21">
                  <c:v>178872.55865173941</c:v>
                </c:pt>
                <c:pt idx="22">
                  <c:v>121715.19252473969</c:v>
                </c:pt>
                <c:pt idx="23">
                  <c:v>0</c:v>
                </c:pt>
                <c:pt idx="24">
                  <c:v>256232.39008005214</c:v>
                </c:pt>
                <c:pt idx="25">
                  <c:v>150473.53169511273</c:v>
                </c:pt>
                <c:pt idx="26">
                  <c:v>204203.72976794056</c:v>
                </c:pt>
                <c:pt idx="27">
                  <c:v>203957.27579973071</c:v>
                </c:pt>
              </c:numCache>
            </c:numRef>
          </c:val>
          <c:smooth val="0"/>
          <c:extLst>
            <c:ext xmlns:c16="http://schemas.microsoft.com/office/drawing/2014/chart" uri="{C3380CC4-5D6E-409C-BE32-E72D297353CC}">
              <c16:uniqueId val="{00000003-A3C2-4B4C-996C-CDB1A252886F}"/>
            </c:ext>
          </c:extLst>
        </c:ser>
        <c:ser>
          <c:idx val="1"/>
          <c:order val="4"/>
          <c:tx>
            <c:strRef>
              <c:f>Projections!$A$197</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Projections!$P$197:$BG$197</c15:sqref>
                  </c15:fullRef>
                </c:ext>
              </c:extLst>
              <c:f>Projections!$P$197:$AQ$197</c:f>
              <c:numCache>
                <c:formatCode>#,##0_ ;[Red]\-#,##0\ </c:formatCode>
                <c:ptCount val="28"/>
                <c:pt idx="0">
                  <c:v>1.875</c:v>
                </c:pt>
                <c:pt idx="1">
                  <c:v>3.75</c:v>
                </c:pt>
                <c:pt idx="2">
                  <c:v>7.5</c:v>
                </c:pt>
                <c:pt idx="3">
                  <c:v>15</c:v>
                </c:pt>
                <c:pt idx="4">
                  <c:v>30</c:v>
                </c:pt>
                <c:pt idx="5">
                  <c:v>60</c:v>
                </c:pt>
                <c:pt idx="6">
                  <c:v>120</c:v>
                </c:pt>
                <c:pt idx="7">
                  <c:v>240</c:v>
                </c:pt>
                <c:pt idx="8">
                  <c:v>480</c:v>
                </c:pt>
                <c:pt idx="9">
                  <c:v>960</c:v>
                </c:pt>
                <c:pt idx="10">
                  <c:v>1920</c:v>
                </c:pt>
                <c:pt idx="11">
                  <c:v>3840</c:v>
                </c:pt>
                <c:pt idx="12">
                  <c:v>7680</c:v>
                </c:pt>
                <c:pt idx="13">
                  <c:v>15360</c:v>
                </c:pt>
                <c:pt idx="14">
                  <c:v>30720</c:v>
                </c:pt>
                <c:pt idx="15">
                  <c:v>38400</c:v>
                </c:pt>
                <c:pt idx="16">
                  <c:v>46080</c:v>
                </c:pt>
                <c:pt idx="17">
                  <c:v>53760</c:v>
                </c:pt>
                <c:pt idx="18">
                  <c:v>61440</c:v>
                </c:pt>
                <c:pt idx="19">
                  <c:v>76800</c:v>
                </c:pt>
                <c:pt idx="20">
                  <c:v>92160</c:v>
                </c:pt>
                <c:pt idx="21">
                  <c:v>107520</c:v>
                </c:pt>
                <c:pt idx="22">
                  <c:v>122880</c:v>
                </c:pt>
                <c:pt idx="23">
                  <c:v>147456</c:v>
                </c:pt>
                <c:pt idx="24">
                  <c:v>172032</c:v>
                </c:pt>
                <c:pt idx="25">
                  <c:v>196608</c:v>
                </c:pt>
                <c:pt idx="26">
                  <c:v>221184</c:v>
                </c:pt>
                <c:pt idx="27">
                  <c:v>245760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Projections!$A$215</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Projections!$P$215:$BG$215</c15:sqref>
                  </c15:fullRef>
                </c:ext>
              </c:extLst>
              <c:f>Projections!$P$215:$AQ$215</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7972-43AB-83E8-C2C99B4277B0}"/>
            </c:ext>
          </c:extLst>
        </c:ser>
        <c:ser>
          <c:idx val="2"/>
          <c:order val="1"/>
          <c:tx>
            <c:strRef>
              <c:f>Projections!$A$217</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Projections!$P$217:$BG$217</c15:sqref>
                  </c15:fullRef>
                </c:ext>
              </c:extLst>
              <c:f>Projections!$P$217:$AQ$217</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136462.99946246191</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1-7972-43AB-83E8-C2C99B4277B0}"/>
            </c:ext>
          </c:extLst>
        </c:ser>
        <c:ser>
          <c:idx val="4"/>
          <c:order val="2"/>
          <c:tx>
            <c:strRef>
              <c:f>Projections!$A$219</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Projections!$P$219:$BG$219</c15:sqref>
                  </c15:fullRef>
                </c:ext>
              </c:extLst>
              <c:f>Projections!$P$219:$AQ$219</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214212.50671922593</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2-7972-43AB-83E8-C2C99B4277B0}"/>
            </c:ext>
          </c:extLst>
        </c:ser>
        <c:ser>
          <c:idx val="6"/>
          <c:order val="3"/>
          <c:tx>
            <c:strRef>
              <c:f>Projections!$A$221</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Projections!$P$221:$BG$221</c15:sqref>
                  </c15:fullRef>
                </c:ext>
              </c:extLst>
              <c:f>Projections!$P$221:$AQ$221</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198846.08493101594</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3-7972-43AB-83E8-C2C99B4277B0}"/>
            </c:ext>
          </c:extLst>
        </c:ser>
        <c:ser>
          <c:idx val="8"/>
          <c:order val="4"/>
          <c:tx>
            <c:strRef>
              <c:f>Projections!$A$223</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Projections!$P$223:$BG$223</c15:sqref>
                  </c15:fullRef>
                </c:ext>
              </c:extLst>
              <c:f>Projections!$P$223:$AQ$223</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166049.09514423937</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4-7972-43AB-83E8-C2C99B4277B0}"/>
            </c:ext>
          </c:extLst>
        </c:ser>
        <c:ser>
          <c:idx val="10"/>
          <c:order val="5"/>
          <c:tx>
            <c:strRef>
              <c:f>Projections!$A$225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Projections!$P$225:$BG$225</c15:sqref>
                  </c15:fullRef>
                </c:ext>
              </c:extLst>
              <c:f>Projections!$P$225:$AQ$225</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201368.93029922951</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5-7972-43AB-83E8-C2C99B4277B0}"/>
            </c:ext>
          </c:extLst>
        </c:ser>
        <c:ser>
          <c:idx val="12"/>
          <c:order val="6"/>
          <c:tx>
            <c:strRef>
              <c:f>Projections!$A$227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Projections!$P$227:$BG$227</c15:sqref>
                  </c15:fullRef>
                </c:ext>
              </c:extLst>
              <c:f>Projections!$P$227:$AQ$227</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276595.59218777996</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6-7972-43AB-83E8-C2C99B4277B0}"/>
            </c:ext>
          </c:extLst>
        </c:ser>
        <c:ser>
          <c:idx val="14"/>
          <c:order val="7"/>
          <c:tx>
            <c:strRef>
              <c:f>Projections!$A$229</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Projections!$P$229:$BG$229</c15:sqref>
                  </c15:fullRef>
                </c:ext>
              </c:extLst>
              <c:f>Projections!$P$229:$AQ$229</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7-7972-43AB-83E8-C2C99B4277B0}"/>
            </c:ext>
          </c:extLst>
        </c:ser>
        <c:ser>
          <c:idx val="16"/>
          <c:order val="8"/>
          <c:tx>
            <c:strRef>
              <c:f>Projections!$A$231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Projections!$P$231:$BG$231</c15:sqref>
                  </c15:fullRef>
                </c:ext>
              </c:extLst>
              <c:f>Projections!$P$231:$AQ$231</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12614.226841067908</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Projections!$A$215</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Projections!$P$216:$BG$216</c15:sqref>
                  </c15:fullRef>
                </c:ext>
              </c:extLst>
              <c:f>Projections!$P$216:$AQ$216</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5464.9417667084754</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0-FE50-482D-905D-7C3B099138E4}"/>
            </c:ext>
          </c:extLst>
        </c:ser>
        <c:ser>
          <c:idx val="3"/>
          <c:order val="1"/>
          <c:tx>
            <c:strRef>
              <c:f>Projections!$A$217</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Projections!$P$218:$BG$218</c15:sqref>
                  </c15:fullRef>
                </c:ext>
              </c:extLst>
              <c:f>Projections!$P$218:$AQ$218</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10917.039956996954</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1-FE50-482D-905D-7C3B099138E4}"/>
            </c:ext>
          </c:extLst>
        </c:ser>
        <c:ser>
          <c:idx val="5"/>
          <c:order val="2"/>
          <c:tx>
            <c:strRef>
              <c:f>Projections!$A$219</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Projections!$P$220:$BG$220</c15:sqref>
                  </c15:fullRef>
                </c:ext>
              </c:extLst>
              <c:f>Projections!$P$220:$AQ$220</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7711.6502418921327</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2-FE50-482D-905D-7C3B099138E4}"/>
            </c:ext>
          </c:extLst>
        </c:ser>
        <c:ser>
          <c:idx val="7"/>
          <c:order val="3"/>
          <c:tx>
            <c:strRef>
              <c:f>Projections!$A$221</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Projections!$P$222:$BG$222</c15:sqref>
                  </c15:fullRef>
                </c:ext>
              </c:extLst>
              <c:f>Projections!$P$222:$AQ$222</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2584.9991041032072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3-FE50-482D-905D-7C3B099138E4}"/>
            </c:ext>
          </c:extLst>
        </c:ser>
        <c:ser>
          <c:idx val="9"/>
          <c:order val="4"/>
          <c:tx>
            <c:strRef>
              <c:f>Projections!$A$223</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Projections!$P$224:$BG$224</c15:sqref>
                  </c15:fullRef>
                </c:ext>
              </c:extLst>
              <c:f>Projections!$P$224:$AQ$224</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664.19638057695749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4-FE50-482D-905D-7C3B099138E4}"/>
            </c:ext>
          </c:extLst>
        </c:ser>
        <c:ser>
          <c:idx val="11"/>
          <c:order val="5"/>
          <c:tx>
            <c:strRef>
              <c:f>Projections!$A$225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Projections!$P$226:$BG$226</c15:sqref>
                  </c15:fullRef>
                </c:ext>
              </c:extLst>
              <c:f>Projections!$P$226:$AQ$226</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402.73786059845901</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5-FE50-482D-905D-7C3B099138E4}"/>
            </c:ext>
          </c:extLst>
        </c:ser>
        <c:ser>
          <c:idx val="13"/>
          <c:order val="6"/>
          <c:tx>
            <c:strRef>
              <c:f>Projections!$A$227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Projections!$P$228:$BG$228</c15:sqref>
                  </c15:fullRef>
                </c:ext>
              </c:extLst>
              <c:f>Projections!$P$228:$AQ$228</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553.19118437555994</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6-FE50-482D-905D-7C3B099138E4}"/>
            </c:ext>
          </c:extLst>
        </c:ser>
        <c:ser>
          <c:idx val="15"/>
          <c:order val="7"/>
          <c:tx>
            <c:strRef>
              <c:f>Projections!$A$229</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Projections!$P$230:$BG$230</c15:sqref>
                  </c15:fullRef>
                </c:ext>
              </c:extLst>
              <c:f>Projections!$P$230:$AQ$230</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73.850564414979402</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7-FE50-482D-905D-7C3B099138E4}"/>
            </c:ext>
          </c:extLst>
        </c:ser>
        <c:ser>
          <c:idx val="17"/>
          <c:order val="8"/>
          <c:tx>
            <c:strRef>
              <c:f>Projections!$A$231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Projections!$P$232:$BG$232</c15:sqref>
                  </c15:fullRef>
                </c:ext>
              </c:extLst>
              <c:f>Projections!$P$232:$AQ$232</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Projections!$A$244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Projections!$P$244:$BG$244</c15:sqref>
                  </c15:fullRef>
                </c:ext>
              </c:extLst>
              <c:f>Projections!$P$244:$AQ$244</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588800</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00-C5BA-4495-93D4-AC4CA8674604}"/>
            </c:ext>
          </c:extLst>
        </c:ser>
        <c:ser>
          <c:idx val="4"/>
          <c:order val="1"/>
          <c:tx>
            <c:strRef>
              <c:f>Projections!$A$242</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Projections!$P$242:$BG$242</c15:sqref>
                  </c15:fullRef>
                </c:ext>
              </c:extLst>
              <c:f>Projections!$P$242:$AQ$242</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171520</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01-C5BA-4495-93D4-AC4CA8674604}"/>
            </c:ext>
          </c:extLst>
        </c:ser>
        <c:ser>
          <c:idx val="10"/>
          <c:order val="2"/>
          <c:tx>
            <c:strRef>
              <c:f>Projections!$A$248</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Projections!$P$248:$BG$248</c15:sqref>
                  </c15:fullRef>
                </c:ext>
              </c:extLst>
              <c:f>Projections!$P$248:$AQ$248</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198400</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02-C5BA-4495-93D4-AC4CA8674604}"/>
            </c:ext>
          </c:extLst>
        </c:ser>
        <c:ser>
          <c:idx val="0"/>
          <c:order val="3"/>
          <c:tx>
            <c:strRef>
              <c:f>Projections!$A$238</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Projections!$P$238:$BG$238</c15:sqref>
                  </c15:fullRef>
                </c:ext>
              </c:extLst>
              <c:f>Projections!$P$238:$AQ$238</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471040</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03-C5BA-4495-93D4-AC4CA8674604}"/>
            </c:ext>
          </c:extLst>
        </c:ser>
        <c:ser>
          <c:idx val="2"/>
          <c:order val="4"/>
          <c:tx>
            <c:strRef>
              <c:f>Projections!$A$240</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Projections!$P$240:$BG$240</c15:sqref>
                  </c15:fullRef>
                </c:ext>
              </c:extLst>
              <c:f>Projections!$P$240:$AQ$240</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125440</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04-C5BA-4495-93D4-AC4CA8674604}"/>
            </c:ext>
          </c:extLst>
        </c:ser>
        <c:ser>
          <c:idx val="8"/>
          <c:order val="5"/>
          <c:tx>
            <c:strRef>
              <c:f>Projections!$A$246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Projections!$P$246:$BG$246</c15:sqref>
                  </c15:fullRef>
                </c:ext>
              </c:extLst>
              <c:f>Projections!$P$246:$AQ$246</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5619.2</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Projections!$A$244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Projections!$P$245:$BG$245</c15:sqref>
                  </c15:fullRef>
                </c:ext>
              </c:extLst>
              <c:f>Projections!$P$245:$AQ$245</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35328</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0-5E66-4AF0-A3CA-7CF12153AA8E}"/>
            </c:ext>
          </c:extLst>
        </c:ser>
        <c:ser>
          <c:idx val="5"/>
          <c:order val="1"/>
          <c:tx>
            <c:strRef>
              <c:f>Projections!$A$242</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Projections!$P$243:$BG$243</c15:sqref>
                  </c15:fullRef>
                </c:ext>
              </c:extLst>
              <c:f>Projections!$P$243:$AQ$243</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10805.76</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1-5E66-4AF0-A3CA-7CF12153AA8E}"/>
            </c:ext>
          </c:extLst>
        </c:ser>
        <c:ser>
          <c:idx val="1"/>
          <c:order val="2"/>
          <c:tx>
            <c:strRef>
              <c:f>Projections!$A$238</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Projections!$P$239:$BG$239</c15:sqref>
                  </c15:fullRef>
                </c:ext>
              </c:extLst>
              <c:f>Projections!$P$239:$AQ$239</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49459.199999999997</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2-5E66-4AF0-A3CA-7CF12153AA8E}"/>
            </c:ext>
          </c:extLst>
        </c:ser>
        <c:ser>
          <c:idx val="3"/>
          <c:order val="3"/>
          <c:tx>
            <c:strRef>
              <c:f>Projections!$A$240</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Projections!$P$241:$BG$241</c15:sqref>
                  </c15:fullRef>
                </c:ext>
              </c:extLst>
              <c:f>Projections!$P$241:$AQ$241</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9157.119999999999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5E66-4AF0-A3CA-7CF12153AA8E}"/>
            </c:ext>
          </c:extLst>
        </c:ser>
        <c:ser>
          <c:idx val="9"/>
          <c:order val="4"/>
          <c:tx>
            <c:strRef>
              <c:f>Projections!$A$246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Projections!$P$247:$BG$247</c15:sqref>
                  </c15:fullRef>
                </c:ext>
              </c:extLst>
              <c:f>Projections!$P$247:$AQ$247</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314.67520000000002</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Projections!$A$183</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Projections!$P$182:$BG$182</c15:sqref>
                  </c15:fullRef>
                </c:ext>
              </c:extLst>
              <c:f>Projections!$P$182:$AL$182</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numCache>
            </c:numRef>
          </c:cat>
          <c:val>
            <c:numRef>
              <c:extLst>
                <c:ext xmlns:c15="http://schemas.microsoft.com/office/drawing/2012/chart" uri="{02D57815-91ED-43cb-92C2-25804820EDAC}">
                  <c15:fullRef>
                    <c15:sqref>Projections!$P$183:$BG$183</c15:sqref>
                  </c15:fullRef>
                </c:ext>
              </c:extLst>
              <c:f>Projections!$P$183:$AL$183</c:f>
              <c:numCache>
                <c:formatCode>#,##0_ ;[Red]\-#,##0\ </c:formatCode>
                <c:ptCount val="2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1280000</c:v>
                </c:pt>
                <c:pt idx="20">
                  <c:v>1536000</c:v>
                </c:pt>
                <c:pt idx="21">
                  <c:v>1792000</c:v>
                </c:pt>
                <c:pt idx="22">
                  <c:v>2048000</c:v>
                </c:pt>
              </c:numCache>
            </c:numRef>
          </c:val>
          <c:smooth val="0"/>
          <c:extLst>
            <c:ext xmlns:c16="http://schemas.microsoft.com/office/drawing/2014/chart" uri="{C3380CC4-5D6E-409C-BE32-E72D297353CC}">
              <c16:uniqueId val="{00000000-9DE3-43B6-B60B-9B4AA4851702}"/>
            </c:ext>
          </c:extLst>
        </c:ser>
        <c:ser>
          <c:idx val="1"/>
          <c:order val="1"/>
          <c:tx>
            <c:strRef>
              <c:f>Projections!$A$207</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Projections!$P$182:$BG$182</c15:sqref>
                  </c15:fullRef>
                </c:ext>
              </c:extLst>
              <c:f>Projections!$P$182:$AL$182</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numCache>
            </c:numRef>
          </c:cat>
          <c:val>
            <c:numRef>
              <c:extLst>
                <c:ext xmlns:c15="http://schemas.microsoft.com/office/drawing/2012/chart" uri="{02D57815-91ED-43cb-92C2-25804820EDAC}">
                  <c15:fullRef>
                    <c15:sqref>Projections!$P$207:$BG$207</c15:sqref>
                  </c15:fullRef>
                </c:ext>
              </c:extLst>
              <c:f>Projections!$P$207:$AL$207</c:f>
              <c:numCache>
                <c:formatCode>General</c:formatCode>
                <c:ptCount val="2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1536000</c:v>
                </c:pt>
                <c:pt idx="21" formatCode="#,##0">
                  <c:v>1792000</c:v>
                </c:pt>
                <c:pt idx="22" formatCode="#,##0">
                  <c:v>2048000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Projections!$A$197</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Projections!$P$182:$BG$182</c15:sqref>
                  </c15:fullRef>
                </c:ext>
              </c:extLst>
              <c:f>Projections!$P$182:$AL$182</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numCache>
            </c:numRef>
          </c:cat>
          <c:val>
            <c:numRef>
              <c:extLst>
                <c:ext xmlns:c15="http://schemas.microsoft.com/office/drawing/2012/chart" uri="{02D57815-91ED-43cb-92C2-25804820EDAC}">
                  <c15:fullRef>
                    <c15:sqref>Projections!$P$197:$BG$197</c15:sqref>
                  </c15:fullRef>
                </c:ext>
              </c:extLst>
              <c:f>Projections!$P$197:$AL$197</c:f>
              <c:numCache>
                <c:formatCode>#,##0_ ;[Red]\-#,##0\ </c:formatCode>
                <c:ptCount val="23"/>
                <c:pt idx="0">
                  <c:v>1.875</c:v>
                </c:pt>
                <c:pt idx="1">
                  <c:v>3.75</c:v>
                </c:pt>
                <c:pt idx="2">
                  <c:v>7.5</c:v>
                </c:pt>
                <c:pt idx="3">
                  <c:v>15</c:v>
                </c:pt>
                <c:pt idx="4">
                  <c:v>30</c:v>
                </c:pt>
                <c:pt idx="5">
                  <c:v>60</c:v>
                </c:pt>
                <c:pt idx="6">
                  <c:v>120</c:v>
                </c:pt>
                <c:pt idx="7">
                  <c:v>240</c:v>
                </c:pt>
                <c:pt idx="8">
                  <c:v>480</c:v>
                </c:pt>
                <c:pt idx="9">
                  <c:v>960</c:v>
                </c:pt>
                <c:pt idx="10">
                  <c:v>1920</c:v>
                </c:pt>
                <c:pt idx="11">
                  <c:v>3840</c:v>
                </c:pt>
                <c:pt idx="12">
                  <c:v>7680</c:v>
                </c:pt>
                <c:pt idx="13">
                  <c:v>15360</c:v>
                </c:pt>
                <c:pt idx="14">
                  <c:v>30720</c:v>
                </c:pt>
                <c:pt idx="15">
                  <c:v>38400</c:v>
                </c:pt>
                <c:pt idx="16">
                  <c:v>46080</c:v>
                </c:pt>
                <c:pt idx="17">
                  <c:v>53760</c:v>
                </c:pt>
                <c:pt idx="18">
                  <c:v>61440</c:v>
                </c:pt>
                <c:pt idx="19">
                  <c:v>76800</c:v>
                </c:pt>
                <c:pt idx="20">
                  <c:v>92160</c:v>
                </c:pt>
                <c:pt idx="21">
                  <c:v>107520</c:v>
                </c:pt>
                <c:pt idx="22">
                  <c:v>122880</c:v>
                </c:pt>
              </c:numCache>
            </c:numRef>
          </c:val>
          <c:smooth val="0"/>
          <c:extLst>
            <c:ext xmlns:c16="http://schemas.microsoft.com/office/drawing/2014/chart" uri="{C3380CC4-5D6E-409C-BE32-E72D297353CC}">
              <c16:uniqueId val="{00000000-FE1B-4946-A476-7952C5C71231}"/>
            </c:ext>
          </c:extLst>
        </c:ser>
        <c:ser>
          <c:idx val="1"/>
          <c:order val="1"/>
          <c:tx>
            <c:strRef>
              <c:f>Projections!$A$211</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Projections!$P$182:$BG$182</c15:sqref>
                  </c15:fullRef>
                </c:ext>
              </c:extLst>
              <c:f>Projections!$P$182:$AL$182</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numCache>
            </c:numRef>
          </c:cat>
          <c:val>
            <c:numRef>
              <c:extLst>
                <c:ext xmlns:c15="http://schemas.microsoft.com/office/drawing/2012/chart" uri="{02D57815-91ED-43cb-92C2-25804820EDAC}">
                  <c15:fullRef>
                    <c15:sqref>Projections!$P$211:$BG$211</c15:sqref>
                  </c15:fullRef>
                </c:ext>
              </c:extLst>
              <c:f>Projections!$P$211:$AL$211</c:f>
              <c:numCache>
                <c:formatCode>General</c:formatCode>
                <c:ptCount val="2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86912</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43926.875143634257</c:v>
                </c:pt>
                <c:pt idx="1">
                  <c:v>43929.875143634257</c:v>
                </c:pt>
                <c:pt idx="2">
                  <c:v>43932.875143634257</c:v>
                </c:pt>
                <c:pt idx="3">
                  <c:v>43935.875143634257</c:v>
                </c:pt>
                <c:pt idx="4">
                  <c:v>43938.875143634257</c:v>
                </c:pt>
                <c:pt idx="5">
                  <c:v>43941.875143634257</c:v>
                </c:pt>
                <c:pt idx="6">
                  <c:v>43944.875143634257</c:v>
                </c:pt>
                <c:pt idx="7">
                  <c:v>43947.875143634257</c:v>
                </c:pt>
                <c:pt idx="8">
                  <c:v>43950.875143634257</c:v>
                </c:pt>
                <c:pt idx="9">
                  <c:v>43953.875143634257</c:v>
                </c:pt>
                <c:pt idx="10">
                  <c:v>43956.875143634257</c:v>
                </c:pt>
                <c:pt idx="11">
                  <c:v>43959.875143634257</c:v>
                </c:pt>
                <c:pt idx="12">
                  <c:v>43962.875143634257</c:v>
                </c:pt>
                <c:pt idx="13">
                  <c:v>43965.875143634257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16.666666666666668</c:v>
                </c:pt>
                <c:pt idx="4">
                  <c:v>33.333333333333336</c:v>
                </c:pt>
                <c:pt idx="5">
                  <c:v>66.666666666666671</c:v>
                </c:pt>
                <c:pt idx="6">
                  <c:v>133.33333333333334</c:v>
                </c:pt>
                <c:pt idx="7">
                  <c:v>266.66666666666669</c:v>
                </c:pt>
                <c:pt idx="8">
                  <c:v>533.33333333333337</c:v>
                </c:pt>
                <c:pt idx="9">
                  <c:v>1066.6666666666667</c:v>
                </c:pt>
                <c:pt idx="10">
                  <c:v>2133.3333333333335</c:v>
                </c:pt>
                <c:pt idx="11">
                  <c:v>4266.666666666667</c:v>
                </c:pt>
                <c:pt idx="12">
                  <c:v>8533.3333333333339</c:v>
                </c:pt>
                <c:pt idx="13">
                  <c:v>17066.666666666668</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43926.875143634257</c:v>
                </c:pt>
                <c:pt idx="1">
                  <c:v>43929.875143634257</c:v>
                </c:pt>
                <c:pt idx="2">
                  <c:v>43932.875143634257</c:v>
                </c:pt>
                <c:pt idx="3">
                  <c:v>43935.875143634257</c:v>
                </c:pt>
                <c:pt idx="4">
                  <c:v>43938.875143634257</c:v>
                </c:pt>
                <c:pt idx="5">
                  <c:v>43941.875143634257</c:v>
                </c:pt>
                <c:pt idx="6">
                  <c:v>43944.875143634257</c:v>
                </c:pt>
                <c:pt idx="7">
                  <c:v>43947.875143634257</c:v>
                </c:pt>
                <c:pt idx="8">
                  <c:v>43950.875143634257</c:v>
                </c:pt>
                <c:pt idx="9">
                  <c:v>43953.875143634257</c:v>
                </c:pt>
                <c:pt idx="10">
                  <c:v>43956.875143634257</c:v>
                </c:pt>
                <c:pt idx="11">
                  <c:v>43959.875143634257</c:v>
                </c:pt>
                <c:pt idx="12">
                  <c:v>43962.875143634257</c:v>
                </c:pt>
                <c:pt idx="13">
                  <c:v>43965.875143634257</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16.666666666666671</c:v>
                </c:pt>
                <c:pt idx="3">
                  <c:v>33.333333333333343</c:v>
                </c:pt>
                <c:pt idx="4">
                  <c:v>54.000000000000021</c:v>
                </c:pt>
                <c:pt idx="5">
                  <c:v>108.00000000000004</c:v>
                </c:pt>
                <c:pt idx="6">
                  <c:v>216.00000000000009</c:v>
                </c:pt>
                <c:pt idx="7">
                  <c:v>418.50000000000017</c:v>
                </c:pt>
                <c:pt idx="8">
                  <c:v>837.00000000000034</c:v>
                </c:pt>
                <c:pt idx="9">
                  <c:v>1674.0000000000007</c:v>
                </c:pt>
                <c:pt idx="10">
                  <c:v>3348.0000000000014</c:v>
                </c:pt>
                <c:pt idx="11">
                  <c:v>6696.0000000000027</c:v>
                </c:pt>
                <c:pt idx="12">
                  <c:v>13405.500000000005</c:v>
                </c:pt>
                <c:pt idx="13">
                  <c:v>26811.000000000011</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43926.875143634257</c:v>
                </c:pt>
                <c:pt idx="1">
                  <c:v>43929.875143634257</c:v>
                </c:pt>
                <c:pt idx="2">
                  <c:v>43932.875143634257</c:v>
                </c:pt>
                <c:pt idx="3">
                  <c:v>43935.875143634257</c:v>
                </c:pt>
                <c:pt idx="4">
                  <c:v>43938.875143634257</c:v>
                </c:pt>
                <c:pt idx="5">
                  <c:v>43941.875143634257</c:v>
                </c:pt>
                <c:pt idx="6">
                  <c:v>43944.875143634257</c:v>
                </c:pt>
                <c:pt idx="7">
                  <c:v>43947.875143634257</c:v>
                </c:pt>
                <c:pt idx="8">
                  <c:v>43950.875143634257</c:v>
                </c:pt>
                <c:pt idx="9">
                  <c:v>43953.875143634257</c:v>
                </c:pt>
                <c:pt idx="10">
                  <c:v>43956.875143634257</c:v>
                </c:pt>
                <c:pt idx="11">
                  <c:v>43959.875143634257</c:v>
                </c:pt>
                <c:pt idx="12">
                  <c:v>43962.875143634257</c:v>
                </c:pt>
                <c:pt idx="13">
                  <c:v>43965.875143634257</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12.66666666666667</c:v>
                </c:pt>
                <c:pt idx="5">
                  <c:v>25.333333333333339</c:v>
                </c:pt>
                <c:pt idx="6">
                  <c:v>37.33333333333335</c:v>
                </c:pt>
                <c:pt idx="7">
                  <c:v>74.6666666666667</c:v>
                </c:pt>
                <c:pt idx="8">
                  <c:v>149.3333333333334</c:v>
                </c:pt>
                <c:pt idx="9">
                  <c:v>298.6666666666668</c:v>
                </c:pt>
                <c:pt idx="10">
                  <c:v>597.3333333333336</c:v>
                </c:pt>
                <c:pt idx="11">
                  <c:v>1194.6666666666672</c:v>
                </c:pt>
                <c:pt idx="12">
                  <c:v>2389.3333333333344</c:v>
                </c:pt>
                <c:pt idx="13">
                  <c:v>4778.6666666666688</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43926.875143634257</c:v>
                </c:pt>
                <c:pt idx="1">
                  <c:v>43929.875143634257</c:v>
                </c:pt>
                <c:pt idx="2">
                  <c:v>43932.875143634257</c:v>
                </c:pt>
                <c:pt idx="3">
                  <c:v>43935.875143634257</c:v>
                </c:pt>
                <c:pt idx="4">
                  <c:v>43938.875143634257</c:v>
                </c:pt>
                <c:pt idx="5">
                  <c:v>43941.875143634257</c:v>
                </c:pt>
                <c:pt idx="6">
                  <c:v>43944.875143634257</c:v>
                </c:pt>
                <c:pt idx="7">
                  <c:v>43947.875143634257</c:v>
                </c:pt>
                <c:pt idx="8">
                  <c:v>43950.875143634257</c:v>
                </c:pt>
                <c:pt idx="9">
                  <c:v>43953.875143634257</c:v>
                </c:pt>
                <c:pt idx="10">
                  <c:v>43956.875143634257</c:v>
                </c:pt>
                <c:pt idx="11">
                  <c:v>43959.875143634257</c:v>
                </c:pt>
                <c:pt idx="12">
                  <c:v>43962.875143634257</c:v>
                </c:pt>
                <c:pt idx="13">
                  <c:v>43965.875143634257</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13.333333333333337</c:v>
                </c:pt>
                <c:pt idx="7">
                  <c:v>26.666666666666675</c:v>
                </c:pt>
                <c:pt idx="8">
                  <c:v>53.33333333333335</c:v>
                </c:pt>
                <c:pt idx="9">
                  <c:v>106.6666666666667</c:v>
                </c:pt>
                <c:pt idx="10">
                  <c:v>213.3333333333334</c:v>
                </c:pt>
                <c:pt idx="11">
                  <c:v>426.6666666666668</c:v>
                </c:pt>
                <c:pt idx="12">
                  <c:v>853.3333333333336</c:v>
                </c:pt>
                <c:pt idx="13">
                  <c:v>1706.6666666666672</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43926.875143634257</c:v>
                </c:pt>
                <c:pt idx="1">
                  <c:v>43929.875143634257</c:v>
                </c:pt>
                <c:pt idx="2">
                  <c:v>43932.875143634257</c:v>
                </c:pt>
                <c:pt idx="3">
                  <c:v>43935.875143634257</c:v>
                </c:pt>
                <c:pt idx="4">
                  <c:v>43938.875143634257</c:v>
                </c:pt>
                <c:pt idx="5">
                  <c:v>43941.875143634257</c:v>
                </c:pt>
                <c:pt idx="6">
                  <c:v>43944.875143634257</c:v>
                </c:pt>
                <c:pt idx="7">
                  <c:v>43947.875143634257</c:v>
                </c:pt>
                <c:pt idx="8">
                  <c:v>43950.875143634257</c:v>
                </c:pt>
                <c:pt idx="9">
                  <c:v>43953.875143634257</c:v>
                </c:pt>
                <c:pt idx="10">
                  <c:v>43956.875143634257</c:v>
                </c:pt>
                <c:pt idx="11">
                  <c:v>43959.875143634257</c:v>
                </c:pt>
                <c:pt idx="12">
                  <c:v>43962.875143634257</c:v>
                </c:pt>
                <c:pt idx="13">
                  <c:v>43965.875143634257</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138.88888888888891</c:v>
                </c:pt>
                <c:pt idx="1">
                  <c:v>277.77777777777783</c:v>
                </c:pt>
                <c:pt idx="2">
                  <c:v>555.55555555555566</c:v>
                </c:pt>
                <c:pt idx="3">
                  <c:v>1111.1111111111113</c:v>
                </c:pt>
                <c:pt idx="4">
                  <c:v>2222.2222222222226</c:v>
                </c:pt>
                <c:pt idx="5">
                  <c:v>4444.4444444444453</c:v>
                </c:pt>
                <c:pt idx="6">
                  <c:v>8888.8888888888905</c:v>
                </c:pt>
                <c:pt idx="7">
                  <c:v>17777.777777777781</c:v>
                </c:pt>
                <c:pt idx="8">
                  <c:v>35555.555555555562</c:v>
                </c:pt>
                <c:pt idx="9">
                  <c:v>71111.111111111124</c:v>
                </c:pt>
                <c:pt idx="10">
                  <c:v>142222.22222222225</c:v>
                </c:pt>
                <c:pt idx="11">
                  <c:v>284444.4444444445</c:v>
                </c:pt>
                <c:pt idx="12">
                  <c:v>568888.88888888899</c:v>
                </c:pt>
                <c:pt idx="13">
                  <c:v>1137777.777777778</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43926.875143634257</c:v>
                </c:pt>
                <c:pt idx="1">
                  <c:v>43929.875143634257</c:v>
                </c:pt>
                <c:pt idx="2">
                  <c:v>43932.875143634257</c:v>
                </c:pt>
                <c:pt idx="3">
                  <c:v>43935.875143634257</c:v>
                </c:pt>
                <c:pt idx="4">
                  <c:v>43938.875143634257</c:v>
                </c:pt>
                <c:pt idx="5">
                  <c:v>43941.875143634257</c:v>
                </c:pt>
                <c:pt idx="6">
                  <c:v>43944.875143634257</c:v>
                </c:pt>
                <c:pt idx="7">
                  <c:v>43947.875143634257</c:v>
                </c:pt>
                <c:pt idx="8">
                  <c:v>43950.875143634257</c:v>
                </c:pt>
                <c:pt idx="9">
                  <c:v>43953.875143634257</c:v>
                </c:pt>
                <c:pt idx="10">
                  <c:v>43956.875143634257</c:v>
                </c:pt>
                <c:pt idx="11">
                  <c:v>43959.875143634257</c:v>
                </c:pt>
                <c:pt idx="12">
                  <c:v>43962.875143634257</c:v>
                </c:pt>
                <c:pt idx="13">
                  <c:v>43965.875143634257</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122.22222222222224</c:v>
                </c:pt>
                <c:pt idx="1">
                  <c:v>244.44444444444449</c:v>
                </c:pt>
                <c:pt idx="2">
                  <c:v>488.88888888888897</c:v>
                </c:pt>
                <c:pt idx="3">
                  <c:v>977.77777777777794</c:v>
                </c:pt>
                <c:pt idx="4">
                  <c:v>1955.5555555555559</c:v>
                </c:pt>
                <c:pt idx="5">
                  <c:v>3911.1111111111118</c:v>
                </c:pt>
                <c:pt idx="6">
                  <c:v>7822.2222222222235</c:v>
                </c:pt>
                <c:pt idx="7">
                  <c:v>15644.444444444447</c:v>
                </c:pt>
                <c:pt idx="8">
                  <c:v>31288.888888888894</c:v>
                </c:pt>
                <c:pt idx="9">
                  <c:v>62577.777777777788</c:v>
                </c:pt>
                <c:pt idx="10">
                  <c:v>125155.55555555558</c:v>
                </c:pt>
                <c:pt idx="11">
                  <c:v>250311.11111111115</c:v>
                </c:pt>
                <c:pt idx="12">
                  <c:v>500622.22222222231</c:v>
                </c:pt>
                <c:pt idx="13">
                  <c:v>1001244.4444444446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43926.875143634257</c:v>
                </c:pt>
                <c:pt idx="1">
                  <c:v>43929.875143634257</c:v>
                </c:pt>
                <c:pt idx="2">
                  <c:v>43932.875143634257</c:v>
                </c:pt>
                <c:pt idx="3">
                  <c:v>43935.875143634257</c:v>
                </c:pt>
                <c:pt idx="4">
                  <c:v>43938.875143634257</c:v>
                </c:pt>
                <c:pt idx="5">
                  <c:v>43941.875143634257</c:v>
                </c:pt>
                <c:pt idx="6">
                  <c:v>43944.875143634257</c:v>
                </c:pt>
                <c:pt idx="7">
                  <c:v>43947.875143634257</c:v>
                </c:pt>
                <c:pt idx="8">
                  <c:v>43950.875143634257</c:v>
                </c:pt>
                <c:pt idx="9">
                  <c:v>43953.875143634257</c:v>
                </c:pt>
                <c:pt idx="10">
                  <c:v>43956.875143634257</c:v>
                </c:pt>
                <c:pt idx="11">
                  <c:v>43959.875143634257</c:v>
                </c:pt>
                <c:pt idx="12">
                  <c:v>43962.875143634257</c:v>
                </c:pt>
                <c:pt idx="13">
                  <c:v>43965.875143634257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16.666666666666668</c:v>
                </c:pt>
                <c:pt idx="4">
                  <c:v>33.333333333333336</c:v>
                </c:pt>
                <c:pt idx="5">
                  <c:v>66.666666666666671</c:v>
                </c:pt>
                <c:pt idx="6">
                  <c:v>133.33333333333334</c:v>
                </c:pt>
                <c:pt idx="7">
                  <c:v>266.66666666666669</c:v>
                </c:pt>
                <c:pt idx="8">
                  <c:v>533.33333333333337</c:v>
                </c:pt>
                <c:pt idx="9">
                  <c:v>1066.6666666666667</c:v>
                </c:pt>
                <c:pt idx="10">
                  <c:v>2133.3333333333335</c:v>
                </c:pt>
                <c:pt idx="11">
                  <c:v>4266.666666666667</c:v>
                </c:pt>
                <c:pt idx="12">
                  <c:v>8533.3333333333339</c:v>
                </c:pt>
                <c:pt idx="13">
                  <c:v>17066.666666666668</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43926.875143634257</c:v>
                </c:pt>
                <c:pt idx="1">
                  <c:v>43929.875143634257</c:v>
                </c:pt>
                <c:pt idx="2">
                  <c:v>43932.875143634257</c:v>
                </c:pt>
                <c:pt idx="3">
                  <c:v>43935.875143634257</c:v>
                </c:pt>
                <c:pt idx="4">
                  <c:v>43938.875143634257</c:v>
                </c:pt>
                <c:pt idx="5">
                  <c:v>43941.875143634257</c:v>
                </c:pt>
                <c:pt idx="6">
                  <c:v>43944.875143634257</c:v>
                </c:pt>
                <c:pt idx="7">
                  <c:v>43947.875143634257</c:v>
                </c:pt>
                <c:pt idx="8">
                  <c:v>43950.875143634257</c:v>
                </c:pt>
                <c:pt idx="9">
                  <c:v>43953.875143634257</c:v>
                </c:pt>
                <c:pt idx="10">
                  <c:v>43956.875143634257</c:v>
                </c:pt>
                <c:pt idx="11">
                  <c:v>43959.875143634257</c:v>
                </c:pt>
                <c:pt idx="12">
                  <c:v>43962.875143634257</c:v>
                </c:pt>
                <c:pt idx="13">
                  <c:v>43965.875143634257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16.666666666666668</c:v>
                </c:pt>
                <c:pt idx="4">
                  <c:v>33.333333333333336</c:v>
                </c:pt>
                <c:pt idx="5">
                  <c:v>66.666666666666671</c:v>
                </c:pt>
                <c:pt idx="6">
                  <c:v>133.33333333333334</c:v>
                </c:pt>
                <c:pt idx="7">
                  <c:v>266.66666666666669</c:v>
                </c:pt>
                <c:pt idx="8">
                  <c:v>533.33333333333337</c:v>
                </c:pt>
                <c:pt idx="9">
                  <c:v>1066.6666666666667</c:v>
                </c:pt>
                <c:pt idx="10">
                  <c:v>2133.3333333333335</c:v>
                </c:pt>
                <c:pt idx="11">
                  <c:v>4266.666666666667</c:v>
                </c:pt>
                <c:pt idx="12">
                  <c:v>8533.3333333333339</c:v>
                </c:pt>
                <c:pt idx="13">
                  <c:v>17066.666666666668</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43926.875143634257</c:v>
                </c:pt>
                <c:pt idx="1">
                  <c:v>43929.875143634257</c:v>
                </c:pt>
                <c:pt idx="2">
                  <c:v>43932.875143634257</c:v>
                </c:pt>
                <c:pt idx="3">
                  <c:v>43935.875143634257</c:v>
                </c:pt>
                <c:pt idx="4">
                  <c:v>43938.875143634257</c:v>
                </c:pt>
                <c:pt idx="5">
                  <c:v>43941.875143634257</c:v>
                </c:pt>
                <c:pt idx="6">
                  <c:v>43944.875143634257</c:v>
                </c:pt>
                <c:pt idx="7">
                  <c:v>43947.875143634257</c:v>
                </c:pt>
                <c:pt idx="8">
                  <c:v>43950.875143634257</c:v>
                </c:pt>
                <c:pt idx="9">
                  <c:v>43953.875143634257</c:v>
                </c:pt>
                <c:pt idx="10">
                  <c:v>43956.875143634257</c:v>
                </c:pt>
                <c:pt idx="11">
                  <c:v>43959.875143634257</c:v>
                </c:pt>
                <c:pt idx="12">
                  <c:v>43962.875143634257</c:v>
                </c:pt>
                <c:pt idx="13">
                  <c:v>43965.875143634257</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16.666666666666671</c:v>
                </c:pt>
                <c:pt idx="3">
                  <c:v>33.333333333333343</c:v>
                </c:pt>
                <c:pt idx="4">
                  <c:v>54.000000000000021</c:v>
                </c:pt>
                <c:pt idx="5">
                  <c:v>108.00000000000004</c:v>
                </c:pt>
                <c:pt idx="6">
                  <c:v>216.00000000000009</c:v>
                </c:pt>
                <c:pt idx="7">
                  <c:v>418.50000000000017</c:v>
                </c:pt>
                <c:pt idx="8">
                  <c:v>837.00000000000034</c:v>
                </c:pt>
                <c:pt idx="9">
                  <c:v>1674.0000000000007</c:v>
                </c:pt>
                <c:pt idx="10">
                  <c:v>3348.0000000000014</c:v>
                </c:pt>
                <c:pt idx="11">
                  <c:v>6696.0000000000027</c:v>
                </c:pt>
                <c:pt idx="12">
                  <c:v>13405.500000000005</c:v>
                </c:pt>
                <c:pt idx="13">
                  <c:v>26811.000000000011</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43926.875143634257</c:v>
                </c:pt>
                <c:pt idx="1">
                  <c:v>43929.875143634257</c:v>
                </c:pt>
                <c:pt idx="2">
                  <c:v>43932.875143634257</c:v>
                </c:pt>
                <c:pt idx="3">
                  <c:v>43935.875143634257</c:v>
                </c:pt>
                <c:pt idx="4">
                  <c:v>43938.875143634257</c:v>
                </c:pt>
                <c:pt idx="5">
                  <c:v>43941.875143634257</c:v>
                </c:pt>
                <c:pt idx="6">
                  <c:v>43944.875143634257</c:v>
                </c:pt>
                <c:pt idx="7">
                  <c:v>43947.875143634257</c:v>
                </c:pt>
                <c:pt idx="8">
                  <c:v>43950.875143634257</c:v>
                </c:pt>
                <c:pt idx="9">
                  <c:v>43953.875143634257</c:v>
                </c:pt>
                <c:pt idx="10">
                  <c:v>43956.875143634257</c:v>
                </c:pt>
                <c:pt idx="11">
                  <c:v>43959.875143634257</c:v>
                </c:pt>
                <c:pt idx="12">
                  <c:v>43962.875143634257</c:v>
                </c:pt>
                <c:pt idx="13">
                  <c:v>43965.875143634257</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12.66666666666667</c:v>
                </c:pt>
                <c:pt idx="5">
                  <c:v>25.333333333333339</c:v>
                </c:pt>
                <c:pt idx="6">
                  <c:v>37.33333333333335</c:v>
                </c:pt>
                <c:pt idx="7">
                  <c:v>74.6666666666667</c:v>
                </c:pt>
                <c:pt idx="8">
                  <c:v>149.3333333333334</c:v>
                </c:pt>
                <c:pt idx="9">
                  <c:v>298.6666666666668</c:v>
                </c:pt>
                <c:pt idx="10">
                  <c:v>597.3333333333336</c:v>
                </c:pt>
                <c:pt idx="11">
                  <c:v>1194.6666666666672</c:v>
                </c:pt>
                <c:pt idx="12">
                  <c:v>2389.3333333333344</c:v>
                </c:pt>
                <c:pt idx="13">
                  <c:v>4778.6666666666688</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43926.875143634257</c:v>
                </c:pt>
                <c:pt idx="1">
                  <c:v>43929.875143634257</c:v>
                </c:pt>
                <c:pt idx="2">
                  <c:v>43932.875143634257</c:v>
                </c:pt>
                <c:pt idx="3">
                  <c:v>43935.875143634257</c:v>
                </c:pt>
                <c:pt idx="4">
                  <c:v>43938.875143634257</c:v>
                </c:pt>
                <c:pt idx="5">
                  <c:v>43941.875143634257</c:v>
                </c:pt>
                <c:pt idx="6">
                  <c:v>43944.875143634257</c:v>
                </c:pt>
                <c:pt idx="7">
                  <c:v>43947.875143634257</c:v>
                </c:pt>
                <c:pt idx="8">
                  <c:v>43950.875143634257</c:v>
                </c:pt>
                <c:pt idx="9">
                  <c:v>43953.875143634257</c:v>
                </c:pt>
                <c:pt idx="10">
                  <c:v>43956.875143634257</c:v>
                </c:pt>
                <c:pt idx="11">
                  <c:v>43959.875143634257</c:v>
                </c:pt>
                <c:pt idx="12">
                  <c:v>43962.875143634257</c:v>
                </c:pt>
                <c:pt idx="13">
                  <c:v>43965.875143634257</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13.333333333333337</c:v>
                </c:pt>
                <c:pt idx="7">
                  <c:v>26.666666666666675</c:v>
                </c:pt>
                <c:pt idx="8">
                  <c:v>53.33333333333335</c:v>
                </c:pt>
                <c:pt idx="9">
                  <c:v>106.6666666666667</c:v>
                </c:pt>
                <c:pt idx="10">
                  <c:v>213.3333333333334</c:v>
                </c:pt>
                <c:pt idx="11">
                  <c:v>426.6666666666668</c:v>
                </c:pt>
                <c:pt idx="12">
                  <c:v>853.3333333333336</c:v>
                </c:pt>
                <c:pt idx="13">
                  <c:v>1706.6666666666672</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Projections!$A$193</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Projections!$P$193:$BG$193</c15:sqref>
                  </c15:fullRef>
                </c:ext>
              </c:extLst>
              <c:f>Projections!$P$193:$AQ$193</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283775.83306500048</c:v>
                </c:pt>
                <c:pt idx="20">
                  <c:v>391401.10225493676</c:v>
                </c:pt>
                <c:pt idx="21">
                  <c:v>557169.23215059924</c:v>
                </c:pt>
                <c:pt idx="22">
                  <c:v>342924.73002205521</c:v>
                </c:pt>
                <c:pt idx="23">
                  <c:v>665287.8662262687</c:v>
                </c:pt>
                <c:pt idx="24">
                  <c:v>608534.02120355377</c:v>
                </c:pt>
                <c:pt idx="25">
                  <c:v>742149.61727864842</c:v>
                </c:pt>
                <c:pt idx="26">
                  <c:v>845586.46744864958</c:v>
                </c:pt>
                <c:pt idx="27">
                  <c:v>952081.11966056121</c:v>
                </c:pt>
              </c:numCache>
            </c:numRef>
          </c:val>
          <c:smooth val="0"/>
          <c:extLst>
            <c:ext xmlns:c16="http://schemas.microsoft.com/office/drawing/2014/chart" uri="{C3380CC4-5D6E-409C-BE32-E72D297353CC}">
              <c16:uniqueId val="{00000003-5231-4BE2-97ED-54F0C3DB105C}"/>
            </c:ext>
          </c:extLst>
        </c:ser>
        <c:ser>
          <c:idx val="2"/>
          <c:order val="1"/>
          <c:tx>
            <c:strRef>
              <c:f>Projections!$A$194</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Projections!$P$194:$BG$194</c15:sqref>
                  </c15:fullRef>
                </c:ext>
              </c:extLst>
              <c:f>Projections!$P$194:$AQ$194</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242961.87404959198</c:v>
                </c:pt>
                <c:pt idx="20">
                  <c:v>204479.8212995049</c:v>
                </c:pt>
                <c:pt idx="21">
                  <c:v>235648.55902647899</c:v>
                </c:pt>
                <c:pt idx="22">
                  <c:v>103817.2106019966</c:v>
                </c:pt>
                <c:pt idx="23">
                  <c:v>470027.63490696007</c:v>
                </c:pt>
                <c:pt idx="24">
                  <c:v>13855.127680487989</c:v>
                </c:pt>
                <c:pt idx="25">
                  <c:v>211067.13758120735</c:v>
                </c:pt>
                <c:pt idx="26">
                  <c:v>0</c:v>
                </c:pt>
                <c:pt idx="27">
                  <c:v>120400.38882585507</c:v>
                </c:pt>
              </c:numCache>
            </c:numRef>
          </c:val>
          <c:smooth val="0"/>
          <c:extLst>
            <c:ext xmlns:c16="http://schemas.microsoft.com/office/drawing/2014/chart" uri="{C3380CC4-5D6E-409C-BE32-E72D297353CC}">
              <c16:uniqueId val="{00000002-9381-4A4E-BB43-DCD8EC2F4E00}"/>
            </c:ext>
          </c:extLst>
        </c:ser>
        <c:ser>
          <c:idx val="0"/>
          <c:order val="2"/>
          <c:tx>
            <c:strRef>
              <c:f>Projections!$A$195</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Projections!$P$195:$BG$195</c15:sqref>
                  </c15:fullRef>
                </c:ext>
              </c:extLst>
              <c:f>Projections!$P$195:$AQ$195</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41149.616953211123</c:v>
                </c:pt>
                <c:pt idx="20">
                  <c:v>143560.79446847865</c:v>
                </c:pt>
                <c:pt idx="21">
                  <c:v>213818.6361690232</c:v>
                </c:pt>
                <c:pt idx="22">
                  <c:v>168310.71475351235</c:v>
                </c:pt>
                <c:pt idx="23">
                  <c:v>181510.39218532681</c:v>
                </c:pt>
                <c:pt idx="24">
                  <c:v>335250.99708197563</c:v>
                </c:pt>
                <c:pt idx="25">
                  <c:v>284279.88501626055</c:v>
                </c:pt>
                <c:pt idx="26">
                  <c:v>330492.71124494524</c:v>
                </c:pt>
                <c:pt idx="27">
                  <c:v>361056.91060199292</c:v>
                </c:pt>
              </c:numCache>
            </c:numRef>
          </c:val>
          <c:smooth val="0"/>
          <c:extLst>
            <c:ext xmlns:c16="http://schemas.microsoft.com/office/drawing/2014/chart" uri="{C3380CC4-5D6E-409C-BE32-E72D297353CC}">
              <c16:uniqueId val="{00000000-9381-4A4E-BB43-DCD8EC2F4E00}"/>
            </c:ext>
          </c:extLst>
        </c:ser>
        <c:ser>
          <c:idx val="4"/>
          <c:order val="3"/>
          <c:tx>
            <c:strRef>
              <c:f>Projections!$A$196</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Projections!$P$196:$BG$196</c15:sqref>
                  </c15:fullRef>
                </c:ext>
              </c:extLst>
              <c:f>Projections!$P$196:$AQ$196</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29360.355102132755</c:v>
                </c:pt>
                <c:pt idx="20">
                  <c:v>104969.69863455679</c:v>
                </c:pt>
                <c:pt idx="21">
                  <c:v>178872.55865173941</c:v>
                </c:pt>
                <c:pt idx="22">
                  <c:v>121715.19252473969</c:v>
                </c:pt>
                <c:pt idx="23">
                  <c:v>0</c:v>
                </c:pt>
                <c:pt idx="24">
                  <c:v>256232.39008005214</c:v>
                </c:pt>
                <c:pt idx="25">
                  <c:v>150473.53169511273</c:v>
                </c:pt>
                <c:pt idx="26">
                  <c:v>204203.72976794056</c:v>
                </c:pt>
                <c:pt idx="27">
                  <c:v>203957.27579973071</c:v>
                </c:pt>
              </c:numCache>
            </c:numRef>
          </c:val>
          <c:smooth val="0"/>
          <c:extLst>
            <c:ext xmlns:c16="http://schemas.microsoft.com/office/drawing/2014/chart" uri="{C3380CC4-5D6E-409C-BE32-E72D297353CC}">
              <c16:uniqueId val="{00000003-9381-4A4E-BB43-DCD8EC2F4E00}"/>
            </c:ext>
          </c:extLst>
        </c:ser>
        <c:ser>
          <c:idx val="1"/>
          <c:order val="4"/>
          <c:tx>
            <c:strRef>
              <c:f>Projections!$A$197</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Projections!$P$197:$BG$197</c15:sqref>
                  </c15:fullRef>
                </c:ext>
              </c:extLst>
              <c:f>Projections!$P$197:$AQ$197</c:f>
              <c:numCache>
                <c:formatCode>#,##0_ ;[Red]\-#,##0\ </c:formatCode>
                <c:ptCount val="28"/>
                <c:pt idx="0">
                  <c:v>1.875</c:v>
                </c:pt>
                <c:pt idx="1">
                  <c:v>3.75</c:v>
                </c:pt>
                <c:pt idx="2">
                  <c:v>7.5</c:v>
                </c:pt>
                <c:pt idx="3">
                  <c:v>15</c:v>
                </c:pt>
                <c:pt idx="4">
                  <c:v>30</c:v>
                </c:pt>
                <c:pt idx="5">
                  <c:v>60</c:v>
                </c:pt>
                <c:pt idx="6">
                  <c:v>120</c:v>
                </c:pt>
                <c:pt idx="7">
                  <c:v>240</c:v>
                </c:pt>
                <c:pt idx="8">
                  <c:v>480</c:v>
                </c:pt>
                <c:pt idx="9">
                  <c:v>960</c:v>
                </c:pt>
                <c:pt idx="10">
                  <c:v>1920</c:v>
                </c:pt>
                <c:pt idx="11">
                  <c:v>3840</c:v>
                </c:pt>
                <c:pt idx="12">
                  <c:v>7680</c:v>
                </c:pt>
                <c:pt idx="13">
                  <c:v>15360</c:v>
                </c:pt>
                <c:pt idx="14">
                  <c:v>30720</c:v>
                </c:pt>
                <c:pt idx="15">
                  <c:v>38400</c:v>
                </c:pt>
                <c:pt idx="16">
                  <c:v>46080</c:v>
                </c:pt>
                <c:pt idx="17">
                  <c:v>53760</c:v>
                </c:pt>
                <c:pt idx="18">
                  <c:v>61440</c:v>
                </c:pt>
                <c:pt idx="19">
                  <c:v>76800</c:v>
                </c:pt>
                <c:pt idx="20">
                  <c:v>92160</c:v>
                </c:pt>
                <c:pt idx="21">
                  <c:v>107520</c:v>
                </c:pt>
                <c:pt idx="22">
                  <c:v>122880</c:v>
                </c:pt>
                <c:pt idx="23">
                  <c:v>147456</c:v>
                </c:pt>
                <c:pt idx="24">
                  <c:v>172032</c:v>
                </c:pt>
                <c:pt idx="25">
                  <c:v>196608</c:v>
                </c:pt>
                <c:pt idx="26">
                  <c:v>221184</c:v>
                </c:pt>
                <c:pt idx="27">
                  <c:v>245760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Projections!$A$215</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Projections!$P$215:$BG$215</c15:sqref>
                  </c15:fullRef>
                </c:ext>
              </c:extLst>
              <c:f>Projections!$P$215:$AQ$215</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04B6-450D-AD81-6BF382C059D1}"/>
            </c:ext>
          </c:extLst>
        </c:ser>
        <c:ser>
          <c:idx val="2"/>
          <c:order val="1"/>
          <c:tx>
            <c:strRef>
              <c:f>Projections!$A$217</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Projections!$P$217:$BG$217</c15:sqref>
                  </c15:fullRef>
                </c:ext>
              </c:extLst>
              <c:f>Projections!$P$217:$AQ$217</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136462.99946246191</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2-04B6-450D-AD81-6BF382C059D1}"/>
            </c:ext>
          </c:extLst>
        </c:ser>
        <c:ser>
          <c:idx val="4"/>
          <c:order val="2"/>
          <c:tx>
            <c:strRef>
              <c:f>Projections!$A$219</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Projections!$P$219:$BG$219</c15:sqref>
                  </c15:fullRef>
                </c:ext>
              </c:extLst>
              <c:f>Projections!$P$219:$AQ$219</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214212.50671922593</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4-04B6-450D-AD81-6BF382C059D1}"/>
            </c:ext>
          </c:extLst>
        </c:ser>
        <c:ser>
          <c:idx val="6"/>
          <c:order val="3"/>
          <c:tx>
            <c:strRef>
              <c:f>Projections!$A$221</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Projections!$P$221:$BG$221</c15:sqref>
                  </c15:fullRef>
                </c:ext>
              </c:extLst>
              <c:f>Projections!$P$221:$AQ$221</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198846.08493101594</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6-04B6-450D-AD81-6BF382C059D1}"/>
            </c:ext>
          </c:extLst>
        </c:ser>
        <c:ser>
          <c:idx val="8"/>
          <c:order val="4"/>
          <c:tx>
            <c:strRef>
              <c:f>Projections!$A$223</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Projections!$P$223:$BG$223</c15:sqref>
                  </c15:fullRef>
                </c:ext>
              </c:extLst>
              <c:f>Projections!$P$223:$AQ$223</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166049.09514423937</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8-04B6-450D-AD81-6BF382C059D1}"/>
            </c:ext>
          </c:extLst>
        </c:ser>
        <c:ser>
          <c:idx val="10"/>
          <c:order val="5"/>
          <c:tx>
            <c:strRef>
              <c:f>Projections!$A$225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Projections!$P$225:$BG$225</c15:sqref>
                  </c15:fullRef>
                </c:ext>
              </c:extLst>
              <c:f>Projections!$P$225:$AQ$225</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201368.93029922951</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A-04B6-450D-AD81-6BF382C059D1}"/>
            </c:ext>
          </c:extLst>
        </c:ser>
        <c:ser>
          <c:idx val="12"/>
          <c:order val="6"/>
          <c:tx>
            <c:strRef>
              <c:f>Projections!$A$227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Projections!$P$227:$BG$227</c15:sqref>
                  </c15:fullRef>
                </c:ext>
              </c:extLst>
              <c:f>Projections!$P$227:$AQ$227</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276595.59218777996</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C-04B6-450D-AD81-6BF382C059D1}"/>
            </c:ext>
          </c:extLst>
        </c:ser>
        <c:ser>
          <c:idx val="14"/>
          <c:order val="7"/>
          <c:tx>
            <c:strRef>
              <c:f>Projections!$A$229</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Projections!$P$229:$BG$229</c15:sqref>
                  </c15:fullRef>
                </c:ext>
              </c:extLst>
              <c:f>Projections!$P$229:$AQ$229</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E-04B6-450D-AD81-6BF382C059D1}"/>
            </c:ext>
          </c:extLst>
        </c:ser>
        <c:ser>
          <c:idx val="16"/>
          <c:order val="8"/>
          <c:tx>
            <c:strRef>
              <c:f>Projections!$A$231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Projections!$P$231:$BG$231</c15:sqref>
                  </c15:fullRef>
                </c:ext>
              </c:extLst>
              <c:f>Projections!$P$231:$AQ$231</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12614.226841067908</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Projections!$A$215</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Projections!$P$216:$BG$216</c15:sqref>
                  </c15:fullRef>
                </c:ext>
              </c:extLst>
              <c:f>Projections!$P$216:$AQ$216</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5464.9417667084754</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1-EBAD-48A5-9277-83F388186C0C}"/>
            </c:ext>
          </c:extLst>
        </c:ser>
        <c:ser>
          <c:idx val="3"/>
          <c:order val="1"/>
          <c:tx>
            <c:strRef>
              <c:f>Projections!$A$217</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Projections!$P$218:$BG$218</c15:sqref>
                  </c15:fullRef>
                </c:ext>
              </c:extLst>
              <c:f>Projections!$P$218:$AQ$218</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10917.039956996954</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3-EBAD-48A5-9277-83F388186C0C}"/>
            </c:ext>
          </c:extLst>
        </c:ser>
        <c:ser>
          <c:idx val="5"/>
          <c:order val="2"/>
          <c:tx>
            <c:strRef>
              <c:f>Projections!$A$219</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Projections!$P$220:$BG$220</c15:sqref>
                  </c15:fullRef>
                </c:ext>
              </c:extLst>
              <c:f>Projections!$P$220:$AQ$220</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7711.6502418921327</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5-EBAD-48A5-9277-83F388186C0C}"/>
            </c:ext>
          </c:extLst>
        </c:ser>
        <c:ser>
          <c:idx val="7"/>
          <c:order val="3"/>
          <c:tx>
            <c:strRef>
              <c:f>Projections!$A$221</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Projections!$P$222:$BG$222</c15:sqref>
                  </c15:fullRef>
                </c:ext>
              </c:extLst>
              <c:f>Projections!$P$222:$AQ$222</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2584.9991041032072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7-EBAD-48A5-9277-83F388186C0C}"/>
            </c:ext>
          </c:extLst>
        </c:ser>
        <c:ser>
          <c:idx val="9"/>
          <c:order val="4"/>
          <c:tx>
            <c:strRef>
              <c:f>Projections!$A$223</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Projections!$P$224:$BG$224</c15:sqref>
                  </c15:fullRef>
                </c:ext>
              </c:extLst>
              <c:f>Projections!$P$224:$AQ$224</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664.19638057695749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9-EBAD-48A5-9277-83F388186C0C}"/>
            </c:ext>
          </c:extLst>
        </c:ser>
        <c:ser>
          <c:idx val="11"/>
          <c:order val="5"/>
          <c:tx>
            <c:strRef>
              <c:f>Projections!$A$225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Projections!$P$226:$BG$226</c15:sqref>
                  </c15:fullRef>
                </c:ext>
              </c:extLst>
              <c:f>Projections!$P$226:$AQ$226</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402.73786059845901</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B-EBAD-48A5-9277-83F388186C0C}"/>
            </c:ext>
          </c:extLst>
        </c:ser>
        <c:ser>
          <c:idx val="13"/>
          <c:order val="6"/>
          <c:tx>
            <c:strRef>
              <c:f>Projections!$A$227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Projections!$P$228:$BG$228</c15:sqref>
                  </c15:fullRef>
                </c:ext>
              </c:extLst>
              <c:f>Projections!$P$228:$AQ$228</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553.19118437555994</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D-EBAD-48A5-9277-83F388186C0C}"/>
            </c:ext>
          </c:extLst>
        </c:ser>
        <c:ser>
          <c:idx val="15"/>
          <c:order val="7"/>
          <c:tx>
            <c:strRef>
              <c:f>Projections!$A$229</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Projections!$P$230:$BG$230</c15:sqref>
                  </c15:fullRef>
                </c:ext>
              </c:extLst>
              <c:f>Projections!$P$230:$AQ$230</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73.850564414979402</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F-EBAD-48A5-9277-83F388186C0C}"/>
            </c:ext>
          </c:extLst>
        </c:ser>
        <c:ser>
          <c:idx val="17"/>
          <c:order val="8"/>
          <c:tx>
            <c:strRef>
              <c:f>Projections!$A$231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Projections!$P$232:$BG$232</c15:sqref>
                  </c15:fullRef>
                </c:ext>
              </c:extLst>
              <c:f>Projections!$P$232:$AQ$232</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Projections!$A$244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Projections!$P$244:$BG$244</c15:sqref>
                  </c15:fullRef>
                </c:ext>
              </c:extLst>
              <c:f>Projections!$P$244:$AQ$244</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588800</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1E-05DD-4DD4-A5B5-12D162507280}"/>
            </c:ext>
          </c:extLst>
        </c:ser>
        <c:ser>
          <c:idx val="4"/>
          <c:order val="1"/>
          <c:tx>
            <c:strRef>
              <c:f>Projections!$A$242</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Projections!$P$242:$BG$242</c15:sqref>
                  </c15:fullRef>
                </c:ext>
              </c:extLst>
              <c:f>Projections!$P$242:$AQ$242</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171520</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1C-05DD-4DD4-A5B5-12D162507280}"/>
            </c:ext>
          </c:extLst>
        </c:ser>
        <c:ser>
          <c:idx val="10"/>
          <c:order val="2"/>
          <c:tx>
            <c:strRef>
              <c:f>Projections!$A$248</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Projections!$P$248:$BG$248</c15:sqref>
                  </c15:fullRef>
                </c:ext>
              </c:extLst>
              <c:f>Projections!$P$248:$AQ$248</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198400</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22-05DD-4DD4-A5B5-12D162507280}"/>
            </c:ext>
          </c:extLst>
        </c:ser>
        <c:ser>
          <c:idx val="0"/>
          <c:order val="3"/>
          <c:tx>
            <c:strRef>
              <c:f>Projections!$A$238</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Projections!$P$238:$BG$238</c15:sqref>
                  </c15:fullRef>
                </c:ext>
              </c:extLst>
              <c:f>Projections!$P$238:$AQ$238</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471040</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18-05DD-4DD4-A5B5-12D162507280}"/>
            </c:ext>
          </c:extLst>
        </c:ser>
        <c:ser>
          <c:idx val="2"/>
          <c:order val="4"/>
          <c:tx>
            <c:strRef>
              <c:f>Projections!$A$240</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Projections!$P$240:$BG$240</c15:sqref>
                  </c15:fullRef>
                </c:ext>
              </c:extLst>
              <c:f>Projections!$P$240:$AQ$240</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125440</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1A-05DD-4DD4-A5B5-12D162507280}"/>
            </c:ext>
          </c:extLst>
        </c:ser>
        <c:ser>
          <c:idx val="8"/>
          <c:order val="5"/>
          <c:tx>
            <c:strRef>
              <c:f>Projections!$A$246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Projections!$P$246:$BG$246</c15:sqref>
                  </c15:fullRef>
                </c:ext>
              </c:extLst>
              <c:f>Projections!$P$246:$AQ$246</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5619.2</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Projections!$A$244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Projections!$P$245:$BG$245</c15:sqref>
                  </c15:fullRef>
                </c:ext>
              </c:extLst>
              <c:f>Projections!$P$245:$AQ$245</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35328</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7-65B4-47F9-9B97-64FB989C8893}"/>
            </c:ext>
          </c:extLst>
        </c:ser>
        <c:ser>
          <c:idx val="5"/>
          <c:order val="1"/>
          <c:tx>
            <c:strRef>
              <c:f>Projections!$A$242</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Projections!$P$243:$BG$243</c15:sqref>
                  </c15:fullRef>
                </c:ext>
              </c:extLst>
              <c:f>Projections!$P$243:$AQ$243</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10805.76</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5-65B4-47F9-9B97-64FB989C8893}"/>
            </c:ext>
          </c:extLst>
        </c:ser>
        <c:ser>
          <c:idx val="1"/>
          <c:order val="2"/>
          <c:tx>
            <c:strRef>
              <c:f>Projections!$A$238</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Projections!$P$239:$BG$239</c15:sqref>
                  </c15:fullRef>
                </c:ext>
              </c:extLst>
              <c:f>Projections!$P$239:$AQ$239</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49459.199999999997</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1-65B4-47F9-9B97-64FB989C8893}"/>
            </c:ext>
          </c:extLst>
        </c:ser>
        <c:ser>
          <c:idx val="3"/>
          <c:order val="3"/>
          <c:tx>
            <c:strRef>
              <c:f>Projections!$A$240</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Projections!$P$241:$BG$241</c15:sqref>
                  </c15:fullRef>
                </c:ext>
              </c:extLst>
              <c:f>Projections!$P$241:$AQ$241</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9157.119999999999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65B4-47F9-9B97-64FB989C8893}"/>
            </c:ext>
          </c:extLst>
        </c:ser>
        <c:ser>
          <c:idx val="9"/>
          <c:order val="4"/>
          <c:tx>
            <c:strRef>
              <c:f>Projections!$A$246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Projections!$P$182:$BG$182</c15:sqref>
                  </c15:fullRef>
                </c:ext>
              </c:extLst>
              <c:f>Projections!$P$182:$AQ$182</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43969.440000000002</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Projections!$P$247:$BG$247</c15:sqref>
                  </c15:fullRef>
                </c:ext>
              </c:extLst>
              <c:f>Projections!$P$247:$AQ$247</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314.67520000000002</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61</xdr:col>
      <xdr:colOff>9526</xdr:colOff>
      <xdr:row>181</xdr:row>
      <xdr:rowOff>104775</xdr:rowOff>
    </xdr:from>
    <xdr:to>
      <xdr:col>72</xdr:col>
      <xdr:colOff>600075</xdr:colOff>
      <xdr:row>213</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736455</xdr:colOff>
      <xdr:row>253</xdr:row>
      <xdr:rowOff>120114</xdr:rowOff>
    </xdr:from>
    <xdr:to>
      <xdr:col>73</xdr:col>
      <xdr:colOff>19050</xdr:colOff>
      <xdr:row>276</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3031</xdr:colOff>
      <xdr:row>277</xdr:row>
      <xdr:rowOff>124876</xdr:rowOff>
    </xdr:from>
    <xdr:to>
      <xdr:col>73</xdr:col>
      <xdr:colOff>28575</xdr:colOff>
      <xdr:row>294</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60</xdr:col>
      <xdr:colOff>741217</xdr:colOff>
      <xdr:row>295</xdr:row>
      <xdr:rowOff>105825</xdr:rowOff>
    </xdr:from>
    <xdr:to>
      <xdr:col>73</xdr:col>
      <xdr:colOff>38099</xdr:colOff>
      <xdr:row>311</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741219</xdr:colOff>
      <xdr:row>312</xdr:row>
      <xdr:rowOff>124875</xdr:rowOff>
    </xdr:from>
    <xdr:to>
      <xdr:col>73</xdr:col>
      <xdr:colOff>19050</xdr:colOff>
      <xdr:row>331</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60</xdr:col>
      <xdr:colOff>738187</xdr:colOff>
      <xdr:row>215</xdr:row>
      <xdr:rowOff>119062</xdr:rowOff>
    </xdr:from>
    <xdr:to>
      <xdr:col>73</xdr:col>
      <xdr:colOff>19050</xdr:colOff>
      <xdr:row>235</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60</xdr:col>
      <xdr:colOff>740228</xdr:colOff>
      <xdr:row>236</xdr:row>
      <xdr:rowOff>117021</xdr:rowOff>
    </xdr:from>
    <xdr:to>
      <xdr:col>72</xdr:col>
      <xdr:colOff>590550</xdr:colOff>
      <xdr:row>252</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1</xdr:colOff>
      <xdr:row>181</xdr:row>
      <xdr:rowOff>104775</xdr:rowOff>
    </xdr:from>
    <xdr:to>
      <xdr:col>86</xdr:col>
      <xdr:colOff>161925</xdr:colOff>
      <xdr:row>213</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73</xdr:col>
      <xdr:colOff>607867</xdr:colOff>
      <xdr:row>253</xdr:row>
      <xdr:rowOff>101064</xdr:rowOff>
    </xdr:from>
    <xdr:to>
      <xdr:col>86</xdr:col>
      <xdr:colOff>209550</xdr:colOff>
      <xdr:row>276</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73</xdr:col>
      <xdr:colOff>598343</xdr:colOff>
      <xdr:row>277</xdr:row>
      <xdr:rowOff>115351</xdr:rowOff>
    </xdr:from>
    <xdr:to>
      <xdr:col>86</xdr:col>
      <xdr:colOff>200025</xdr:colOff>
      <xdr:row>294</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74</xdr:col>
      <xdr:colOff>3029</xdr:colOff>
      <xdr:row>295</xdr:row>
      <xdr:rowOff>105825</xdr:rowOff>
    </xdr:from>
    <xdr:to>
      <xdr:col>86</xdr:col>
      <xdr:colOff>219074</xdr:colOff>
      <xdr:row>311</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74</xdr:col>
      <xdr:colOff>22081</xdr:colOff>
      <xdr:row>312</xdr:row>
      <xdr:rowOff>124875</xdr:rowOff>
    </xdr:from>
    <xdr:to>
      <xdr:col>86</xdr:col>
      <xdr:colOff>228600</xdr:colOff>
      <xdr:row>331</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73</xdr:col>
      <xdr:colOff>600074</xdr:colOff>
      <xdr:row>215</xdr:row>
      <xdr:rowOff>128587</xdr:rowOff>
    </xdr:from>
    <xdr:to>
      <xdr:col>86</xdr:col>
      <xdr:colOff>200025</xdr:colOff>
      <xdr:row>235</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73</xdr:col>
      <xdr:colOff>606878</xdr:colOff>
      <xdr:row>236</xdr:row>
      <xdr:rowOff>117021</xdr:rowOff>
    </xdr:from>
    <xdr:to>
      <xdr:col>86</xdr:col>
      <xdr:colOff>161925</xdr:colOff>
      <xdr:row>252</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6" sqref="E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64</v>
      </c>
    </row>
    <row r="3" spans="2:2" x14ac:dyDescent="0.25">
      <c r="B3" t="s">
        <v>52</v>
      </c>
    </row>
    <row r="4" spans="2:2" x14ac:dyDescent="0.25">
      <c r="B4" t="s">
        <v>62</v>
      </c>
    </row>
    <row r="5" spans="2:2" x14ac:dyDescent="0.25">
      <c r="B5" t="s">
        <v>65</v>
      </c>
    </row>
    <row r="6" spans="2:2" x14ac:dyDescent="0.25">
      <c r="B6" t="s">
        <v>66</v>
      </c>
    </row>
    <row r="7" spans="2:2" x14ac:dyDescent="0.25">
      <c r="B7" t="s">
        <v>53</v>
      </c>
    </row>
    <row r="11" spans="2:2" x14ac:dyDescent="0.25">
      <c r="B11" t="s">
        <v>73</v>
      </c>
    </row>
    <row r="12" spans="2:2" x14ac:dyDescent="0.25">
      <c r="B12" t="s">
        <v>86</v>
      </c>
    </row>
    <row r="13" spans="2:2" x14ac:dyDescent="0.25">
      <c r="B13" t="s">
        <v>88</v>
      </c>
    </row>
    <row r="14" spans="2:2" x14ac:dyDescent="0.25">
      <c r="B14" t="s">
        <v>87</v>
      </c>
    </row>
    <row r="15" spans="2:2" x14ac:dyDescent="0.25">
      <c r="B15" t="s">
        <v>94</v>
      </c>
    </row>
    <row r="17" spans="1:43" x14ac:dyDescent="0.25">
      <c r="A17" t="s">
        <v>92</v>
      </c>
      <c r="B17" s="102">
        <f>(AP25/E31) /Projections!B170</f>
        <v>138.88888888888891</v>
      </c>
      <c r="C17" s="103"/>
      <c r="D17" s="104"/>
      <c r="E17" s="98">
        <f>B17*2</f>
        <v>277.77777777777783</v>
      </c>
      <c r="F17" s="103"/>
      <c r="G17" s="98"/>
      <c r="H17" s="98">
        <f>E17*2</f>
        <v>555.55555555555566</v>
      </c>
      <c r="I17" s="103"/>
      <c r="J17" s="104"/>
      <c r="K17" s="95">
        <f>H17*2</f>
        <v>1111.1111111111113</v>
      </c>
      <c r="L17" s="93"/>
      <c r="M17" s="94"/>
      <c r="N17" s="95">
        <f>K17*2</f>
        <v>2222.2222222222226</v>
      </c>
      <c r="O17" s="93"/>
      <c r="P17" s="94"/>
      <c r="Q17" s="95">
        <f>N17*2</f>
        <v>4444.4444444444453</v>
      </c>
      <c r="R17" s="93"/>
      <c r="S17" s="94"/>
      <c r="T17" s="95">
        <f>Q17*2</f>
        <v>8888.8888888888905</v>
      </c>
      <c r="U17" s="93"/>
      <c r="V17" s="94"/>
      <c r="W17" s="95">
        <f>T17*2</f>
        <v>17777.777777777781</v>
      </c>
      <c r="X17" s="93"/>
      <c r="Y17" s="94"/>
      <c r="Z17" s="95">
        <f>W17*2</f>
        <v>35555.555555555562</v>
      </c>
      <c r="AA17" s="93"/>
      <c r="AB17" s="94"/>
      <c r="AC17" s="95">
        <f>Z17*2</f>
        <v>71111.111111111124</v>
      </c>
      <c r="AD17" s="93"/>
      <c r="AE17" s="94"/>
      <c r="AF17" s="95">
        <f>AC17*2</f>
        <v>142222.22222222225</v>
      </c>
      <c r="AG17" s="93"/>
      <c r="AH17" s="94"/>
      <c r="AI17" s="95">
        <f>AF17*2</f>
        <v>284444.4444444445</v>
      </c>
      <c r="AJ17" s="93"/>
      <c r="AK17" s="94"/>
      <c r="AL17" s="95">
        <f>AI17*2</f>
        <v>568888.88888888899</v>
      </c>
      <c r="AM17" s="93"/>
      <c r="AN17" s="94"/>
      <c r="AO17" s="95">
        <f>AL17*2</f>
        <v>1137777.777777778</v>
      </c>
      <c r="AP17" s="98"/>
      <c r="AQ17" t="s">
        <v>92</v>
      </c>
    </row>
    <row r="18" spans="1:43" s="69" customFormat="1" x14ac:dyDescent="0.25">
      <c r="A18" s="69" t="s">
        <v>166</v>
      </c>
      <c r="B18" s="88">
        <f>B17*$E$34</f>
        <v>122.22222222222224</v>
      </c>
      <c r="C18" s="105"/>
      <c r="D18" s="105"/>
      <c r="E18" s="105">
        <f>E17*$E$34</f>
        <v>244.44444444444449</v>
      </c>
      <c r="F18" s="105"/>
      <c r="G18" s="33"/>
      <c r="H18" s="105">
        <f>H17*$E$34</f>
        <v>488.88888888888897</v>
      </c>
      <c r="I18" s="105"/>
      <c r="J18" s="105"/>
      <c r="K18" s="105">
        <f>K17*$E$34</f>
        <v>977.77777777777794</v>
      </c>
      <c r="L18" s="105"/>
      <c r="M18" s="105"/>
      <c r="N18" s="105">
        <f>N17*$E$34</f>
        <v>1955.5555555555559</v>
      </c>
      <c r="O18" s="105"/>
      <c r="P18" s="105"/>
      <c r="Q18" s="105">
        <f>Q17*$E$34</f>
        <v>3911.1111111111118</v>
      </c>
      <c r="R18" s="105"/>
      <c r="S18" s="105"/>
      <c r="T18" s="105">
        <f>T17*$E$34</f>
        <v>7822.2222222222235</v>
      </c>
      <c r="U18" s="105"/>
      <c r="V18" s="105"/>
      <c r="W18" s="105">
        <f>W17*$E$34</f>
        <v>15644.444444444447</v>
      </c>
      <c r="X18" s="105"/>
      <c r="Y18" s="105"/>
      <c r="Z18" s="105">
        <f>Z17*$E$34</f>
        <v>31288.888888888894</v>
      </c>
      <c r="AA18" s="105"/>
      <c r="AB18" s="105"/>
      <c r="AC18" s="105">
        <f>AC17*$E$34</f>
        <v>62577.777777777788</v>
      </c>
      <c r="AD18" s="105"/>
      <c r="AE18" s="105"/>
      <c r="AF18" s="105">
        <f>AF17*$E$34</f>
        <v>125155.55555555558</v>
      </c>
      <c r="AG18" s="105"/>
      <c r="AH18" s="105"/>
      <c r="AI18" s="105">
        <f>AI17*$E$34</f>
        <v>250311.11111111115</v>
      </c>
      <c r="AJ18" s="105"/>
      <c r="AK18" s="105"/>
      <c r="AL18" s="105">
        <f>AL17*$E$34</f>
        <v>500622.22222222231</v>
      </c>
      <c r="AM18" s="105"/>
      <c r="AN18" s="105"/>
      <c r="AO18" s="105">
        <f>AO17*$E$34</f>
        <v>1001244.4444444446</v>
      </c>
      <c r="AP18" s="33"/>
      <c r="AQ18" s="69" t="s">
        <v>166</v>
      </c>
    </row>
    <row r="19" spans="1:43" s="69" customFormat="1" x14ac:dyDescent="0.25">
      <c r="A19" s="47" t="s">
        <v>168</v>
      </c>
      <c r="B19" s="86">
        <f>B18</f>
        <v>122.22222222222224</v>
      </c>
      <c r="C19" s="87"/>
      <c r="D19" s="87"/>
      <c r="E19" s="87">
        <f>E18</f>
        <v>244.44444444444449</v>
      </c>
      <c r="F19" s="87"/>
      <c r="G19" s="34"/>
      <c r="H19" s="87">
        <f>H18</f>
        <v>488.88888888888897</v>
      </c>
      <c r="I19" s="87"/>
      <c r="J19" s="87"/>
      <c r="K19" s="87">
        <f>K18</f>
        <v>977.77777777777794</v>
      </c>
      <c r="L19" s="87"/>
      <c r="M19" s="87"/>
      <c r="N19" s="87">
        <f>N18</f>
        <v>1955.5555555555559</v>
      </c>
      <c r="O19" s="87"/>
      <c r="P19" s="87"/>
      <c r="Q19" s="87">
        <f>Q18</f>
        <v>3911.1111111111118</v>
      </c>
      <c r="R19" s="87"/>
      <c r="S19" s="87"/>
      <c r="T19" s="87">
        <f>T18</f>
        <v>7822.2222222222235</v>
      </c>
      <c r="U19" s="87"/>
      <c r="V19" s="87"/>
      <c r="W19" s="121">
        <f>W18-B18</f>
        <v>15522.222222222224</v>
      </c>
      <c r="X19" s="121"/>
      <c r="Y19" s="121"/>
      <c r="Z19" s="121">
        <f>Z18-E18</f>
        <v>31044.444444444449</v>
      </c>
      <c r="AA19" s="121"/>
      <c r="AB19" s="121"/>
      <c r="AC19" s="121">
        <f>AC18-H18</f>
        <v>62088.888888888898</v>
      </c>
      <c r="AD19" s="121"/>
      <c r="AE19" s="121"/>
      <c r="AF19" s="121">
        <f>AF18-K18</f>
        <v>124177.7777777778</v>
      </c>
      <c r="AG19" s="121"/>
      <c r="AH19" s="121"/>
      <c r="AI19" s="121">
        <f>AI18-N18</f>
        <v>248355.55555555559</v>
      </c>
      <c r="AJ19" s="121"/>
      <c r="AK19" s="121"/>
      <c r="AL19" s="121">
        <f>AL18-Q18</f>
        <v>496711.11111111118</v>
      </c>
      <c r="AM19" s="121"/>
      <c r="AN19" s="121"/>
      <c r="AO19" s="121">
        <f>AO18-T18</f>
        <v>993422.22222222236</v>
      </c>
      <c r="AP19" s="122"/>
      <c r="AQ19" s="47" t="s">
        <v>168</v>
      </c>
    </row>
    <row r="20" spans="1:43" s="69" customFormat="1" x14ac:dyDescent="0.25">
      <c r="A20" t="s">
        <v>93</v>
      </c>
      <c r="B20" s="88"/>
      <c r="C20" s="105"/>
      <c r="D20" s="105"/>
      <c r="E20" s="105"/>
      <c r="F20" s="105"/>
      <c r="G20" s="33"/>
      <c r="H20" s="106"/>
      <c r="I20" s="107"/>
      <c r="J20" s="108"/>
      <c r="K20" s="131">
        <f>B17*(1-$E$34)</f>
        <v>16.666666666666668</v>
      </c>
      <c r="L20" s="128"/>
      <c r="M20" s="129"/>
      <c r="N20" s="130">
        <f>E17*(1-$E$34)</f>
        <v>33.333333333333336</v>
      </c>
      <c r="O20" s="128"/>
      <c r="P20" s="129"/>
      <c r="Q20" s="130">
        <f>H17*(1-$E$34)</f>
        <v>66.666666666666671</v>
      </c>
      <c r="R20" s="128"/>
      <c r="S20" s="129"/>
      <c r="T20" s="130">
        <f>K17*(1-$E$34)</f>
        <v>133.33333333333334</v>
      </c>
      <c r="U20" s="128"/>
      <c r="V20" s="129"/>
      <c r="W20" s="130">
        <f>N17*(1-$E$34)</f>
        <v>266.66666666666669</v>
      </c>
      <c r="X20" s="128"/>
      <c r="Y20" s="129"/>
      <c r="Z20" s="130">
        <f>Q17*(1-$E$34)</f>
        <v>533.33333333333337</v>
      </c>
      <c r="AA20" s="128"/>
      <c r="AB20" s="129"/>
      <c r="AC20" s="130">
        <f>T17*(1-$E$34)</f>
        <v>1066.6666666666667</v>
      </c>
      <c r="AD20" s="128"/>
      <c r="AE20" s="129"/>
      <c r="AF20" s="130">
        <f>W17*(1-$E$34)</f>
        <v>2133.3333333333335</v>
      </c>
      <c r="AG20" s="128"/>
      <c r="AH20" s="129"/>
      <c r="AI20" s="130">
        <f>Z17*(1-$E$34)</f>
        <v>4266.666666666667</v>
      </c>
      <c r="AJ20" s="128"/>
      <c r="AK20" s="129"/>
      <c r="AL20" s="130">
        <f>AC17*(1-$E$34)</f>
        <v>8533.3333333333339</v>
      </c>
      <c r="AM20" s="128"/>
      <c r="AN20" s="129"/>
      <c r="AO20" s="130">
        <f>AF17*(1-$E$34)</f>
        <v>17066.666666666668</v>
      </c>
      <c r="AP20" s="79"/>
      <c r="AQ20" t="s">
        <v>93</v>
      </c>
    </row>
    <row r="21" spans="1:43" s="69" customFormat="1" x14ac:dyDescent="0.25">
      <c r="A21" s="69" t="s">
        <v>74</v>
      </c>
      <c r="B21" s="80"/>
      <c r="C21" s="81"/>
      <c r="D21" s="81"/>
      <c r="E21" s="81"/>
      <c r="F21" s="81"/>
      <c r="G21" s="82"/>
      <c r="H21" s="123">
        <f>B17-B18</f>
        <v>16.666666666666671</v>
      </c>
      <c r="I21" s="123"/>
      <c r="J21" s="123"/>
      <c r="K21" s="123">
        <f>E17-E18</f>
        <v>33.333333333333343</v>
      </c>
      <c r="L21" s="123"/>
      <c r="M21" s="123"/>
      <c r="N21" s="123">
        <f>(H17-H18)*$E$35</f>
        <v>54.000000000000021</v>
      </c>
      <c r="O21" s="123"/>
      <c r="P21" s="123"/>
      <c r="Q21" s="123">
        <f>(K17-K18)*$E$35</f>
        <v>108.00000000000004</v>
      </c>
      <c r="R21" s="123"/>
      <c r="S21" s="123"/>
      <c r="T21" s="123">
        <f>(N17-N18)*$E$35</f>
        <v>216.00000000000009</v>
      </c>
      <c r="U21" s="123"/>
      <c r="V21" s="123"/>
      <c r="W21" s="123">
        <f>((Q17-Q18)*$E$35)-(H21*$E$35)</f>
        <v>418.50000000000017</v>
      </c>
      <c r="X21" s="123"/>
      <c r="Y21" s="123"/>
      <c r="Z21" s="123">
        <f>((T17-T18)*$E$35)-(K21*$E$35)</f>
        <v>837.00000000000034</v>
      </c>
      <c r="AA21" s="123"/>
      <c r="AB21" s="123"/>
      <c r="AC21" s="123">
        <f>((W17-W18)*$E$35)-N21</f>
        <v>1674.0000000000007</v>
      </c>
      <c r="AD21" s="123"/>
      <c r="AE21" s="123"/>
      <c r="AF21" s="123">
        <f>((Z17-Z18)*$E$35)-Q21</f>
        <v>3348.0000000000014</v>
      </c>
      <c r="AG21" s="123"/>
      <c r="AH21" s="123"/>
      <c r="AI21" s="123">
        <f>((AC17-AC18)*$E$35)-T21</f>
        <v>6696.0000000000027</v>
      </c>
      <c r="AJ21" s="123"/>
      <c r="AK21" s="123"/>
      <c r="AL21" s="123">
        <f>((AF17-AF18)*$E$35)-W21</f>
        <v>13405.500000000005</v>
      </c>
      <c r="AM21" s="123"/>
      <c r="AN21" s="123"/>
      <c r="AO21" s="123">
        <f>((AI17-AI18)*$E$35)-Z21</f>
        <v>26811.000000000011</v>
      </c>
      <c r="AP21" s="124"/>
      <c r="AQ21" s="69" t="s">
        <v>74</v>
      </c>
    </row>
    <row r="22" spans="1:43" s="69" customFormat="1" x14ac:dyDescent="0.25">
      <c r="A22" s="69" t="s">
        <v>75</v>
      </c>
      <c r="B22" s="80"/>
      <c r="C22" s="81"/>
      <c r="D22" s="81"/>
      <c r="E22" s="81"/>
      <c r="F22" s="81"/>
      <c r="G22" s="82"/>
      <c r="H22" s="107"/>
      <c r="I22" s="107"/>
      <c r="J22" s="107"/>
      <c r="K22" s="107"/>
      <c r="L22" s="107"/>
      <c r="M22" s="108"/>
      <c r="N22" s="125">
        <f>(H17-H18)*($E$36+$E$37)</f>
        <v>12.66666666666667</v>
      </c>
      <c r="O22" s="125"/>
      <c r="P22" s="125"/>
      <c r="Q22" s="125">
        <f>(K17-K18)*($E$36+$E$37)</f>
        <v>25.333333333333339</v>
      </c>
      <c r="R22" s="125"/>
      <c r="S22" s="125"/>
      <c r="T22" s="125">
        <f>(N17-N18)*$E$36</f>
        <v>37.33333333333335</v>
      </c>
      <c r="U22" s="125"/>
      <c r="V22" s="125"/>
      <c r="W22" s="125">
        <f>(Q17-Q18)*$E$36</f>
        <v>74.6666666666667</v>
      </c>
      <c r="X22" s="125"/>
      <c r="Y22" s="125"/>
      <c r="Z22" s="125">
        <f>(T17-T18)*$E$36</f>
        <v>149.3333333333334</v>
      </c>
      <c r="AA22" s="125"/>
      <c r="AB22" s="125"/>
      <c r="AC22" s="125">
        <f>(W17-W18)*$E$36</f>
        <v>298.6666666666668</v>
      </c>
      <c r="AD22" s="125"/>
      <c r="AE22" s="125"/>
      <c r="AF22" s="125">
        <f>(Z17-Z18)*$E$36</f>
        <v>597.3333333333336</v>
      </c>
      <c r="AG22" s="125"/>
      <c r="AH22" s="125"/>
      <c r="AI22" s="125">
        <f>(AC17-AC18)*$E$36</f>
        <v>1194.6666666666672</v>
      </c>
      <c r="AJ22" s="125"/>
      <c r="AK22" s="125"/>
      <c r="AL22" s="125">
        <f>(AF17-AF18)*$E$36</f>
        <v>2389.3333333333344</v>
      </c>
      <c r="AM22" s="125"/>
      <c r="AN22" s="125"/>
      <c r="AO22" s="125">
        <f>(AI17-AI18)*$E$36</f>
        <v>4778.6666666666688</v>
      </c>
      <c r="AP22" s="126"/>
      <c r="AQ22" s="69" t="s">
        <v>75</v>
      </c>
    </row>
    <row r="23" spans="1:43" s="69" customFormat="1" x14ac:dyDescent="0.25">
      <c r="A23" s="47" t="s">
        <v>76</v>
      </c>
      <c r="B23" s="80"/>
      <c r="C23" s="81"/>
      <c r="D23" s="81"/>
      <c r="E23" s="81"/>
      <c r="F23" s="81"/>
      <c r="G23" s="82"/>
      <c r="H23" s="87"/>
      <c r="I23" s="87"/>
      <c r="J23" s="87"/>
      <c r="K23" s="87"/>
      <c r="L23" s="87"/>
      <c r="M23" s="87"/>
      <c r="N23" s="107"/>
      <c r="O23" s="107"/>
      <c r="P23" s="107"/>
      <c r="Q23" s="107"/>
      <c r="R23" s="107"/>
      <c r="S23" s="108"/>
      <c r="T23" s="40">
        <f>(N17-N18)*$E$37</f>
        <v>13.333333333333337</v>
      </c>
      <c r="U23" s="40"/>
      <c r="V23" s="40"/>
      <c r="W23" s="40">
        <f>(Q17-Q18)*$E$37</f>
        <v>26.666666666666675</v>
      </c>
      <c r="X23" s="40"/>
      <c r="Y23" s="40"/>
      <c r="Z23" s="40">
        <f>(T17-T18)*$E$37</f>
        <v>53.33333333333335</v>
      </c>
      <c r="AA23" s="40"/>
      <c r="AB23" s="40"/>
      <c r="AC23" s="40">
        <f>(W17-W18)*$E$37</f>
        <v>106.6666666666667</v>
      </c>
      <c r="AD23" s="40"/>
      <c r="AE23" s="40"/>
      <c r="AF23" s="40">
        <f>(Z17-Z18)*$E$37</f>
        <v>213.3333333333334</v>
      </c>
      <c r="AG23" s="40"/>
      <c r="AH23" s="40"/>
      <c r="AI23" s="40">
        <f>(AC17-AC18)*$E$37</f>
        <v>426.6666666666668</v>
      </c>
      <c r="AJ23" s="40"/>
      <c r="AK23" s="40"/>
      <c r="AL23" s="40">
        <f>(AF17-AF18)*$E$37</f>
        <v>853.3333333333336</v>
      </c>
      <c r="AM23" s="40"/>
      <c r="AN23" s="40"/>
      <c r="AO23" s="40">
        <f>(AI17-AI18)*$E$37</f>
        <v>1706.6666666666672</v>
      </c>
      <c r="AP23" s="127"/>
      <c r="AQ23" s="47" t="s">
        <v>76</v>
      </c>
    </row>
    <row r="24" spans="1:43" s="69" customFormat="1" x14ac:dyDescent="0.25">
      <c r="A24" s="47" t="s">
        <v>81</v>
      </c>
      <c r="B24" s="86"/>
      <c r="C24" s="87"/>
      <c r="D24" s="87"/>
      <c r="E24" s="87"/>
      <c r="F24" s="87"/>
      <c r="G24" s="34"/>
      <c r="H24" s="87"/>
      <c r="I24" s="87"/>
      <c r="J24" s="87"/>
      <c r="K24" s="87"/>
      <c r="L24" s="87"/>
      <c r="M24" s="87"/>
      <c r="N24" s="87"/>
      <c r="O24" s="87"/>
      <c r="P24" s="87"/>
      <c r="Q24" s="87"/>
      <c r="R24" s="87"/>
      <c r="S24" s="87"/>
      <c r="T24" s="107"/>
      <c r="U24" s="108"/>
      <c r="V24" s="109">
        <f>H21*$E$35</f>
        <v>13.500000000000005</v>
      </c>
      <c r="W24" s="109"/>
      <c r="X24" s="109"/>
      <c r="Y24" s="109">
        <f>K21*$E$35</f>
        <v>27.000000000000011</v>
      </c>
      <c r="Z24" s="109"/>
      <c r="AA24" s="109"/>
      <c r="AB24" s="109">
        <f>N21</f>
        <v>54.000000000000021</v>
      </c>
      <c r="AC24" s="109"/>
      <c r="AD24" s="109"/>
      <c r="AE24" s="109">
        <f>Q21</f>
        <v>108.00000000000004</v>
      </c>
      <c r="AF24" s="109"/>
      <c r="AG24" s="109"/>
      <c r="AH24" s="109">
        <f>T21</f>
        <v>216.00000000000009</v>
      </c>
      <c r="AI24" s="109"/>
      <c r="AJ24" s="109"/>
      <c r="AK24" s="109">
        <f>W21</f>
        <v>418.50000000000017</v>
      </c>
      <c r="AL24" s="109"/>
      <c r="AM24" s="109"/>
      <c r="AN24" s="109">
        <f>Z21</f>
        <v>837.00000000000034</v>
      </c>
      <c r="AO24" s="109"/>
      <c r="AP24" s="110"/>
      <c r="AQ24" s="47" t="s">
        <v>81</v>
      </c>
    </row>
    <row r="25" spans="1:43" x14ac:dyDescent="0.25">
      <c r="A25" s="47" t="s">
        <v>70</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70</v>
      </c>
    </row>
    <row r="26" spans="1:43" x14ac:dyDescent="0.25">
      <c r="A26" s="133" t="s">
        <v>97</v>
      </c>
      <c r="B26" s="89">
        <f t="shared" ref="B26:G26" ca="1" si="0">C26-1</f>
        <v>43926.875143634257</v>
      </c>
      <c r="C26" s="90">
        <f t="shared" ca="1" si="0"/>
        <v>43927.875143634257</v>
      </c>
      <c r="D26" s="90">
        <f t="shared" ca="1" si="0"/>
        <v>43928.875143634257</v>
      </c>
      <c r="E26" s="90">
        <f t="shared" ca="1" si="0"/>
        <v>43929.875143634257</v>
      </c>
      <c r="F26" s="90">
        <f t="shared" ca="1" si="0"/>
        <v>43930.875143634257</v>
      </c>
      <c r="G26" s="91">
        <f t="shared" ca="1" si="0"/>
        <v>43931.875143634257</v>
      </c>
      <c r="H26" s="90">
        <f t="shared" ref="H26:U26" ca="1" si="1">I26-1</f>
        <v>43932.875143634257</v>
      </c>
      <c r="I26" s="90">
        <f t="shared" ca="1" si="1"/>
        <v>43933.875143634257</v>
      </c>
      <c r="J26" s="90">
        <f t="shared" ca="1" si="1"/>
        <v>43934.875143634257</v>
      </c>
      <c r="K26" s="90">
        <f t="shared" ca="1" si="1"/>
        <v>43935.875143634257</v>
      </c>
      <c r="L26" s="90">
        <f t="shared" ca="1" si="1"/>
        <v>43936.875143634257</v>
      </c>
      <c r="M26" s="90">
        <f t="shared" ca="1" si="1"/>
        <v>43937.875143634257</v>
      </c>
      <c r="N26" s="91">
        <f t="shared" ca="1" si="1"/>
        <v>43938.875143634257</v>
      </c>
      <c r="O26" s="89">
        <f t="shared" ca="1" si="1"/>
        <v>43939.875143634257</v>
      </c>
      <c r="P26" s="90">
        <f t="shared" ca="1" si="1"/>
        <v>43940.875143634257</v>
      </c>
      <c r="Q26" s="90">
        <f t="shared" ca="1" si="1"/>
        <v>43941.875143634257</v>
      </c>
      <c r="R26" s="90">
        <f t="shared" ca="1" si="1"/>
        <v>43942.875143634257</v>
      </c>
      <c r="S26" s="90">
        <f t="shared" ca="1" si="1"/>
        <v>43943.875143634257</v>
      </c>
      <c r="T26" s="90">
        <f t="shared" ca="1" si="1"/>
        <v>43944.875143634257</v>
      </c>
      <c r="U26" s="91">
        <f t="shared" ca="1" si="1"/>
        <v>43945.875143634257</v>
      </c>
      <c r="V26" s="89">
        <f t="shared" ref="V26:AN26" ca="1" si="2">W26-1</f>
        <v>43946.875143634257</v>
      </c>
      <c r="W26" s="90">
        <f t="shared" ca="1" si="2"/>
        <v>43947.875143634257</v>
      </c>
      <c r="X26" s="90">
        <f t="shared" ca="1" si="2"/>
        <v>43948.875143634257</v>
      </c>
      <c r="Y26" s="90">
        <f t="shared" ca="1" si="2"/>
        <v>43949.875143634257</v>
      </c>
      <c r="Z26" s="90">
        <f t="shared" ca="1" si="2"/>
        <v>43950.875143634257</v>
      </c>
      <c r="AA26" s="90">
        <f t="shared" ca="1" si="2"/>
        <v>43951.875143634257</v>
      </c>
      <c r="AB26" s="91">
        <f t="shared" ca="1" si="2"/>
        <v>43952.875143634257</v>
      </c>
      <c r="AC26" s="89">
        <f t="shared" ca="1" si="2"/>
        <v>43953.875143634257</v>
      </c>
      <c r="AD26" s="90">
        <f t="shared" ca="1" si="2"/>
        <v>43954.875143634257</v>
      </c>
      <c r="AE26" s="90">
        <f t="shared" ca="1" si="2"/>
        <v>43955.875143634257</v>
      </c>
      <c r="AF26" s="90">
        <f t="shared" ca="1" si="2"/>
        <v>43956.875143634257</v>
      </c>
      <c r="AG26" s="90">
        <f t="shared" ca="1" si="2"/>
        <v>43957.875143634257</v>
      </c>
      <c r="AH26" s="90">
        <f t="shared" ca="1" si="2"/>
        <v>43958.875143634257</v>
      </c>
      <c r="AI26" s="91">
        <f t="shared" ca="1" si="2"/>
        <v>43959.875143634257</v>
      </c>
      <c r="AJ26" s="89">
        <f t="shared" ca="1" si="2"/>
        <v>43960.875143634257</v>
      </c>
      <c r="AK26" s="90">
        <f t="shared" ca="1" si="2"/>
        <v>43961.875143634257</v>
      </c>
      <c r="AL26" s="90">
        <f t="shared" ca="1" si="2"/>
        <v>43962.875143634257</v>
      </c>
      <c r="AM26" s="90">
        <f t="shared" ca="1" si="2"/>
        <v>43963.875143634257</v>
      </c>
      <c r="AN26" s="90">
        <f t="shared" ca="1" si="2"/>
        <v>43964.875143634257</v>
      </c>
      <c r="AO26" s="90">
        <f ca="1">AP26-1</f>
        <v>43965.875143634257</v>
      </c>
      <c r="AP26" s="111">
        <f ca="1">NOW()</f>
        <v>43966.875143634257</v>
      </c>
    </row>
    <row r="27" spans="1:43" x14ac:dyDescent="0.25">
      <c r="A27" s="134" t="s">
        <v>98</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99</v>
      </c>
      <c r="B28" s="290" t="s">
        <v>68</v>
      </c>
      <c r="C28" s="291"/>
      <c r="D28" s="291"/>
      <c r="E28" s="291"/>
      <c r="F28" s="291"/>
      <c r="G28" s="292"/>
      <c r="H28" s="296" t="s">
        <v>57</v>
      </c>
      <c r="I28" s="296"/>
      <c r="J28" s="296"/>
      <c r="K28" s="296"/>
      <c r="L28" s="296"/>
      <c r="M28" s="296"/>
      <c r="N28" s="297"/>
      <c r="O28" s="295" t="s">
        <v>58</v>
      </c>
      <c r="P28" s="296"/>
      <c r="Q28" s="296"/>
      <c r="R28" s="296"/>
      <c r="S28" s="296"/>
      <c r="T28" s="296"/>
      <c r="U28" s="297"/>
      <c r="V28" s="295" t="s">
        <v>59</v>
      </c>
      <c r="W28" s="296"/>
      <c r="X28" s="296"/>
      <c r="Y28" s="296"/>
      <c r="Z28" s="296"/>
      <c r="AA28" s="296"/>
      <c r="AB28" s="297"/>
      <c r="AC28" s="295" t="s">
        <v>60</v>
      </c>
      <c r="AD28" s="296"/>
      <c r="AE28" s="296"/>
      <c r="AF28" s="296"/>
      <c r="AG28" s="296"/>
      <c r="AH28" s="296"/>
      <c r="AI28" s="297"/>
      <c r="AJ28" s="295" t="s">
        <v>61</v>
      </c>
      <c r="AK28" s="296"/>
      <c r="AL28" s="296"/>
      <c r="AM28" s="296"/>
      <c r="AN28" s="296"/>
      <c r="AO28" s="296"/>
      <c r="AP28" s="297"/>
    </row>
    <row r="29" spans="1:43" x14ac:dyDescent="0.25">
      <c r="B29" s="51" t="s">
        <v>80</v>
      </c>
      <c r="C29" s="96"/>
      <c r="D29" s="96"/>
      <c r="E29" s="96"/>
      <c r="F29" s="96"/>
      <c r="G29" s="97"/>
      <c r="H29" s="293" t="s">
        <v>67</v>
      </c>
      <c r="I29" s="293"/>
      <c r="J29" s="293"/>
      <c r="K29" s="293"/>
      <c r="L29" s="293"/>
      <c r="M29" s="293"/>
      <c r="N29" s="293"/>
      <c r="O29" s="293"/>
      <c r="P29" s="293"/>
      <c r="Q29" s="293"/>
      <c r="R29" s="293"/>
      <c r="S29" s="293"/>
      <c r="T29" s="293"/>
      <c r="U29" s="293"/>
      <c r="V29" s="293"/>
      <c r="W29" s="293"/>
      <c r="X29" s="293"/>
      <c r="Y29" s="293"/>
      <c r="Z29" s="293"/>
      <c r="AA29" s="293"/>
      <c r="AB29" s="293"/>
      <c r="AC29" s="293"/>
      <c r="AD29" s="293"/>
      <c r="AE29" s="293"/>
      <c r="AF29" s="293"/>
      <c r="AG29" s="293"/>
      <c r="AH29" s="293"/>
      <c r="AI29" s="293"/>
      <c r="AJ29" s="293"/>
      <c r="AK29" s="293"/>
      <c r="AL29" s="293"/>
      <c r="AM29" s="293"/>
      <c r="AN29" s="293"/>
      <c r="AO29" s="293"/>
      <c r="AP29" s="294"/>
    </row>
    <row r="31" spans="1:43" x14ac:dyDescent="0.25">
      <c r="B31" s="57" t="s">
        <v>69</v>
      </c>
      <c r="C31" s="138" t="s">
        <v>192</v>
      </c>
      <c r="D31" s="9"/>
      <c r="E31" s="85">
        <f>VLOOKUP(C31,B43:C54,2,FALSE)</f>
        <v>0.06</v>
      </c>
      <c r="F31" s="9"/>
      <c r="G31" s="9"/>
      <c r="H31" s="9"/>
      <c r="I31" s="5"/>
    </row>
    <row r="32" spans="1:43" x14ac:dyDescent="0.25">
      <c r="B32" s="41" t="s">
        <v>96</v>
      </c>
      <c r="C32" s="16"/>
      <c r="D32" s="16"/>
      <c r="E32" s="139">
        <v>1</v>
      </c>
      <c r="F32" s="16"/>
      <c r="G32" s="16"/>
      <c r="H32" s="16"/>
      <c r="I32" s="17"/>
    </row>
    <row r="33" spans="2:9" x14ac:dyDescent="0.25">
      <c r="B33" s="41" t="s">
        <v>71</v>
      </c>
      <c r="C33" s="16"/>
      <c r="D33" s="16"/>
      <c r="E33" s="16">
        <v>3</v>
      </c>
      <c r="F33" s="16" t="s">
        <v>72</v>
      </c>
      <c r="G33" s="16"/>
      <c r="H33" s="16"/>
      <c r="I33" s="17"/>
    </row>
    <row r="34" spans="2:9" x14ac:dyDescent="0.25">
      <c r="B34" s="41" t="s">
        <v>187</v>
      </c>
      <c r="C34" s="16"/>
      <c r="D34" s="16"/>
      <c r="E34" s="140">
        <f>1-Projections!B170</f>
        <v>0.88</v>
      </c>
      <c r="F34" s="16" t="s">
        <v>189</v>
      </c>
      <c r="G34" s="16"/>
      <c r="H34" s="16"/>
      <c r="I34" s="17"/>
    </row>
    <row r="35" spans="2:9" x14ac:dyDescent="0.25">
      <c r="B35" s="41" t="s">
        <v>77</v>
      </c>
      <c r="C35" s="16"/>
      <c r="D35" s="16"/>
      <c r="E35" s="140">
        <v>0.81</v>
      </c>
      <c r="F35" s="16" t="s">
        <v>95</v>
      </c>
      <c r="G35" s="16"/>
      <c r="H35" s="16"/>
      <c r="I35" s="17"/>
    </row>
    <row r="36" spans="2:9" x14ac:dyDescent="0.25">
      <c r="B36" s="41" t="s">
        <v>78</v>
      </c>
      <c r="C36" s="16"/>
      <c r="D36" s="16"/>
      <c r="E36" s="140">
        <v>0.14000000000000001</v>
      </c>
      <c r="F36" s="16" t="s">
        <v>95</v>
      </c>
      <c r="G36" s="16"/>
      <c r="H36" s="16"/>
      <c r="I36" s="17"/>
    </row>
    <row r="37" spans="2:9" x14ac:dyDescent="0.25">
      <c r="B37" s="41" t="s">
        <v>79</v>
      </c>
      <c r="C37" s="16"/>
      <c r="D37" s="16"/>
      <c r="E37" s="140">
        <v>0.05</v>
      </c>
      <c r="F37" s="16" t="s">
        <v>95</v>
      </c>
      <c r="G37" s="16"/>
      <c r="H37" s="16"/>
      <c r="I37" s="17"/>
    </row>
    <row r="38" spans="2:9" x14ac:dyDescent="0.25">
      <c r="B38" s="41" t="s">
        <v>82</v>
      </c>
      <c r="C38" s="16"/>
      <c r="D38" s="16"/>
      <c r="E38" s="136">
        <v>2</v>
      </c>
      <c r="F38" s="16" t="s">
        <v>83</v>
      </c>
      <c r="G38" s="16"/>
      <c r="H38" s="16"/>
      <c r="I38" s="17"/>
    </row>
    <row r="39" spans="2:9" x14ac:dyDescent="0.25">
      <c r="B39" s="37" t="s">
        <v>84</v>
      </c>
      <c r="C39" s="137"/>
      <c r="D39" s="39"/>
      <c r="E39" s="116">
        <v>4</v>
      </c>
      <c r="F39" s="39" t="s">
        <v>83</v>
      </c>
      <c r="G39" s="39" t="s">
        <v>85</v>
      </c>
      <c r="H39" s="39"/>
      <c r="I39" s="63"/>
    </row>
    <row r="42" spans="2:9" x14ac:dyDescent="0.25">
      <c r="B42" t="s">
        <v>91</v>
      </c>
    </row>
    <row r="43" spans="2:9" x14ac:dyDescent="0.25">
      <c r="B43" s="4" t="s">
        <v>90</v>
      </c>
      <c r="C43" s="115">
        <v>3.5000000000000003E-2</v>
      </c>
    </row>
    <row r="44" spans="2:9" x14ac:dyDescent="0.25">
      <c r="B44" s="41" t="s">
        <v>89</v>
      </c>
      <c r="C44" s="27">
        <v>2.3E-2</v>
      </c>
    </row>
    <row r="45" spans="2:9" x14ac:dyDescent="0.25">
      <c r="B45" s="41" t="s">
        <v>192</v>
      </c>
      <c r="C45" s="27">
        <f>Projections!B178</f>
        <v>0.06</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100</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K251"/>
  <sheetViews>
    <sheetView tabSelected="1" topLeftCell="X142" zoomScale="85" zoomScaleNormal="85" workbookViewId="0">
      <selection activeCell="R92" sqref="R92"/>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5" width="11.28515625" customWidth="1"/>
    <col min="16" max="16" width="10.7109375" customWidth="1"/>
    <col min="17" max="17" width="10.85546875" bestFit="1" customWidth="1"/>
    <col min="18" max="18" width="10.7109375" bestFit="1" customWidth="1"/>
    <col min="19" max="20" width="10.85546875" bestFit="1" customWidth="1"/>
    <col min="21" max="21" width="10.5703125" customWidth="1"/>
    <col min="22" max="22" width="11.28515625" bestFit="1" customWidth="1"/>
    <col min="23" max="23" width="11" customWidth="1"/>
    <col min="24" max="24" width="10.7109375" customWidth="1"/>
    <col min="25" max="26" width="10.85546875" bestFit="1" customWidth="1"/>
    <col min="27" max="27" width="10.85546875" customWidth="1"/>
    <col min="28" max="29" width="10.85546875" bestFit="1" customWidth="1"/>
    <col min="30" max="33" width="11.28515625" customWidth="1"/>
    <col min="34" max="34" width="10.7109375" bestFit="1" customWidth="1"/>
    <col min="35" max="37" width="10.7109375" customWidth="1"/>
    <col min="38" max="38" width="10.7109375" bestFit="1" customWidth="1"/>
    <col min="39" max="42" width="10.7109375" customWidth="1"/>
    <col min="43" max="43" width="11.7109375" bestFit="1" customWidth="1"/>
    <col min="44" max="47" width="11.7109375" customWidth="1"/>
    <col min="48" max="52" width="11.5703125" customWidth="1"/>
    <col min="53" max="53" width="11.7109375" customWidth="1"/>
    <col min="54" max="56" width="11.5703125" bestFit="1" customWidth="1"/>
    <col min="57" max="58" width="13.28515625" bestFit="1" customWidth="1"/>
    <col min="59" max="59" width="13.7109375" customWidth="1"/>
    <col min="60" max="60" width="11.5703125" style="69" bestFit="1" customWidth="1"/>
    <col min="61" max="61" width="11.140625" bestFit="1" customWidth="1"/>
    <col min="62" max="62" width="12.140625" bestFit="1" customWidth="1"/>
  </cols>
  <sheetData>
    <row r="1" spans="3:35" x14ac:dyDescent="0.25">
      <c r="C1" t="s">
        <v>117</v>
      </c>
    </row>
    <row r="2" spans="3:35" x14ac:dyDescent="0.25">
      <c r="C2" s="276">
        <v>2017</v>
      </c>
      <c r="D2" t="s">
        <v>362</v>
      </c>
      <c r="E2" t="s">
        <v>362</v>
      </c>
      <c r="F2" t="s">
        <v>280</v>
      </c>
    </row>
    <row r="3" spans="3:35" x14ac:dyDescent="0.25">
      <c r="C3" s="276">
        <v>2018</v>
      </c>
      <c r="D3" t="s">
        <v>362</v>
      </c>
      <c r="E3" t="s">
        <v>362</v>
      </c>
      <c r="F3" t="s">
        <v>279</v>
      </c>
    </row>
    <row r="4" spans="3:35" x14ac:dyDescent="0.25">
      <c r="C4" s="217">
        <v>43829</v>
      </c>
      <c r="D4" t="s">
        <v>362</v>
      </c>
      <c r="E4" t="s">
        <v>362</v>
      </c>
      <c r="F4" t="s">
        <v>265</v>
      </c>
    </row>
    <row r="5" spans="3:35" x14ac:dyDescent="0.25">
      <c r="C5" s="217">
        <v>43830</v>
      </c>
      <c r="D5" t="s">
        <v>362</v>
      </c>
      <c r="E5" t="s">
        <v>362</v>
      </c>
      <c r="F5" t="s">
        <v>268</v>
      </c>
    </row>
    <row r="6" spans="3:35" x14ac:dyDescent="0.25">
      <c r="C6" s="217"/>
      <c r="D6" s="217">
        <v>43833</v>
      </c>
      <c r="E6" t="s">
        <v>362</v>
      </c>
      <c r="F6" t="s">
        <v>362</v>
      </c>
      <c r="G6" t="s">
        <v>264</v>
      </c>
    </row>
    <row r="7" spans="3:35" x14ac:dyDescent="0.25">
      <c r="D7" s="271">
        <v>43835</v>
      </c>
      <c r="E7" t="s">
        <v>362</v>
      </c>
      <c r="F7" t="s">
        <v>362</v>
      </c>
      <c r="G7" s="69" t="s">
        <v>260</v>
      </c>
      <c r="H7" s="69"/>
      <c r="I7" s="69"/>
      <c r="J7" s="69"/>
      <c r="K7" s="69"/>
      <c r="L7" s="69"/>
      <c r="M7" s="69"/>
      <c r="N7" s="165"/>
      <c r="P7" s="217"/>
    </row>
    <row r="8" spans="3:35" x14ac:dyDescent="0.25">
      <c r="D8" s="158">
        <v>43836</v>
      </c>
      <c r="E8" t="s">
        <v>362</v>
      </c>
      <c r="F8" t="s">
        <v>362</v>
      </c>
      <c r="G8" s="159" t="s">
        <v>194</v>
      </c>
      <c r="H8" s="159"/>
      <c r="I8" s="159"/>
      <c r="J8" s="159"/>
      <c r="K8" s="159"/>
      <c r="L8" s="159"/>
      <c r="M8" s="159"/>
      <c r="N8" s="158">
        <v>43850</v>
      </c>
      <c r="P8" s="217"/>
    </row>
    <row r="9" spans="3:35" x14ac:dyDescent="0.25">
      <c r="D9" s="271">
        <v>43837</v>
      </c>
      <c r="E9" t="s">
        <v>362</v>
      </c>
      <c r="F9" t="s">
        <v>362</v>
      </c>
      <c r="G9" s="69" t="s">
        <v>230</v>
      </c>
      <c r="H9" s="69"/>
      <c r="I9" s="69"/>
      <c r="J9" s="69"/>
      <c r="K9" s="69"/>
      <c r="L9" s="69"/>
      <c r="M9" s="69"/>
      <c r="N9" s="165"/>
      <c r="P9" s="217"/>
    </row>
    <row r="10" spans="3:35" x14ac:dyDescent="0.25">
      <c r="C10" s="69"/>
      <c r="D10" s="165">
        <v>43838</v>
      </c>
      <c r="E10" t="s">
        <v>362</v>
      </c>
      <c r="F10" t="s">
        <v>362</v>
      </c>
      <c r="G10" s="69" t="s">
        <v>269</v>
      </c>
      <c r="H10" s="69"/>
      <c r="I10" s="69"/>
      <c r="J10" s="69"/>
      <c r="K10" s="69"/>
      <c r="L10" s="69"/>
      <c r="M10" s="69"/>
      <c r="N10" s="165"/>
      <c r="O10" s="69"/>
      <c r="P10" s="165"/>
      <c r="Q10" s="69"/>
      <c r="R10" s="69"/>
      <c r="S10" s="69"/>
      <c r="T10" s="69"/>
      <c r="U10" s="69"/>
      <c r="V10" s="69"/>
      <c r="W10" s="69"/>
      <c r="X10" s="69"/>
      <c r="Y10" s="69"/>
      <c r="Z10" s="69"/>
      <c r="AA10" s="69"/>
      <c r="AB10" s="69"/>
      <c r="AC10" s="69"/>
      <c r="AD10" s="69"/>
      <c r="AE10" s="69"/>
      <c r="AF10" s="69"/>
      <c r="AG10" s="69"/>
      <c r="AH10" s="69"/>
    </row>
    <row r="11" spans="3:35" x14ac:dyDescent="0.25">
      <c r="D11" s="271">
        <v>43839</v>
      </c>
      <c r="E11" t="s">
        <v>362</v>
      </c>
      <c r="F11" t="s">
        <v>362</v>
      </c>
      <c r="G11" s="69" t="s">
        <v>231</v>
      </c>
      <c r="H11" s="69"/>
      <c r="I11" s="69"/>
      <c r="J11" s="69"/>
      <c r="K11" s="69"/>
      <c r="L11" s="69"/>
      <c r="M11" s="69"/>
      <c r="N11" s="165"/>
      <c r="P11" s="217"/>
    </row>
    <row r="12" spans="3:35" x14ac:dyDescent="0.25">
      <c r="D12" s="271">
        <v>43840</v>
      </c>
      <c r="E12" t="s">
        <v>362</v>
      </c>
      <c r="F12" t="s">
        <v>362</v>
      </c>
      <c r="G12" s="69" t="s">
        <v>302</v>
      </c>
      <c r="H12" s="69"/>
      <c r="I12" s="69"/>
      <c r="J12" s="69"/>
      <c r="K12" s="69"/>
      <c r="L12" s="69"/>
      <c r="M12" s="69"/>
      <c r="N12" s="165"/>
      <c r="P12" s="217"/>
    </row>
    <row r="13" spans="3:35" x14ac:dyDescent="0.25">
      <c r="D13" s="165">
        <v>43841</v>
      </c>
      <c r="E13" t="s">
        <v>362</v>
      </c>
      <c r="F13" t="s">
        <v>362</v>
      </c>
      <c r="G13" s="69" t="s">
        <v>238</v>
      </c>
      <c r="H13" s="69"/>
      <c r="I13" s="69"/>
      <c r="J13" s="69"/>
      <c r="K13" s="69"/>
      <c r="L13" s="69"/>
      <c r="M13" s="69"/>
      <c r="N13" s="165"/>
      <c r="P13" s="217"/>
    </row>
    <row r="14" spans="3:35" x14ac:dyDescent="0.25">
      <c r="D14" s="165">
        <v>43842</v>
      </c>
      <c r="E14" t="s">
        <v>362</v>
      </c>
      <c r="F14" t="s">
        <v>362</v>
      </c>
      <c r="G14" s="69" t="s">
        <v>266</v>
      </c>
      <c r="H14" s="69"/>
      <c r="I14" s="69"/>
      <c r="J14" s="69"/>
      <c r="K14" s="69"/>
      <c r="L14" s="69"/>
      <c r="M14" s="69"/>
      <c r="N14" s="165"/>
      <c r="P14" s="217"/>
    </row>
    <row r="15" spans="3:35" x14ac:dyDescent="0.25">
      <c r="D15" s="271">
        <v>43844</v>
      </c>
      <c r="E15" t="s">
        <v>362</v>
      </c>
      <c r="F15" t="s">
        <v>362</v>
      </c>
      <c r="G15" s="69" t="s">
        <v>261</v>
      </c>
      <c r="H15" s="69"/>
      <c r="I15" s="69"/>
      <c r="J15" s="69"/>
      <c r="K15" s="69"/>
      <c r="L15" s="69"/>
      <c r="M15" s="69"/>
      <c r="N15" s="165"/>
      <c r="P15" s="217"/>
    </row>
    <row r="16" spans="3:35" x14ac:dyDescent="0.25">
      <c r="D16" s="165">
        <v>43845</v>
      </c>
      <c r="E16" t="s">
        <v>362</v>
      </c>
      <c r="F16" t="s">
        <v>362</v>
      </c>
      <c r="G16" s="69" t="s">
        <v>272</v>
      </c>
      <c r="H16" s="69"/>
      <c r="I16" s="69"/>
      <c r="J16" s="69"/>
      <c r="K16" s="69"/>
      <c r="L16" s="69"/>
      <c r="M16" s="69"/>
      <c r="N16" s="165"/>
      <c r="P16" s="217"/>
      <c r="AI16" s="69"/>
    </row>
    <row r="17" spans="3:40" x14ac:dyDescent="0.25">
      <c r="D17" s="165">
        <v>43846</v>
      </c>
      <c r="E17" t="s">
        <v>362</v>
      </c>
      <c r="F17" t="s">
        <v>362</v>
      </c>
      <c r="G17" s="69" t="s">
        <v>195</v>
      </c>
      <c r="H17" s="69"/>
      <c r="I17" s="69"/>
      <c r="J17" s="69"/>
      <c r="K17" s="69"/>
      <c r="L17" s="69"/>
      <c r="M17" s="69"/>
      <c r="N17" s="165"/>
      <c r="P17" s="217"/>
    </row>
    <row r="18" spans="3:40" x14ac:dyDescent="0.25">
      <c r="D18" s="158">
        <v>43847</v>
      </c>
      <c r="E18" t="s">
        <v>362</v>
      </c>
      <c r="F18" t="s">
        <v>362</v>
      </c>
      <c r="G18" s="159" t="s">
        <v>223</v>
      </c>
      <c r="H18" s="159"/>
      <c r="I18" s="159"/>
      <c r="J18" s="159"/>
      <c r="K18" s="159"/>
      <c r="L18" s="159"/>
      <c r="M18" s="159"/>
      <c r="N18" s="158">
        <v>43861</v>
      </c>
      <c r="P18" s="217"/>
    </row>
    <row r="19" spans="3:40" x14ac:dyDescent="0.25">
      <c r="D19" s="270">
        <v>43848</v>
      </c>
      <c r="E19" t="s">
        <v>362</v>
      </c>
      <c r="F19" t="s">
        <v>362</v>
      </c>
      <c r="G19" s="69" t="s">
        <v>205</v>
      </c>
      <c r="H19" s="69"/>
      <c r="I19" s="69"/>
      <c r="J19" s="69"/>
      <c r="K19" s="69"/>
      <c r="L19" s="69"/>
      <c r="M19" s="69"/>
      <c r="N19" s="165"/>
      <c r="O19" s="69"/>
      <c r="P19" s="165"/>
    </row>
    <row r="20" spans="3:40" x14ac:dyDescent="0.25">
      <c r="D20" s="217">
        <v>43851</v>
      </c>
      <c r="E20">
        <v>1</v>
      </c>
      <c r="F20" t="s">
        <v>362</v>
      </c>
      <c r="G20" t="s">
        <v>196</v>
      </c>
    </row>
    <row r="21" spans="3:40" x14ac:dyDescent="0.25">
      <c r="D21" s="270">
        <v>43852</v>
      </c>
      <c r="E21">
        <v>1</v>
      </c>
      <c r="F21" t="s">
        <v>362</v>
      </c>
      <c r="G21" t="s">
        <v>197</v>
      </c>
    </row>
    <row r="22" spans="3:40" x14ac:dyDescent="0.25">
      <c r="C22" s="69"/>
      <c r="D22" s="271">
        <v>43853</v>
      </c>
      <c r="E22">
        <v>1</v>
      </c>
      <c r="F22" t="s">
        <v>362</v>
      </c>
      <c r="G22" s="69" t="s">
        <v>236</v>
      </c>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row>
    <row r="23" spans="3:40" x14ac:dyDescent="0.25">
      <c r="C23" s="69"/>
      <c r="D23" s="270">
        <v>43854</v>
      </c>
      <c r="E23">
        <v>2</v>
      </c>
      <c r="F23" s="69" t="s">
        <v>362</v>
      </c>
      <c r="G23" s="69" t="s">
        <v>232</v>
      </c>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row>
    <row r="24" spans="3:40" x14ac:dyDescent="0.25">
      <c r="C24" s="69"/>
      <c r="D24" s="165">
        <v>43857</v>
      </c>
      <c r="E24">
        <v>5</v>
      </c>
      <c r="F24" s="69" t="s">
        <v>362</v>
      </c>
      <c r="G24" s="69" t="s">
        <v>206</v>
      </c>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row>
    <row r="25" spans="3:40" x14ac:dyDescent="0.25">
      <c r="C25" s="69"/>
      <c r="D25" s="158">
        <v>43858</v>
      </c>
      <c r="E25">
        <v>5</v>
      </c>
      <c r="F25" s="69" t="s">
        <v>362</v>
      </c>
      <c r="G25" s="159" t="s">
        <v>271</v>
      </c>
      <c r="H25" s="159"/>
      <c r="I25" s="159"/>
      <c r="J25" s="159"/>
      <c r="K25" s="159"/>
      <c r="L25" s="159"/>
      <c r="M25" s="159"/>
      <c r="N25" s="158">
        <v>43873</v>
      </c>
      <c r="O25" s="69"/>
      <c r="P25" s="69"/>
      <c r="Q25" s="69"/>
      <c r="R25" s="69"/>
      <c r="S25" s="69"/>
      <c r="T25" s="69"/>
      <c r="U25" s="69"/>
      <c r="V25" s="69"/>
      <c r="W25" s="69"/>
      <c r="X25" s="69"/>
      <c r="Y25" s="69"/>
      <c r="Z25" s="69"/>
      <c r="AA25" s="69"/>
      <c r="AB25" s="69"/>
      <c r="AC25" s="69"/>
      <c r="AD25" s="69"/>
      <c r="AE25" s="69"/>
      <c r="AF25" s="69"/>
      <c r="AG25" s="69"/>
      <c r="AH25" s="69"/>
    </row>
    <row r="26" spans="3:40" x14ac:dyDescent="0.25">
      <c r="C26" s="69"/>
      <c r="D26" s="165">
        <v>43859</v>
      </c>
      <c r="E26">
        <v>5</v>
      </c>
      <c r="F26" s="69" t="s">
        <v>362</v>
      </c>
      <c r="G26" s="69" t="s">
        <v>207</v>
      </c>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row>
    <row r="27" spans="3:40" x14ac:dyDescent="0.25">
      <c r="D27" s="217">
        <v>43859</v>
      </c>
      <c r="E27">
        <v>5</v>
      </c>
      <c r="F27" s="69" t="s">
        <v>362</v>
      </c>
      <c r="G27" t="s">
        <v>198</v>
      </c>
      <c r="Q27" s="217"/>
    </row>
    <row r="28" spans="3:40" x14ac:dyDescent="0.25">
      <c r="D28" s="271">
        <v>43860</v>
      </c>
      <c r="E28">
        <v>6</v>
      </c>
      <c r="F28" s="69" t="s">
        <v>362</v>
      </c>
      <c r="G28" t="s">
        <v>239</v>
      </c>
      <c r="AI28" s="69"/>
      <c r="AJ28" s="69"/>
      <c r="AK28" s="69"/>
      <c r="AL28" s="69"/>
      <c r="AM28" s="69"/>
      <c r="AN28" s="69"/>
    </row>
    <row r="29" spans="3:40" x14ac:dyDescent="0.25">
      <c r="D29" s="270">
        <v>43860</v>
      </c>
      <c r="E29">
        <v>6</v>
      </c>
      <c r="F29" s="69" t="s">
        <v>362</v>
      </c>
      <c r="G29" t="s">
        <v>208</v>
      </c>
      <c r="AI29" s="69"/>
    </row>
    <row r="30" spans="3:40" x14ac:dyDescent="0.25">
      <c r="D30" s="270">
        <v>43860</v>
      </c>
      <c r="E30">
        <v>6</v>
      </c>
      <c r="F30" s="69" t="s">
        <v>362</v>
      </c>
      <c r="G30" t="s">
        <v>283</v>
      </c>
      <c r="AI30" s="69"/>
    </row>
    <row r="31" spans="3:40" x14ac:dyDescent="0.25">
      <c r="C31" s="69"/>
      <c r="D31" s="165">
        <v>43860</v>
      </c>
      <c r="E31">
        <v>6</v>
      </c>
      <c r="F31" s="69" t="s">
        <v>362</v>
      </c>
      <c r="G31" s="69" t="s">
        <v>267</v>
      </c>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row>
    <row r="32" spans="3:40" x14ac:dyDescent="0.25">
      <c r="C32" s="69"/>
      <c r="D32" s="165">
        <v>43860</v>
      </c>
      <c r="E32">
        <v>6</v>
      </c>
      <c r="F32" s="69" t="s">
        <v>362</v>
      </c>
      <c r="G32" s="69" t="s">
        <v>363</v>
      </c>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row>
    <row r="33" spans="3:59" x14ac:dyDescent="0.25">
      <c r="D33" s="165">
        <v>43861</v>
      </c>
      <c r="E33">
        <v>7</v>
      </c>
      <c r="F33" s="69" t="s">
        <v>362</v>
      </c>
      <c r="G33" s="69" t="s">
        <v>245</v>
      </c>
      <c r="H33" s="69"/>
      <c r="I33" s="69"/>
      <c r="J33" s="69"/>
      <c r="K33" s="69"/>
      <c r="L33" s="69"/>
      <c r="M33" s="69"/>
      <c r="N33" s="69"/>
      <c r="O33" s="165"/>
      <c r="AI33" s="69"/>
    </row>
    <row r="34" spans="3:59" x14ac:dyDescent="0.25">
      <c r="D34" s="270">
        <v>43861</v>
      </c>
      <c r="E34">
        <v>7</v>
      </c>
      <c r="F34" s="69" t="s">
        <v>362</v>
      </c>
      <c r="G34" s="69" t="s">
        <v>248</v>
      </c>
      <c r="H34" s="69"/>
      <c r="I34" s="69"/>
      <c r="J34" s="69"/>
      <c r="K34" s="69"/>
      <c r="L34" s="69"/>
      <c r="M34" s="69"/>
      <c r="N34" s="69"/>
      <c r="O34" s="165"/>
    </row>
    <row r="35" spans="3:59" x14ac:dyDescent="0.25">
      <c r="D35" s="165">
        <v>43861</v>
      </c>
      <c r="E35">
        <v>7</v>
      </c>
      <c r="F35" s="69" t="s">
        <v>362</v>
      </c>
      <c r="G35" s="69" t="s">
        <v>246</v>
      </c>
      <c r="H35" s="69"/>
      <c r="I35" s="69"/>
      <c r="J35" s="69"/>
      <c r="K35" s="69"/>
      <c r="L35" s="69"/>
      <c r="M35" s="69"/>
      <c r="N35" s="69"/>
      <c r="O35" s="165"/>
    </row>
    <row r="36" spans="3:59" x14ac:dyDescent="0.25">
      <c r="E36" s="165" t="s">
        <v>209</v>
      </c>
      <c r="H36" t="s">
        <v>210</v>
      </c>
    </row>
    <row r="37" spans="3:59" x14ac:dyDescent="0.25">
      <c r="C37" s="69"/>
      <c r="E37" s="272" t="s">
        <v>234</v>
      </c>
      <c r="G37" s="69"/>
      <c r="H37" s="69" t="s">
        <v>235</v>
      </c>
      <c r="J37" s="69"/>
      <c r="K37" s="69"/>
      <c r="L37" s="69"/>
      <c r="M37" s="69"/>
      <c r="N37" s="165"/>
      <c r="O37" s="165"/>
      <c r="P37" s="69"/>
      <c r="Q37" s="69"/>
      <c r="R37" s="69"/>
      <c r="S37" s="69"/>
      <c r="T37" s="69"/>
      <c r="U37" s="69"/>
      <c r="V37" s="69"/>
      <c r="W37" s="69"/>
      <c r="X37" s="69"/>
      <c r="Y37" s="69"/>
      <c r="Z37" s="69"/>
      <c r="AA37" s="69"/>
      <c r="AB37" s="69"/>
      <c r="AC37" s="69"/>
      <c r="AD37" s="69"/>
      <c r="AE37" s="69"/>
      <c r="AF37" s="69"/>
      <c r="AG37" s="69"/>
      <c r="AH37" s="69"/>
    </row>
    <row r="38" spans="3:59" x14ac:dyDescent="0.25">
      <c r="D38" s="165"/>
      <c r="F38" s="217">
        <v>43862</v>
      </c>
      <c r="G38">
        <v>8</v>
      </c>
      <c r="H38" t="s">
        <v>362</v>
      </c>
      <c r="I38" t="s">
        <v>242</v>
      </c>
    </row>
    <row r="39" spans="3:59" x14ac:dyDescent="0.25">
      <c r="F39" s="158">
        <v>43863</v>
      </c>
      <c r="G39">
        <v>11</v>
      </c>
      <c r="H39" s="69" t="s">
        <v>362</v>
      </c>
      <c r="I39" s="159" t="s">
        <v>200</v>
      </c>
      <c r="J39" s="159"/>
      <c r="K39" s="159"/>
      <c r="L39" s="159"/>
      <c r="M39" s="159"/>
      <c r="N39" s="158"/>
      <c r="O39" s="158">
        <v>43877</v>
      </c>
      <c r="AI39" s="69"/>
    </row>
    <row r="40" spans="3:59" x14ac:dyDescent="0.25">
      <c r="C40" s="69"/>
      <c r="D40" s="69"/>
      <c r="E40" s="165"/>
      <c r="F40" s="270">
        <v>43863</v>
      </c>
      <c r="G40">
        <v>11</v>
      </c>
      <c r="H40" s="69" t="s">
        <v>362</v>
      </c>
      <c r="I40" s="69" t="s">
        <v>288</v>
      </c>
      <c r="J40" s="69"/>
      <c r="K40" s="69"/>
      <c r="L40" s="69"/>
      <c r="M40" s="69"/>
      <c r="N40" s="165"/>
      <c r="O40" s="165"/>
      <c r="P40" s="69"/>
      <c r="Q40" s="69"/>
      <c r="R40" s="69"/>
      <c r="S40" s="69"/>
      <c r="T40" s="69"/>
      <c r="U40" s="69"/>
      <c r="V40" s="69"/>
      <c r="W40" s="69"/>
      <c r="X40" s="69"/>
      <c r="Y40" s="69"/>
      <c r="Z40" s="69"/>
      <c r="AA40" s="69"/>
      <c r="AB40" s="69"/>
      <c r="AC40" s="69"/>
      <c r="AD40" s="69"/>
      <c r="AE40" s="69"/>
      <c r="AF40" s="69"/>
      <c r="AG40" s="69"/>
      <c r="AH40" s="69"/>
    </row>
    <row r="41" spans="3:59" x14ac:dyDescent="0.25">
      <c r="E41" s="165"/>
      <c r="F41" s="165">
        <v>43866</v>
      </c>
      <c r="G41">
        <v>12</v>
      </c>
      <c r="H41" s="69" t="s">
        <v>362</v>
      </c>
      <c r="I41" s="69" t="s">
        <v>247</v>
      </c>
      <c r="J41" s="69"/>
      <c r="K41" s="69"/>
      <c r="L41" s="69"/>
      <c r="M41" s="69"/>
      <c r="N41" s="165"/>
      <c r="O41" s="165"/>
      <c r="AJ41" s="69"/>
      <c r="AK41" s="69"/>
      <c r="AL41" s="69"/>
      <c r="AM41" s="69"/>
      <c r="AN41" s="69"/>
      <c r="AO41" s="69"/>
      <c r="AP41" s="69"/>
      <c r="AQ41" s="69"/>
      <c r="AR41" s="69"/>
      <c r="AS41" s="69"/>
      <c r="AT41" s="69"/>
      <c r="AU41" s="69"/>
      <c r="AV41" s="69"/>
      <c r="AW41" s="69"/>
      <c r="AX41" s="69"/>
      <c r="AY41" s="69"/>
      <c r="AZ41" s="69"/>
      <c r="BA41" s="69"/>
      <c r="BB41" s="69"/>
      <c r="BC41" s="69"/>
      <c r="BD41" s="69"/>
      <c r="BE41" s="69"/>
      <c r="BF41" s="69"/>
      <c r="BG41" s="69"/>
    </row>
    <row r="42" spans="3:59" x14ac:dyDescent="0.25">
      <c r="E42" s="165"/>
      <c r="F42" s="165">
        <v>43867</v>
      </c>
      <c r="G42">
        <v>12</v>
      </c>
      <c r="H42" s="69" t="s">
        <v>364</v>
      </c>
      <c r="I42" s="16" t="s">
        <v>312</v>
      </c>
      <c r="J42" s="69"/>
      <c r="K42" s="69"/>
      <c r="L42" s="69"/>
      <c r="M42" s="69"/>
      <c r="N42" s="165"/>
      <c r="O42" s="165"/>
      <c r="AJ42" s="69"/>
      <c r="AK42" s="69"/>
      <c r="AL42" s="69"/>
      <c r="AM42" s="69"/>
      <c r="AN42" s="69"/>
    </row>
    <row r="43" spans="3:59" x14ac:dyDescent="0.25">
      <c r="E43" s="165"/>
      <c r="F43" s="165">
        <v>43868</v>
      </c>
      <c r="G43">
        <v>12</v>
      </c>
      <c r="H43" s="69" t="s">
        <v>364</v>
      </c>
      <c r="I43" s="69" t="s">
        <v>263</v>
      </c>
      <c r="J43" s="69"/>
      <c r="K43" s="69"/>
      <c r="L43" s="69"/>
      <c r="M43" s="69"/>
      <c r="N43" s="165"/>
      <c r="O43" s="165"/>
      <c r="AJ43" s="69"/>
      <c r="AK43" s="69"/>
      <c r="AL43" s="69"/>
      <c r="AM43" s="69"/>
      <c r="AN43" s="69"/>
    </row>
    <row r="44" spans="3:59" x14ac:dyDescent="0.25">
      <c r="E44" s="165"/>
      <c r="F44" s="270">
        <v>43871</v>
      </c>
      <c r="G44">
        <v>12</v>
      </c>
      <c r="H44" s="69" t="s">
        <v>364</v>
      </c>
      <c r="I44" s="69" t="s">
        <v>284</v>
      </c>
      <c r="J44" s="69"/>
      <c r="K44" s="69"/>
      <c r="L44" s="69"/>
      <c r="M44" s="69"/>
      <c r="N44" s="165"/>
      <c r="O44" s="165"/>
      <c r="AJ44" s="69"/>
      <c r="AK44" s="69"/>
      <c r="AL44" s="69"/>
      <c r="AM44" s="69"/>
      <c r="AN44" s="69"/>
    </row>
    <row r="45" spans="3:59" x14ac:dyDescent="0.25">
      <c r="E45" s="165"/>
      <c r="F45" s="270">
        <v>43872</v>
      </c>
      <c r="G45">
        <v>12</v>
      </c>
      <c r="H45" s="69" t="s">
        <v>364</v>
      </c>
      <c r="I45" s="69" t="s">
        <v>278</v>
      </c>
      <c r="J45" s="69"/>
      <c r="K45" s="69"/>
      <c r="L45" s="69"/>
      <c r="M45" s="69"/>
      <c r="N45" s="165"/>
      <c r="O45" s="165"/>
      <c r="AJ45" s="69"/>
      <c r="AK45" s="69"/>
      <c r="AL45" s="69"/>
      <c r="AM45" s="69"/>
      <c r="AN45" s="69"/>
    </row>
    <row r="46" spans="3:59" x14ac:dyDescent="0.25">
      <c r="E46" s="165"/>
      <c r="F46" s="271">
        <v>43873</v>
      </c>
      <c r="G46">
        <v>12</v>
      </c>
      <c r="H46" s="69" t="s">
        <v>364</v>
      </c>
      <c r="I46" s="69" t="s">
        <v>275</v>
      </c>
      <c r="J46" s="69"/>
      <c r="K46" s="69"/>
      <c r="L46" s="69"/>
      <c r="M46" s="69"/>
      <c r="N46" s="165"/>
      <c r="O46" s="165"/>
      <c r="AI46" s="69"/>
    </row>
    <row r="47" spans="3:59" x14ac:dyDescent="0.25">
      <c r="E47" s="165"/>
      <c r="G47" s="270">
        <v>43880</v>
      </c>
      <c r="H47">
        <v>15</v>
      </c>
      <c r="I47" s="69" t="s">
        <v>364</v>
      </c>
      <c r="J47" s="69" t="s">
        <v>211</v>
      </c>
      <c r="K47" s="69"/>
      <c r="L47" s="69"/>
      <c r="M47" s="69"/>
      <c r="N47" s="69"/>
      <c r="O47" s="165"/>
      <c r="P47" s="165"/>
      <c r="AI47" s="69"/>
    </row>
    <row r="48" spans="3:59" x14ac:dyDescent="0.25">
      <c r="E48" s="165"/>
      <c r="F48" s="165"/>
      <c r="G48" s="69"/>
      <c r="H48" s="69"/>
      <c r="I48" s="69"/>
      <c r="J48" s="69"/>
      <c r="K48" s="69"/>
      <c r="L48" s="69"/>
      <c r="M48" s="69"/>
      <c r="N48" s="165"/>
      <c r="O48" s="165"/>
      <c r="P48" s="217">
        <v>43882</v>
      </c>
      <c r="Q48">
        <v>35</v>
      </c>
      <c r="R48" s="69" t="s">
        <v>364</v>
      </c>
      <c r="S48" t="s">
        <v>212</v>
      </c>
    </row>
    <row r="49" spans="3:59" x14ac:dyDescent="0.25">
      <c r="E49" s="165"/>
      <c r="F49" s="165"/>
      <c r="G49" s="69"/>
      <c r="H49" s="69"/>
      <c r="I49" s="69"/>
      <c r="J49" s="69"/>
      <c r="K49" s="69"/>
      <c r="L49" s="69"/>
      <c r="M49" s="69"/>
      <c r="N49" s="165"/>
      <c r="O49" s="165"/>
      <c r="P49" s="271">
        <v>43883</v>
      </c>
      <c r="Q49">
        <v>35</v>
      </c>
      <c r="R49" s="69" t="s">
        <v>364</v>
      </c>
      <c r="S49" t="s">
        <v>233</v>
      </c>
    </row>
    <row r="50" spans="3:59" x14ac:dyDescent="0.25">
      <c r="E50" s="165"/>
      <c r="F50" s="165"/>
      <c r="G50" s="69"/>
      <c r="H50" s="69"/>
      <c r="I50" s="69"/>
      <c r="J50" s="69"/>
      <c r="K50" s="69"/>
      <c r="L50" s="69"/>
      <c r="M50" s="69"/>
      <c r="N50" s="165"/>
      <c r="O50" s="165"/>
      <c r="P50" s="217">
        <v>43884</v>
      </c>
      <c r="Q50">
        <v>35</v>
      </c>
      <c r="R50" s="69" t="s">
        <v>364</v>
      </c>
      <c r="S50" t="s">
        <v>213</v>
      </c>
      <c r="AJ50" s="69"/>
      <c r="AK50" s="69"/>
      <c r="AL50" s="69"/>
      <c r="AM50" s="69"/>
      <c r="AN50" s="69"/>
    </row>
    <row r="51" spans="3:59" x14ac:dyDescent="0.25">
      <c r="D51" s="217"/>
      <c r="P51" s="270">
        <v>43885</v>
      </c>
      <c r="Q51">
        <v>53</v>
      </c>
      <c r="R51" s="69" t="s">
        <v>364</v>
      </c>
      <c r="S51" t="s">
        <v>199</v>
      </c>
    </row>
    <row r="52" spans="3:59" x14ac:dyDescent="0.25">
      <c r="P52" s="165">
        <v>43886</v>
      </c>
      <c r="Q52">
        <v>57</v>
      </c>
      <c r="R52" s="69" t="s">
        <v>364</v>
      </c>
      <c r="S52" t="s">
        <v>214</v>
      </c>
    </row>
    <row r="53" spans="3:59" s="69" customFormat="1" x14ac:dyDescent="0.25">
      <c r="C53"/>
      <c r="D53"/>
      <c r="E53"/>
      <c r="F53"/>
      <c r="G53"/>
      <c r="H53"/>
      <c r="I53"/>
      <c r="J53"/>
      <c r="K53"/>
      <c r="L53"/>
      <c r="M53"/>
      <c r="N53"/>
      <c r="O53"/>
      <c r="P53" s="270">
        <v>43886</v>
      </c>
      <c r="Q53">
        <v>57</v>
      </c>
      <c r="R53" s="69" t="s">
        <v>364</v>
      </c>
      <c r="S53" t="s">
        <v>215</v>
      </c>
      <c r="T53"/>
      <c r="U53"/>
      <c r="V53"/>
      <c r="W53"/>
      <c r="X53"/>
      <c r="Y53"/>
      <c r="Z53"/>
      <c r="AA53"/>
      <c r="AB53"/>
      <c r="AC53"/>
      <c r="AD53"/>
      <c r="AE53"/>
      <c r="AF53"/>
      <c r="AG53"/>
      <c r="AH53"/>
      <c r="AI53"/>
      <c r="AJ53"/>
      <c r="AK53"/>
      <c r="AL53"/>
      <c r="AM53"/>
      <c r="AN53"/>
      <c r="AQ53"/>
      <c r="AR53"/>
      <c r="AS53"/>
      <c r="AT53"/>
      <c r="AU53"/>
      <c r="AV53"/>
      <c r="AW53"/>
      <c r="AX53"/>
      <c r="AY53"/>
      <c r="AZ53"/>
      <c r="BA53"/>
      <c r="BB53"/>
      <c r="BC53"/>
      <c r="BD53"/>
      <c r="BE53"/>
      <c r="BF53"/>
      <c r="BG53"/>
    </row>
    <row r="54" spans="3:59" x14ac:dyDescent="0.25">
      <c r="P54" s="270">
        <v>43886</v>
      </c>
      <c r="Q54">
        <v>57</v>
      </c>
      <c r="R54" s="69" t="s">
        <v>364</v>
      </c>
      <c r="S54" t="s">
        <v>277</v>
      </c>
      <c r="AO54" s="69"/>
      <c r="AP54" s="69"/>
    </row>
    <row r="55" spans="3:59" x14ac:dyDescent="0.25">
      <c r="P55" s="165">
        <v>43886</v>
      </c>
      <c r="Q55">
        <v>57</v>
      </c>
      <c r="R55" s="69" t="s">
        <v>364</v>
      </c>
      <c r="S55" t="s">
        <v>216</v>
      </c>
      <c r="AO55" s="69"/>
      <c r="AP55" s="69"/>
    </row>
    <row r="56" spans="3:59" x14ac:dyDescent="0.25">
      <c r="P56" s="270">
        <v>43887</v>
      </c>
      <c r="Q56">
        <v>60</v>
      </c>
      <c r="R56" s="69" t="s">
        <v>364</v>
      </c>
      <c r="S56" t="s">
        <v>217</v>
      </c>
      <c r="AO56" s="69"/>
      <c r="AP56" s="69"/>
    </row>
    <row r="57" spans="3:59" x14ac:dyDescent="0.25">
      <c r="P57" s="270">
        <v>43888</v>
      </c>
      <c r="Q57">
        <v>60</v>
      </c>
      <c r="R57" s="69" t="s">
        <v>364</v>
      </c>
      <c r="S57" t="s">
        <v>273</v>
      </c>
      <c r="AO57" s="69"/>
      <c r="AP57" s="69"/>
    </row>
    <row r="58" spans="3:59" x14ac:dyDescent="0.25">
      <c r="P58" s="270">
        <v>43888</v>
      </c>
      <c r="Q58">
        <v>60</v>
      </c>
      <c r="R58" s="69" t="s">
        <v>364</v>
      </c>
      <c r="S58" t="s">
        <v>274</v>
      </c>
      <c r="AJ58" s="69"/>
      <c r="AK58" s="69"/>
      <c r="AL58" s="69"/>
      <c r="AM58" s="69"/>
      <c r="AN58" s="69"/>
    </row>
    <row r="59" spans="3:59" x14ac:dyDescent="0.25">
      <c r="P59" s="270">
        <v>43889</v>
      </c>
      <c r="Q59">
        <v>63</v>
      </c>
      <c r="R59" s="69" t="s">
        <v>364</v>
      </c>
      <c r="S59" t="s">
        <v>285</v>
      </c>
      <c r="AJ59" s="69"/>
      <c r="AK59" s="69"/>
      <c r="AL59" s="69"/>
      <c r="AM59" s="69"/>
      <c r="AN59" s="69"/>
    </row>
    <row r="60" spans="3:59" x14ac:dyDescent="0.25">
      <c r="Q60" s="158">
        <v>43890</v>
      </c>
      <c r="R60">
        <v>68</v>
      </c>
      <c r="S60" s="69">
        <v>1</v>
      </c>
      <c r="T60" s="159" t="s">
        <v>201</v>
      </c>
      <c r="U60" s="159"/>
      <c r="V60" s="158">
        <f>Q60+14</f>
        <v>43904</v>
      </c>
      <c r="AQ60" s="69"/>
      <c r="AR60" s="69"/>
      <c r="AS60" s="69"/>
      <c r="AT60" s="69"/>
      <c r="AU60" s="69"/>
      <c r="AV60" s="69"/>
      <c r="AW60" s="69"/>
      <c r="AX60" s="69"/>
      <c r="AY60" s="69"/>
      <c r="AZ60" s="69"/>
      <c r="BA60" s="69"/>
      <c r="BB60" s="69"/>
    </row>
    <row r="61" spans="3:59" x14ac:dyDescent="0.25">
      <c r="Q61" s="270">
        <v>43890</v>
      </c>
      <c r="R61">
        <v>68</v>
      </c>
      <c r="S61" s="69">
        <v>1</v>
      </c>
      <c r="T61" s="69" t="s">
        <v>286</v>
      </c>
      <c r="U61" s="69"/>
      <c r="V61" s="165"/>
      <c r="AQ61" s="69"/>
      <c r="AR61" s="69"/>
      <c r="AS61" s="69"/>
      <c r="AT61" s="69"/>
      <c r="AU61" s="69"/>
      <c r="AV61" s="69"/>
      <c r="AW61" s="69"/>
      <c r="AX61" s="69"/>
      <c r="AY61" s="69"/>
      <c r="AZ61" s="69"/>
      <c r="BA61" s="69"/>
      <c r="BB61" s="69"/>
    </row>
    <row r="62" spans="3:59" x14ac:dyDescent="0.25">
      <c r="E62" s="165"/>
      <c r="Q62" s="158">
        <v>43892</v>
      </c>
      <c r="R62">
        <v>100</v>
      </c>
      <c r="S62" s="69">
        <v>6</v>
      </c>
      <c r="T62" s="158" t="s">
        <v>178</v>
      </c>
      <c r="U62" s="158"/>
      <c r="V62" s="159"/>
      <c r="W62" s="158">
        <v>43906</v>
      </c>
      <c r="AO62" s="69"/>
      <c r="AP62" s="69"/>
      <c r="AQ62" s="69"/>
      <c r="AR62" s="69"/>
      <c r="AS62" s="69"/>
      <c r="AT62" s="69"/>
      <c r="AU62" s="69"/>
      <c r="AV62" s="69"/>
      <c r="AW62" s="69"/>
      <c r="AX62" s="69"/>
      <c r="AY62" s="69"/>
      <c r="AZ62" s="69"/>
      <c r="BA62" s="69"/>
      <c r="BB62" s="69"/>
      <c r="BC62" s="69"/>
      <c r="BD62" s="69"/>
      <c r="BE62" s="69"/>
      <c r="BF62" s="69"/>
      <c r="BG62" s="69"/>
    </row>
    <row r="63" spans="3:59" x14ac:dyDescent="0.25">
      <c r="C63" s="69"/>
      <c r="D63" s="69"/>
      <c r="E63" s="165"/>
      <c r="F63" s="69"/>
      <c r="G63" s="69"/>
      <c r="H63" s="69"/>
      <c r="I63" s="69"/>
      <c r="J63" s="69"/>
      <c r="K63" s="69"/>
      <c r="L63" s="69"/>
      <c r="M63" s="69"/>
      <c r="N63" s="69"/>
      <c r="O63" s="69"/>
      <c r="P63" s="69"/>
      <c r="Q63" s="270">
        <v>43892</v>
      </c>
      <c r="R63">
        <v>100</v>
      </c>
      <c r="S63" s="69">
        <v>6</v>
      </c>
      <c r="T63" s="165" t="s">
        <v>287</v>
      </c>
      <c r="U63" s="165"/>
      <c r="V63" s="69"/>
      <c r="W63" s="165"/>
      <c r="X63" s="69"/>
      <c r="Y63" s="69"/>
      <c r="Z63" s="69"/>
      <c r="AA63" s="69"/>
      <c r="AB63" s="69"/>
      <c r="AC63" s="69"/>
      <c r="AD63" s="69"/>
      <c r="AE63" s="69"/>
      <c r="AF63" s="69"/>
      <c r="AG63" s="69"/>
      <c r="AH63" s="69"/>
      <c r="AQ63" s="69"/>
      <c r="AR63" s="69"/>
      <c r="AS63" s="69"/>
      <c r="AT63" s="69"/>
      <c r="AU63" s="69"/>
      <c r="AV63" s="69"/>
      <c r="AW63" s="69"/>
      <c r="AX63" s="69"/>
      <c r="AY63" s="69"/>
      <c r="AZ63" s="69"/>
      <c r="BA63" s="69"/>
      <c r="BB63" s="69"/>
    </row>
    <row r="64" spans="3:59" x14ac:dyDescent="0.25">
      <c r="C64" s="69"/>
      <c r="D64" s="69"/>
      <c r="E64" s="165"/>
      <c r="F64" s="69"/>
      <c r="G64" s="69"/>
      <c r="H64" s="69"/>
      <c r="I64" s="69"/>
      <c r="J64" s="69"/>
      <c r="K64" s="69"/>
      <c r="L64" s="69"/>
      <c r="M64" s="69"/>
      <c r="N64" s="69"/>
      <c r="O64" s="69"/>
      <c r="P64" s="69"/>
      <c r="Q64" s="165"/>
      <c r="R64" s="165">
        <v>43893</v>
      </c>
      <c r="S64">
        <v>124</v>
      </c>
      <c r="T64" s="69">
        <v>9</v>
      </c>
      <c r="U64" s="69" t="s">
        <v>227</v>
      </c>
      <c r="V64" s="69"/>
      <c r="W64" s="165"/>
      <c r="X64" s="69"/>
      <c r="Y64" s="69"/>
      <c r="Z64" s="69"/>
      <c r="AA64" s="69"/>
      <c r="AB64" s="69"/>
      <c r="AC64" s="69"/>
      <c r="AD64" s="69"/>
      <c r="AE64" s="69"/>
      <c r="AF64" s="69"/>
      <c r="AG64" s="69"/>
      <c r="AH64" s="69"/>
      <c r="AQ64" s="69"/>
      <c r="AR64" s="69"/>
      <c r="AS64" s="69"/>
      <c r="AT64" s="69"/>
      <c r="AU64" s="69"/>
      <c r="AV64" s="69"/>
      <c r="AW64" s="69"/>
      <c r="AX64" s="69"/>
      <c r="AY64" s="69"/>
      <c r="AZ64" s="69"/>
      <c r="BA64" s="69"/>
      <c r="BB64" s="69"/>
    </row>
    <row r="65" spans="3:59" x14ac:dyDescent="0.25">
      <c r="E65" s="165"/>
      <c r="R65" s="270">
        <v>43894</v>
      </c>
      <c r="S65">
        <v>158</v>
      </c>
      <c r="T65">
        <v>11</v>
      </c>
      <c r="U65" t="s">
        <v>202</v>
      </c>
      <c r="AQ65" s="69"/>
      <c r="AR65" s="69"/>
      <c r="AS65" s="69"/>
      <c r="AT65" s="69"/>
      <c r="AU65" s="69"/>
      <c r="AV65" s="69"/>
      <c r="AW65" s="69"/>
      <c r="AX65" s="69"/>
      <c r="AY65" s="69"/>
      <c r="AZ65" s="69"/>
      <c r="BA65" s="69"/>
      <c r="BB65" s="69"/>
    </row>
    <row r="66" spans="3:59" x14ac:dyDescent="0.25">
      <c r="E66" s="165"/>
      <c r="R66" s="270">
        <v>43894</v>
      </c>
      <c r="S66">
        <v>158</v>
      </c>
      <c r="T66">
        <v>11</v>
      </c>
      <c r="U66" t="s">
        <v>331</v>
      </c>
      <c r="AQ66" s="69"/>
      <c r="AR66" s="69"/>
      <c r="AS66" s="69"/>
      <c r="AT66" s="69"/>
      <c r="AU66" s="69"/>
      <c r="AV66" s="69"/>
      <c r="AW66" s="69"/>
      <c r="AX66" s="69"/>
      <c r="AY66" s="69"/>
      <c r="AZ66" s="69"/>
      <c r="BA66" s="69"/>
      <c r="BB66" s="69"/>
    </row>
    <row r="67" spans="3:59" x14ac:dyDescent="0.25">
      <c r="E67" s="165"/>
      <c r="R67" s="165"/>
      <c r="S67" s="270">
        <v>43895</v>
      </c>
      <c r="T67">
        <v>221</v>
      </c>
      <c r="U67" s="166">
        <v>12</v>
      </c>
      <c r="V67" s="69" t="s">
        <v>332</v>
      </c>
      <c r="W67" s="165"/>
      <c r="AQ67" s="69"/>
      <c r="AR67" s="69"/>
      <c r="AS67" s="69"/>
      <c r="AT67" s="69"/>
      <c r="AU67" s="69"/>
      <c r="AV67" s="69"/>
      <c r="AW67" s="69"/>
      <c r="AX67" s="69"/>
      <c r="AY67" s="69"/>
      <c r="AZ67" s="69"/>
      <c r="BA67" s="69"/>
      <c r="BB67" s="69"/>
    </row>
    <row r="68" spans="3:59" x14ac:dyDescent="0.25">
      <c r="E68" s="165"/>
      <c r="R68" s="165"/>
      <c r="S68" s="270">
        <v>43895</v>
      </c>
      <c r="T68">
        <v>221</v>
      </c>
      <c r="U68" s="166">
        <v>12</v>
      </c>
      <c r="V68" s="69" t="s">
        <v>282</v>
      </c>
      <c r="W68" s="165"/>
      <c r="AQ68" s="69"/>
      <c r="AR68" s="69"/>
      <c r="AS68" s="69"/>
      <c r="AT68" s="69"/>
      <c r="AU68" s="69"/>
      <c r="AV68" s="69"/>
      <c r="AW68" s="69"/>
      <c r="AX68" s="69"/>
      <c r="AY68" s="69"/>
      <c r="AZ68" s="69"/>
      <c r="BA68" s="69"/>
      <c r="BB68" s="69"/>
    </row>
    <row r="69" spans="3:59" x14ac:dyDescent="0.25">
      <c r="E69" s="165"/>
      <c r="R69" s="165"/>
      <c r="S69" s="270">
        <v>43896</v>
      </c>
      <c r="T69">
        <v>319</v>
      </c>
      <c r="U69" s="166">
        <v>15</v>
      </c>
      <c r="V69" s="69" t="s">
        <v>240</v>
      </c>
      <c r="W69" s="165"/>
      <c r="AI69" s="69"/>
      <c r="AQ69" s="69"/>
      <c r="AR69" s="69"/>
      <c r="AS69" s="69"/>
      <c r="AT69" s="69"/>
      <c r="AU69" s="69"/>
      <c r="AV69" s="69"/>
      <c r="AW69" s="69"/>
      <c r="AX69" s="69"/>
      <c r="AY69" s="69"/>
      <c r="AZ69" s="69"/>
      <c r="BA69" s="69"/>
      <c r="BB69" s="69"/>
    </row>
    <row r="70" spans="3:59" x14ac:dyDescent="0.25">
      <c r="C70" s="69"/>
      <c r="D70" s="69"/>
      <c r="E70" s="165"/>
      <c r="F70" s="69"/>
      <c r="G70" s="69"/>
      <c r="H70" s="69"/>
      <c r="I70" s="69"/>
      <c r="J70" s="69"/>
      <c r="K70" s="69"/>
      <c r="L70" s="69"/>
      <c r="M70" s="69"/>
      <c r="N70" s="69"/>
      <c r="O70" s="69"/>
      <c r="P70" s="69"/>
      <c r="Q70" s="69"/>
      <c r="R70" s="165"/>
      <c r="S70" s="165">
        <v>43896</v>
      </c>
      <c r="T70">
        <v>319</v>
      </c>
      <c r="U70" s="166">
        <v>15</v>
      </c>
      <c r="V70" s="69" t="s">
        <v>251</v>
      </c>
      <c r="W70" s="165"/>
      <c r="X70" s="69"/>
      <c r="Y70" s="69"/>
      <c r="Z70" s="69"/>
      <c r="AA70" s="69"/>
      <c r="AB70" s="69"/>
      <c r="AC70" s="69"/>
      <c r="AD70" s="69"/>
      <c r="AE70" s="69"/>
      <c r="AF70" s="69"/>
      <c r="AG70" s="69"/>
      <c r="AH70" s="69"/>
      <c r="AI70" s="69"/>
      <c r="AO70" s="69"/>
      <c r="AP70" s="69"/>
    </row>
    <row r="71" spans="3:59" x14ac:dyDescent="0.25">
      <c r="C71" s="69"/>
      <c r="D71" s="69"/>
      <c r="E71" s="165"/>
      <c r="F71" s="69"/>
      <c r="G71" s="69"/>
      <c r="H71" s="69"/>
      <c r="I71" s="69"/>
      <c r="J71" s="69"/>
      <c r="K71" s="69"/>
      <c r="L71" s="69"/>
      <c r="M71" s="69"/>
      <c r="N71" s="69"/>
      <c r="O71" s="69"/>
      <c r="P71" s="69"/>
      <c r="Q71" s="69"/>
      <c r="R71" s="165"/>
      <c r="S71" s="270">
        <v>43896</v>
      </c>
      <c r="T71">
        <v>319</v>
      </c>
      <c r="U71" s="166">
        <v>15</v>
      </c>
      <c r="V71" s="69" t="s">
        <v>289</v>
      </c>
      <c r="W71" s="165"/>
      <c r="X71" s="69"/>
      <c r="Y71" s="69"/>
      <c r="Z71" s="69"/>
      <c r="AA71" s="69"/>
      <c r="AB71" s="69"/>
      <c r="AC71" s="69"/>
      <c r="AD71" s="69"/>
      <c r="AE71" s="69"/>
      <c r="AF71" s="69"/>
      <c r="AG71" s="69"/>
      <c r="AH71" s="69"/>
      <c r="AO71" s="69"/>
      <c r="AP71" s="69"/>
    </row>
    <row r="72" spans="3:59" x14ac:dyDescent="0.25">
      <c r="C72" s="69"/>
      <c r="D72" s="69"/>
      <c r="E72" s="165"/>
      <c r="F72" s="69"/>
      <c r="G72" s="69"/>
      <c r="H72" s="69"/>
      <c r="I72" s="69"/>
      <c r="J72" s="69"/>
      <c r="K72" s="69"/>
      <c r="L72" s="69"/>
      <c r="M72" s="69"/>
      <c r="N72" s="69"/>
      <c r="O72" s="69"/>
      <c r="P72" s="69"/>
      <c r="Q72" s="69"/>
      <c r="R72" s="165"/>
      <c r="S72" s="270">
        <v>43896</v>
      </c>
      <c r="T72">
        <v>319</v>
      </c>
      <c r="U72" s="166">
        <v>15</v>
      </c>
      <c r="V72" s="69" t="s">
        <v>290</v>
      </c>
      <c r="W72" s="165"/>
      <c r="X72" s="69"/>
      <c r="Y72" s="69"/>
      <c r="Z72" s="69"/>
      <c r="AA72" s="69"/>
      <c r="AB72" s="69"/>
      <c r="AC72" s="69"/>
      <c r="AD72" s="69"/>
      <c r="AE72" s="69"/>
      <c r="AF72" s="69"/>
      <c r="AG72" s="69"/>
      <c r="AH72" s="69"/>
    </row>
    <row r="73" spans="3:59" x14ac:dyDescent="0.25">
      <c r="C73" s="69"/>
      <c r="D73" s="69"/>
      <c r="E73" s="165"/>
      <c r="F73" s="69"/>
      <c r="G73" s="69"/>
      <c r="H73" s="69"/>
      <c r="I73" s="69"/>
      <c r="J73" s="69"/>
      <c r="K73" s="69"/>
      <c r="L73" s="69"/>
      <c r="M73" s="69"/>
      <c r="N73" s="69"/>
      <c r="O73" s="69"/>
      <c r="P73" s="69"/>
      <c r="Q73" s="69"/>
      <c r="R73" s="165"/>
      <c r="S73" s="270">
        <v>43897</v>
      </c>
      <c r="T73">
        <v>435</v>
      </c>
      <c r="U73" s="166">
        <v>19</v>
      </c>
      <c r="V73" s="69" t="s">
        <v>276</v>
      </c>
      <c r="W73" s="165"/>
      <c r="X73" s="69"/>
      <c r="Y73" s="69"/>
      <c r="Z73" s="69"/>
      <c r="AA73" s="69"/>
      <c r="AB73" s="69"/>
      <c r="AC73" s="69"/>
      <c r="AD73" s="69"/>
      <c r="AE73" s="69"/>
      <c r="AF73" s="69"/>
      <c r="AG73" s="69"/>
      <c r="AH73" s="69"/>
    </row>
    <row r="74" spans="3:59" s="69" customFormat="1" x14ac:dyDescent="0.25">
      <c r="E74" s="165"/>
      <c r="R74" s="165"/>
      <c r="S74" s="165"/>
      <c r="T74" s="270">
        <v>43898</v>
      </c>
      <c r="U74" s="69">
        <v>541</v>
      </c>
      <c r="V74" s="69">
        <v>22</v>
      </c>
      <c r="W74" s="165" t="s">
        <v>291</v>
      </c>
      <c r="AI74"/>
      <c r="AJ74"/>
      <c r="AK74"/>
      <c r="AL74"/>
      <c r="AM74"/>
      <c r="AN74"/>
      <c r="AO74"/>
      <c r="AP74"/>
      <c r="AQ74"/>
      <c r="AR74"/>
      <c r="AS74"/>
      <c r="AT74"/>
      <c r="AU74"/>
      <c r="AV74"/>
      <c r="AW74"/>
      <c r="AX74"/>
      <c r="AY74"/>
      <c r="AZ74"/>
      <c r="BA74"/>
      <c r="BB74"/>
      <c r="BC74"/>
      <c r="BD74"/>
      <c r="BE74"/>
      <c r="BF74"/>
      <c r="BG74"/>
    </row>
    <row r="75" spans="3:59" x14ac:dyDescent="0.25">
      <c r="E75" s="165"/>
      <c r="R75" s="165"/>
      <c r="T75" s="270">
        <v>43899</v>
      </c>
      <c r="U75">
        <v>704</v>
      </c>
      <c r="V75" s="69">
        <v>26</v>
      </c>
      <c r="W75" s="165" t="s">
        <v>359</v>
      </c>
    </row>
    <row r="76" spans="3:59" x14ac:dyDescent="0.25">
      <c r="E76" s="165"/>
      <c r="R76" s="165"/>
      <c r="T76" s="270">
        <v>43899</v>
      </c>
      <c r="U76">
        <v>704</v>
      </c>
      <c r="V76" s="69">
        <v>26</v>
      </c>
      <c r="W76" s="165" t="s">
        <v>333</v>
      </c>
      <c r="AI76" s="69"/>
    </row>
    <row r="77" spans="3:59" x14ac:dyDescent="0.25">
      <c r="E77" s="165"/>
      <c r="R77" s="165"/>
      <c r="T77" s="270">
        <v>43899</v>
      </c>
      <c r="U77">
        <v>704</v>
      </c>
      <c r="V77" s="69">
        <v>26</v>
      </c>
      <c r="W77" s="165" t="s">
        <v>218</v>
      </c>
      <c r="AI77" s="69"/>
    </row>
    <row r="78" spans="3:59" x14ac:dyDescent="0.25">
      <c r="E78" s="165"/>
      <c r="R78" s="165"/>
      <c r="T78" s="270">
        <v>43900</v>
      </c>
      <c r="U78">
        <v>994</v>
      </c>
      <c r="V78" s="69">
        <v>30</v>
      </c>
      <c r="W78" s="165" t="s">
        <v>292</v>
      </c>
      <c r="AI78" s="69"/>
      <c r="BC78" s="69"/>
    </row>
    <row r="79" spans="3:59" x14ac:dyDescent="0.25">
      <c r="E79" s="165"/>
      <c r="R79" s="165"/>
      <c r="T79" s="270">
        <v>43900</v>
      </c>
      <c r="U79">
        <v>994</v>
      </c>
      <c r="V79" s="69">
        <v>30</v>
      </c>
      <c r="W79" s="165" t="s">
        <v>219</v>
      </c>
      <c r="AI79" s="69"/>
      <c r="BC79" s="69"/>
    </row>
    <row r="80" spans="3:59" x14ac:dyDescent="0.25">
      <c r="E80" s="165"/>
      <c r="R80" s="165"/>
      <c r="S80" s="165"/>
      <c r="T80" s="69"/>
      <c r="U80" s="271">
        <v>43901</v>
      </c>
      <c r="V80" s="2">
        <v>1301</v>
      </c>
      <c r="W80" s="35">
        <v>38</v>
      </c>
      <c r="X80" s="69" t="s">
        <v>204</v>
      </c>
      <c r="AI80" s="69"/>
      <c r="BC80" s="69"/>
    </row>
    <row r="81" spans="3:59" x14ac:dyDescent="0.25">
      <c r="E81" s="165"/>
      <c r="R81" s="165"/>
      <c r="S81" s="165"/>
      <c r="T81" s="69"/>
      <c r="U81" s="270">
        <v>43901</v>
      </c>
      <c r="V81" s="2">
        <v>1301</v>
      </c>
      <c r="W81" s="35">
        <v>38</v>
      </c>
      <c r="X81" s="69" t="s">
        <v>250</v>
      </c>
      <c r="AJ81" s="69"/>
      <c r="AK81" s="69"/>
      <c r="AL81" s="69"/>
      <c r="AM81" s="69"/>
      <c r="AN81" s="69"/>
      <c r="AQ81" s="69"/>
      <c r="AR81" s="69"/>
      <c r="AS81" s="69"/>
      <c r="AT81" s="69"/>
      <c r="AU81" s="69"/>
      <c r="AV81" s="69"/>
      <c r="AW81" s="69"/>
      <c r="AX81" s="69"/>
      <c r="AY81" s="69"/>
      <c r="AZ81" s="69"/>
      <c r="BA81" s="69"/>
      <c r="BB81" s="69"/>
      <c r="BC81" s="69"/>
    </row>
    <row r="82" spans="3:59" x14ac:dyDescent="0.25">
      <c r="E82" s="165"/>
      <c r="U82" s="270">
        <v>43901</v>
      </c>
      <c r="V82" s="2">
        <v>1301</v>
      </c>
      <c r="W82" s="35">
        <v>38</v>
      </c>
      <c r="X82" t="s">
        <v>224</v>
      </c>
      <c r="AJ82" s="69"/>
      <c r="AK82" s="69"/>
      <c r="AL82" s="69"/>
      <c r="AM82" s="69"/>
      <c r="AN82" s="69"/>
      <c r="BC82" s="69"/>
    </row>
    <row r="83" spans="3:59" x14ac:dyDescent="0.25">
      <c r="C83" s="69"/>
      <c r="D83" s="69"/>
      <c r="E83" s="165"/>
      <c r="F83" s="69"/>
      <c r="G83" s="69"/>
      <c r="H83" s="69"/>
      <c r="I83" s="69"/>
      <c r="J83" s="69"/>
      <c r="K83" s="69"/>
      <c r="L83" s="69"/>
      <c r="M83" s="69"/>
      <c r="N83" s="69"/>
      <c r="O83" s="69"/>
      <c r="P83" s="69"/>
      <c r="Q83" s="69"/>
      <c r="R83" s="165"/>
      <c r="S83" s="165"/>
      <c r="T83" s="69"/>
      <c r="U83" s="165">
        <v>43902</v>
      </c>
      <c r="V83" s="2">
        <v>1630</v>
      </c>
      <c r="W83" s="35">
        <v>41</v>
      </c>
      <c r="X83" s="69" t="s">
        <v>243</v>
      </c>
      <c r="Y83" s="69"/>
      <c r="Z83" s="69"/>
      <c r="AA83" s="69"/>
      <c r="AB83" s="69"/>
      <c r="AC83" s="69"/>
      <c r="AD83" s="69"/>
      <c r="AE83" s="69"/>
      <c r="AF83" s="69"/>
      <c r="AG83" s="69"/>
      <c r="AH83" s="69"/>
      <c r="BC83" s="69"/>
    </row>
    <row r="84" spans="3:59" x14ac:dyDescent="0.25">
      <c r="E84" s="165"/>
      <c r="U84" s="270">
        <v>43902</v>
      </c>
      <c r="V84" s="2">
        <v>1630</v>
      </c>
      <c r="W84" s="2">
        <v>41</v>
      </c>
      <c r="X84" t="s">
        <v>220</v>
      </c>
      <c r="BC84" s="69"/>
    </row>
    <row r="85" spans="3:59" x14ac:dyDescent="0.25">
      <c r="E85" s="165"/>
      <c r="U85" s="158">
        <v>43903</v>
      </c>
      <c r="V85" s="2">
        <v>2183</v>
      </c>
      <c r="W85" s="35">
        <v>48</v>
      </c>
      <c r="X85" s="159" t="s">
        <v>179</v>
      </c>
      <c r="Y85" s="159"/>
      <c r="Z85" s="159"/>
      <c r="AA85" s="159"/>
      <c r="AB85" s="159"/>
      <c r="AC85" s="159"/>
      <c r="AD85" s="159"/>
      <c r="AE85" s="159"/>
      <c r="AF85" s="159"/>
      <c r="AG85" s="159"/>
      <c r="BC85" s="69"/>
      <c r="BD85" s="69"/>
      <c r="BE85" s="69"/>
      <c r="BF85" s="69"/>
      <c r="BG85" s="69"/>
    </row>
    <row r="86" spans="3:59" x14ac:dyDescent="0.25">
      <c r="E86" s="165"/>
      <c r="U86" s="270">
        <v>43903</v>
      </c>
      <c r="V86" s="2">
        <v>2183</v>
      </c>
      <c r="W86" s="2">
        <v>48</v>
      </c>
      <c r="X86" t="s">
        <v>221</v>
      </c>
      <c r="BD86" s="69"/>
      <c r="BE86" s="69"/>
      <c r="BF86" s="69"/>
      <c r="BG86" s="69"/>
    </row>
    <row r="87" spans="3:59" x14ac:dyDescent="0.25">
      <c r="E87" s="165"/>
      <c r="U87" s="270">
        <v>43903</v>
      </c>
      <c r="V87" s="2">
        <v>2183</v>
      </c>
      <c r="W87" s="2">
        <v>48</v>
      </c>
      <c r="X87" t="s">
        <v>222</v>
      </c>
      <c r="BD87" s="69"/>
      <c r="BE87" s="69"/>
      <c r="BF87" s="69"/>
      <c r="BG87" s="69"/>
    </row>
    <row r="88" spans="3:59" x14ac:dyDescent="0.25">
      <c r="C88" s="69"/>
      <c r="D88" s="69"/>
      <c r="E88" s="165"/>
      <c r="F88" s="69"/>
      <c r="G88" s="69"/>
      <c r="H88" s="69"/>
      <c r="I88" s="69"/>
      <c r="J88" s="69"/>
      <c r="K88" s="69"/>
      <c r="L88" s="69"/>
      <c r="M88" s="69"/>
      <c r="N88" s="69"/>
      <c r="O88" s="69"/>
      <c r="P88" s="69"/>
      <c r="Q88" s="69"/>
      <c r="R88" s="69"/>
      <c r="S88" s="69"/>
      <c r="T88" s="69"/>
      <c r="U88" s="165">
        <v>43903</v>
      </c>
      <c r="V88" s="2">
        <v>2183</v>
      </c>
      <c r="W88" s="35">
        <v>48</v>
      </c>
      <c r="X88" s="69" t="s">
        <v>258</v>
      </c>
      <c r="Y88" s="69"/>
      <c r="Z88" s="69"/>
      <c r="AA88" s="69"/>
      <c r="AB88" s="69"/>
      <c r="AC88" s="69"/>
      <c r="AD88" s="69"/>
      <c r="AE88" s="69"/>
      <c r="AF88" s="69"/>
      <c r="AG88" s="69"/>
      <c r="AH88" s="69"/>
      <c r="AJ88" s="69"/>
      <c r="AK88" s="69"/>
      <c r="AL88" s="69"/>
      <c r="AM88" s="69"/>
      <c r="AN88" s="69"/>
      <c r="BD88" s="69"/>
      <c r="BE88" s="69"/>
      <c r="BF88" s="69"/>
      <c r="BG88" s="69"/>
    </row>
    <row r="89" spans="3:59" x14ac:dyDescent="0.25">
      <c r="D89" s="165"/>
      <c r="Q89" s="69"/>
      <c r="R89" s="165"/>
      <c r="S89" s="69"/>
      <c r="T89" s="69"/>
      <c r="U89" s="69"/>
      <c r="V89" s="158">
        <v>43904</v>
      </c>
      <c r="W89" s="2">
        <v>2771</v>
      </c>
      <c r="X89" s="2">
        <v>58</v>
      </c>
      <c r="Y89" s="159" t="s">
        <v>174</v>
      </c>
      <c r="Z89" s="159"/>
      <c r="AA89" s="158"/>
      <c r="AB89" s="158"/>
      <c r="AC89" s="159"/>
      <c r="AD89" s="158">
        <v>43918</v>
      </c>
      <c r="AI89" s="69"/>
      <c r="AJ89" s="69"/>
      <c r="AK89" s="69"/>
      <c r="AL89" s="69"/>
      <c r="AM89" s="69"/>
      <c r="AN89" s="69"/>
      <c r="BD89" s="69"/>
      <c r="BE89" s="69"/>
      <c r="BF89" s="69"/>
      <c r="BG89" s="69"/>
    </row>
    <row r="90" spans="3:59" x14ac:dyDescent="0.25">
      <c r="D90" s="69"/>
      <c r="E90" s="69"/>
      <c r="F90" s="165"/>
      <c r="G90" s="165"/>
      <c r="H90" s="165"/>
      <c r="I90" s="165"/>
      <c r="J90" s="165"/>
      <c r="K90" s="165"/>
      <c r="L90" s="165"/>
      <c r="M90" s="165"/>
      <c r="N90" s="165"/>
      <c r="O90" s="165"/>
      <c r="P90" s="69"/>
      <c r="Q90" s="69"/>
      <c r="V90" s="69"/>
      <c r="W90" s="158">
        <v>43906</v>
      </c>
      <c r="X90" s="2">
        <v>4604</v>
      </c>
      <c r="Y90" s="2">
        <v>95</v>
      </c>
      <c r="Z90" s="159" t="s">
        <v>360</v>
      </c>
      <c r="AA90" s="159"/>
      <c r="AB90" s="159"/>
      <c r="AC90" s="159"/>
      <c r="AD90" s="159"/>
      <c r="AE90" s="159"/>
      <c r="AF90" s="159"/>
      <c r="AG90" s="159"/>
      <c r="AJ90" s="69"/>
      <c r="AK90" s="69"/>
      <c r="AL90" s="69"/>
      <c r="AM90" s="69"/>
      <c r="AN90" s="69"/>
      <c r="BD90" s="69"/>
      <c r="BE90" s="69"/>
      <c r="BF90" s="69"/>
      <c r="BG90" s="69"/>
    </row>
    <row r="91" spans="3:59" x14ac:dyDescent="0.25">
      <c r="D91" s="69"/>
      <c r="E91" s="69"/>
      <c r="F91" s="69"/>
      <c r="G91" s="69"/>
      <c r="H91" s="69"/>
      <c r="I91" s="69"/>
      <c r="J91" s="69"/>
      <c r="K91" s="69"/>
      <c r="L91" s="69"/>
      <c r="M91" s="69"/>
      <c r="N91" s="69"/>
      <c r="O91" s="69"/>
      <c r="P91" s="165"/>
      <c r="Q91" s="69"/>
      <c r="R91" s="69"/>
      <c r="S91" s="69"/>
      <c r="T91" s="165"/>
      <c r="W91" s="270">
        <v>43907</v>
      </c>
      <c r="X91" s="2">
        <v>6357</v>
      </c>
      <c r="Y91" s="2">
        <v>121</v>
      </c>
      <c r="Z91" t="s">
        <v>203</v>
      </c>
      <c r="AJ91" s="69"/>
      <c r="AK91" s="69"/>
      <c r="AL91" s="69"/>
      <c r="AM91" s="69"/>
      <c r="AN91" s="69"/>
      <c r="BD91" s="69"/>
      <c r="BE91" s="69"/>
      <c r="BF91" s="69"/>
      <c r="BG91" s="69"/>
    </row>
    <row r="92" spans="3:59" x14ac:dyDescent="0.25">
      <c r="X92" s="158">
        <v>43908</v>
      </c>
      <c r="Y92" s="2">
        <v>9317</v>
      </c>
      <c r="Z92" s="35">
        <v>171</v>
      </c>
      <c r="AA92" s="159" t="s">
        <v>175</v>
      </c>
      <c r="AB92" s="158">
        <v>43922</v>
      </c>
      <c r="AJ92" s="69"/>
      <c r="AK92" s="69"/>
      <c r="AL92" s="69"/>
      <c r="AM92" s="69"/>
      <c r="AN92" s="69"/>
      <c r="BD92" s="69"/>
      <c r="BE92" s="69"/>
      <c r="BF92" s="69"/>
      <c r="BG92" s="69"/>
    </row>
    <row r="93" spans="3:59" x14ac:dyDescent="0.25">
      <c r="X93" s="270">
        <v>43908</v>
      </c>
      <c r="Y93" s="2">
        <v>9317</v>
      </c>
      <c r="Z93" s="35">
        <v>171</v>
      </c>
      <c r="AA93" s="69" t="s">
        <v>244</v>
      </c>
      <c r="AB93" s="165"/>
      <c r="AO93" s="69"/>
      <c r="AP93" s="69"/>
      <c r="AQ93" s="69"/>
      <c r="AR93" s="69"/>
      <c r="AS93" s="69"/>
      <c r="AT93" s="69"/>
      <c r="AU93" s="69"/>
      <c r="AV93" s="69"/>
      <c r="AW93" s="69"/>
      <c r="AX93" s="69"/>
      <c r="AY93" s="69"/>
      <c r="AZ93" s="69"/>
      <c r="BA93" s="69"/>
      <c r="BB93" s="69"/>
      <c r="BC93" s="69"/>
      <c r="BD93" s="69"/>
      <c r="BE93" s="69"/>
      <c r="BF93" s="69"/>
      <c r="BG93" s="69"/>
    </row>
    <row r="94" spans="3:59" x14ac:dyDescent="0.25">
      <c r="X94" s="270">
        <v>43909</v>
      </c>
      <c r="Y94" s="2">
        <v>13898</v>
      </c>
      <c r="Z94" s="35">
        <v>239</v>
      </c>
      <c r="AA94" s="69" t="s">
        <v>293</v>
      </c>
      <c r="AB94" s="165"/>
      <c r="AC94" s="69"/>
      <c r="AD94" s="69"/>
      <c r="AE94" s="69"/>
      <c r="AF94" s="69"/>
      <c r="AI94" s="69"/>
      <c r="AO94" s="69"/>
      <c r="AP94" s="69"/>
      <c r="BD94" s="69"/>
      <c r="BE94" s="69"/>
      <c r="BF94" s="69"/>
      <c r="BG94" s="69"/>
    </row>
    <row r="95" spans="3:59" x14ac:dyDescent="0.25">
      <c r="Y95" s="158">
        <v>43910</v>
      </c>
      <c r="Z95" s="2">
        <v>19551</v>
      </c>
      <c r="AA95" s="2">
        <v>309</v>
      </c>
      <c r="AB95" s="159" t="s">
        <v>176</v>
      </c>
      <c r="AD95" s="159"/>
      <c r="AE95" s="158">
        <v>43924</v>
      </c>
      <c r="BD95" s="69"/>
      <c r="BE95" s="69"/>
      <c r="BF95" s="69"/>
      <c r="BG95" s="69"/>
    </row>
    <row r="96" spans="3:59" x14ac:dyDescent="0.25">
      <c r="Y96" s="165"/>
      <c r="Z96" s="270">
        <v>43913</v>
      </c>
      <c r="AA96" s="2">
        <v>44189</v>
      </c>
      <c r="AB96" s="2">
        <v>689</v>
      </c>
      <c r="AC96" s="69" t="s">
        <v>329</v>
      </c>
      <c r="AD96" s="69"/>
      <c r="AE96" s="165"/>
      <c r="BD96" s="69"/>
      <c r="BE96" s="69"/>
      <c r="BF96" s="69"/>
      <c r="BG96" s="69"/>
    </row>
    <row r="97" spans="3:59" s="69" customFormat="1" x14ac:dyDescent="0.25">
      <c r="C97"/>
      <c r="D97"/>
      <c r="E97"/>
      <c r="F97"/>
      <c r="G97"/>
      <c r="H97"/>
      <c r="I97"/>
      <c r="J97"/>
      <c r="K97"/>
      <c r="L97"/>
      <c r="M97"/>
      <c r="N97"/>
      <c r="O97"/>
      <c r="P97"/>
      <c r="Q97"/>
      <c r="R97"/>
      <c r="S97"/>
      <c r="T97"/>
      <c r="U97"/>
      <c r="V97"/>
      <c r="W97"/>
      <c r="X97"/>
      <c r="Y97"/>
      <c r="Z97" s="158">
        <v>43914</v>
      </c>
      <c r="AA97" s="35">
        <v>55398</v>
      </c>
      <c r="AB97" s="35">
        <v>957</v>
      </c>
      <c r="AC97" s="159" t="s">
        <v>177</v>
      </c>
      <c r="AD97" s="159"/>
      <c r="AE97" s="158">
        <v>43928</v>
      </c>
      <c r="AF97"/>
      <c r="AG97"/>
      <c r="AH97"/>
      <c r="AI97"/>
      <c r="AJ97"/>
      <c r="AK97"/>
      <c r="AL97"/>
      <c r="AM97"/>
      <c r="AN97"/>
      <c r="AO97"/>
      <c r="AP97"/>
      <c r="AQ97"/>
      <c r="AR97"/>
      <c r="AS97"/>
      <c r="AT97"/>
      <c r="AU97"/>
      <c r="AV97"/>
      <c r="AW97"/>
      <c r="AX97"/>
      <c r="AY97"/>
      <c r="AZ97"/>
      <c r="BA97"/>
      <c r="BB97"/>
      <c r="BD97"/>
      <c r="BE97"/>
      <c r="BF97"/>
      <c r="BG97"/>
    </row>
    <row r="98" spans="3:59" s="69" customFormat="1" x14ac:dyDescent="0.25">
      <c r="C98"/>
      <c r="D98"/>
      <c r="E98"/>
      <c r="F98"/>
      <c r="G98"/>
      <c r="H98"/>
      <c r="I98"/>
      <c r="J98"/>
      <c r="K98"/>
      <c r="L98"/>
      <c r="M98"/>
      <c r="N98"/>
      <c r="O98"/>
      <c r="P98"/>
      <c r="Q98"/>
      <c r="R98"/>
      <c r="S98"/>
      <c r="T98"/>
      <c r="U98"/>
      <c r="V98"/>
      <c r="W98"/>
      <c r="X98"/>
      <c r="Y98"/>
      <c r="Z98" s="270">
        <v>43914</v>
      </c>
      <c r="AA98" s="35">
        <v>55398</v>
      </c>
      <c r="AB98" s="35">
        <v>957</v>
      </c>
      <c r="AC98" t="s">
        <v>241</v>
      </c>
      <c r="AD98"/>
      <c r="AE98"/>
      <c r="AF98"/>
      <c r="AG98"/>
      <c r="AH98"/>
      <c r="AI98"/>
      <c r="AJ98"/>
      <c r="AK98"/>
      <c r="AL98"/>
      <c r="AM98"/>
      <c r="AN98"/>
      <c r="AO98"/>
      <c r="AP98"/>
      <c r="AQ98"/>
      <c r="AR98"/>
      <c r="AS98"/>
      <c r="AT98"/>
      <c r="AU98"/>
      <c r="AV98"/>
      <c r="AW98"/>
      <c r="AX98"/>
      <c r="AY98"/>
      <c r="AZ98"/>
      <c r="BA98"/>
      <c r="BB98"/>
      <c r="BD98"/>
      <c r="BE98"/>
      <c r="BF98"/>
      <c r="BG98"/>
    </row>
    <row r="99" spans="3:59" s="69" customFormat="1" x14ac:dyDescent="0.25">
      <c r="Z99" s="165">
        <v>43914</v>
      </c>
      <c r="AA99" s="35">
        <v>55398</v>
      </c>
      <c r="AB99" s="35">
        <v>957</v>
      </c>
      <c r="AC99" s="69" t="s">
        <v>301</v>
      </c>
      <c r="AI99"/>
      <c r="AJ99"/>
      <c r="AK99"/>
      <c r="AL99"/>
      <c r="AM99"/>
      <c r="AN99"/>
      <c r="AO99"/>
      <c r="AP99"/>
      <c r="AQ99"/>
      <c r="AR99"/>
      <c r="AS99"/>
      <c r="AT99"/>
      <c r="AU99"/>
      <c r="AV99"/>
      <c r="AW99"/>
      <c r="AX99"/>
      <c r="AY99"/>
      <c r="AZ99"/>
      <c r="BA99"/>
      <c r="BB99"/>
      <c r="BC99"/>
      <c r="BD99"/>
      <c r="BE99"/>
      <c r="BF99"/>
      <c r="BG99"/>
    </row>
    <row r="100" spans="3:59" s="69" customFormat="1" x14ac:dyDescent="0.25">
      <c r="Z100" s="165"/>
      <c r="AA100" s="217">
        <v>43917</v>
      </c>
      <c r="AB100" s="35">
        <v>105217</v>
      </c>
      <c r="AC100" s="2">
        <v>2110</v>
      </c>
      <c r="AD100" s="217" t="s">
        <v>225</v>
      </c>
      <c r="AI100"/>
      <c r="AJ100"/>
      <c r="AK100"/>
      <c r="AL100"/>
      <c r="AM100"/>
      <c r="AN100"/>
      <c r="BC100"/>
      <c r="BD100"/>
      <c r="BE100"/>
      <c r="BF100"/>
      <c r="BG100"/>
    </row>
    <row r="101" spans="3:59" s="69" customFormat="1" x14ac:dyDescent="0.25">
      <c r="Z101" s="165"/>
      <c r="AA101" s="270">
        <v>43917</v>
      </c>
      <c r="AB101" s="35">
        <v>105217</v>
      </c>
      <c r="AC101" s="2">
        <v>2110</v>
      </c>
      <c r="AD101" t="s">
        <v>252</v>
      </c>
      <c r="AI101"/>
      <c r="AJ101"/>
      <c r="AK101"/>
      <c r="AL101"/>
      <c r="AM101"/>
      <c r="AN101"/>
      <c r="BC101"/>
      <c r="BD101"/>
      <c r="BE101"/>
      <c r="BF101"/>
      <c r="BG101"/>
    </row>
    <row r="102" spans="3:59" s="69" customFormat="1" x14ac:dyDescent="0.25">
      <c r="Z102" s="165"/>
      <c r="AA102" s="270">
        <v>43917</v>
      </c>
      <c r="AB102" s="35">
        <v>105217</v>
      </c>
      <c r="AC102" s="2">
        <v>2110</v>
      </c>
      <c r="AD102" t="s">
        <v>281</v>
      </c>
      <c r="AI102"/>
      <c r="BC102"/>
      <c r="BD102"/>
      <c r="BE102"/>
      <c r="BF102"/>
      <c r="BG102"/>
    </row>
    <row r="103" spans="3:59" s="69" customFormat="1" x14ac:dyDescent="0.25">
      <c r="Z103" s="165"/>
      <c r="AA103" s="270">
        <v>43917</v>
      </c>
      <c r="AB103" s="35">
        <v>105217</v>
      </c>
      <c r="AC103" s="2">
        <v>2110</v>
      </c>
      <c r="AD103" t="s">
        <v>315</v>
      </c>
      <c r="AI103"/>
      <c r="AJ103"/>
      <c r="AK103"/>
      <c r="AL103"/>
      <c r="AM103"/>
      <c r="AN103"/>
      <c r="BC103"/>
      <c r="BD103"/>
      <c r="BE103"/>
      <c r="BF103"/>
      <c r="BG103"/>
    </row>
    <row r="104" spans="3:59" s="69" customFormat="1" x14ac:dyDescent="0.25">
      <c r="C104"/>
      <c r="D104"/>
      <c r="E104"/>
      <c r="F104"/>
      <c r="G104"/>
      <c r="H104"/>
      <c r="I104"/>
      <c r="J104"/>
      <c r="K104"/>
      <c r="L104"/>
      <c r="M104"/>
      <c r="N104"/>
      <c r="O104"/>
      <c r="P104"/>
      <c r="Q104"/>
      <c r="R104"/>
      <c r="S104"/>
      <c r="T104"/>
      <c r="U104"/>
      <c r="V104"/>
      <c r="W104"/>
      <c r="X104" s="236"/>
      <c r="Y104" s="165"/>
      <c r="Z104"/>
      <c r="AA104"/>
      <c r="AB104" s="271">
        <v>43918</v>
      </c>
      <c r="AC104" s="35">
        <v>124788</v>
      </c>
      <c r="AD104" s="2">
        <v>2754</v>
      </c>
      <c r="AE104" t="s">
        <v>249</v>
      </c>
      <c r="AF104"/>
      <c r="AG104"/>
      <c r="AH104"/>
      <c r="AI104"/>
      <c r="AJ104"/>
      <c r="AK104"/>
      <c r="AL104"/>
      <c r="AM104"/>
      <c r="AN104"/>
      <c r="BC104"/>
      <c r="BD104"/>
      <c r="BE104"/>
      <c r="BF104"/>
      <c r="BG104"/>
    </row>
    <row r="105" spans="3:59" s="69" customFormat="1" x14ac:dyDescent="0.25">
      <c r="C105"/>
      <c r="D105"/>
      <c r="E105"/>
      <c r="F105"/>
      <c r="G105"/>
      <c r="H105"/>
      <c r="I105"/>
      <c r="J105"/>
      <c r="K105"/>
      <c r="L105"/>
      <c r="M105"/>
      <c r="N105"/>
      <c r="O105"/>
      <c r="P105"/>
      <c r="Q105"/>
      <c r="R105"/>
      <c r="S105"/>
      <c r="T105"/>
      <c r="U105"/>
      <c r="V105"/>
      <c r="W105"/>
      <c r="X105"/>
      <c r="Y105"/>
      <c r="Z105"/>
      <c r="AA105"/>
      <c r="AB105" s="270">
        <v>43920</v>
      </c>
      <c r="AC105" s="35">
        <v>168177</v>
      </c>
      <c r="AD105" s="2">
        <v>4066</v>
      </c>
      <c r="AE105" t="s">
        <v>255</v>
      </c>
      <c r="AF105"/>
      <c r="AG105"/>
      <c r="AH105"/>
      <c r="AI105"/>
      <c r="AJ105"/>
      <c r="AK105"/>
      <c r="AL105"/>
      <c r="AM105"/>
      <c r="AN105"/>
      <c r="AO105"/>
      <c r="AP105"/>
      <c r="AQ105"/>
      <c r="AR105"/>
      <c r="AS105"/>
      <c r="AT105"/>
      <c r="AU105"/>
      <c r="AV105"/>
      <c r="AW105"/>
      <c r="AX105"/>
      <c r="AY105"/>
      <c r="AZ105"/>
      <c r="BA105"/>
      <c r="BB105"/>
      <c r="BC105"/>
      <c r="BD105"/>
      <c r="BE105"/>
      <c r="BF105"/>
      <c r="BG105"/>
    </row>
    <row r="106" spans="3:59" s="69" customFormat="1" x14ac:dyDescent="0.25">
      <c r="C106"/>
      <c r="D106"/>
      <c r="E106"/>
      <c r="F106"/>
      <c r="G106"/>
      <c r="H106"/>
      <c r="I106"/>
      <c r="J106"/>
      <c r="K106"/>
      <c r="L106"/>
      <c r="M106"/>
      <c r="N106"/>
      <c r="O106"/>
      <c r="P106"/>
      <c r="Q106"/>
      <c r="R106"/>
      <c r="S106"/>
      <c r="T106"/>
      <c r="U106"/>
      <c r="V106"/>
      <c r="W106"/>
      <c r="X106"/>
      <c r="Y106"/>
      <c r="Z106"/>
      <c r="AA106"/>
      <c r="AB106" s="270">
        <v>43920</v>
      </c>
      <c r="AC106" s="35">
        <v>168177</v>
      </c>
      <c r="AD106" s="2">
        <v>4066</v>
      </c>
      <c r="AE106" t="s">
        <v>328</v>
      </c>
      <c r="AF106"/>
      <c r="AG106"/>
      <c r="AH106"/>
      <c r="AI106"/>
      <c r="AJ106"/>
      <c r="AK106"/>
      <c r="AL106"/>
      <c r="AM106"/>
      <c r="AN106"/>
      <c r="AO106"/>
      <c r="AP106"/>
      <c r="AQ106"/>
      <c r="AR106"/>
      <c r="AS106"/>
      <c r="AT106"/>
      <c r="AU106"/>
      <c r="AV106"/>
      <c r="AW106"/>
      <c r="AX106"/>
      <c r="AY106"/>
      <c r="AZ106"/>
      <c r="BA106"/>
      <c r="BB106"/>
      <c r="BC106"/>
      <c r="BD106"/>
      <c r="BE106"/>
      <c r="BF106"/>
      <c r="BG106"/>
    </row>
    <row r="107" spans="3:59" s="69" customFormat="1" x14ac:dyDescent="0.25">
      <c r="C107"/>
      <c r="D107"/>
      <c r="E107"/>
      <c r="F107"/>
      <c r="G107"/>
      <c r="H107"/>
      <c r="I107"/>
      <c r="J107"/>
      <c r="K107"/>
      <c r="L107"/>
      <c r="M107"/>
      <c r="N107"/>
      <c r="O107"/>
      <c r="P107"/>
      <c r="Q107"/>
      <c r="R107"/>
      <c r="S107"/>
      <c r="T107"/>
      <c r="U107"/>
      <c r="V107"/>
      <c r="W107"/>
      <c r="X107"/>
      <c r="Y107"/>
      <c r="Z107"/>
      <c r="AA107"/>
      <c r="AB107"/>
      <c r="AC107" s="270">
        <v>43923</v>
      </c>
      <c r="AD107" s="35">
        <v>250708</v>
      </c>
      <c r="AE107" s="35">
        <v>7576</v>
      </c>
      <c r="AF107" s="69" t="s">
        <v>309</v>
      </c>
      <c r="AH107"/>
      <c r="AJ107"/>
      <c r="AK107"/>
      <c r="AL107"/>
      <c r="AM107"/>
      <c r="AN107"/>
      <c r="AO107"/>
      <c r="AP107"/>
      <c r="AQ107"/>
      <c r="AR107"/>
      <c r="AS107"/>
      <c r="AT107"/>
      <c r="AU107"/>
      <c r="AV107"/>
      <c r="AW107"/>
      <c r="AX107"/>
      <c r="AY107"/>
      <c r="AZ107"/>
      <c r="BA107"/>
      <c r="BB107"/>
      <c r="BC107"/>
      <c r="BD107"/>
      <c r="BE107"/>
      <c r="BF107"/>
      <c r="BG107"/>
    </row>
    <row r="108" spans="3:59" s="69" customFormat="1" x14ac:dyDescent="0.25">
      <c r="C108"/>
      <c r="D108"/>
      <c r="E108"/>
      <c r="F108"/>
      <c r="G108"/>
      <c r="H108"/>
      <c r="I108"/>
      <c r="J108"/>
      <c r="K108"/>
      <c r="L108"/>
      <c r="M108"/>
      <c r="N108"/>
      <c r="O108"/>
      <c r="P108"/>
      <c r="Q108"/>
      <c r="R108"/>
      <c r="S108"/>
      <c r="T108"/>
      <c r="U108"/>
      <c r="V108"/>
      <c r="W108"/>
      <c r="X108"/>
      <c r="Y108"/>
      <c r="Z108"/>
      <c r="AA108"/>
      <c r="AB108" s="217"/>
      <c r="AC108" s="158">
        <v>43924</v>
      </c>
      <c r="AD108" s="35">
        <v>283477</v>
      </c>
      <c r="AE108" s="35">
        <v>8839</v>
      </c>
      <c r="AF108" s="159" t="s">
        <v>226</v>
      </c>
      <c r="AG108" s="158">
        <v>43938</v>
      </c>
      <c r="AH108"/>
      <c r="AO108"/>
      <c r="AP108"/>
      <c r="AQ108"/>
      <c r="AR108"/>
      <c r="AS108"/>
      <c r="AT108"/>
      <c r="AU108"/>
      <c r="AV108"/>
      <c r="AW108"/>
      <c r="AX108"/>
      <c r="AY108"/>
      <c r="AZ108"/>
      <c r="BA108"/>
      <c r="BB108"/>
      <c r="BC108"/>
      <c r="BD108"/>
      <c r="BE108"/>
      <c r="BF108"/>
      <c r="BG108"/>
    </row>
    <row r="109" spans="3:59" x14ac:dyDescent="0.25">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217"/>
      <c r="AC109" s="270">
        <v>43925</v>
      </c>
      <c r="AD109" s="2">
        <v>317994</v>
      </c>
      <c r="AE109" s="2">
        <v>10384</v>
      </c>
      <c r="AF109" t="s">
        <v>228</v>
      </c>
      <c r="AH109" s="69"/>
      <c r="AI109" s="69"/>
    </row>
    <row r="110" spans="3:59" x14ac:dyDescent="0.25">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217"/>
      <c r="AC110" s="165">
        <v>43926</v>
      </c>
      <c r="AD110" s="2">
        <v>343747</v>
      </c>
      <c r="AE110" s="2">
        <v>11793</v>
      </c>
      <c r="AF110" t="s">
        <v>330</v>
      </c>
      <c r="AH110" s="69"/>
      <c r="AI110" s="69"/>
      <c r="AQ110" s="69"/>
      <c r="AR110" s="69"/>
      <c r="AS110" s="69"/>
      <c r="AT110" s="69"/>
      <c r="AU110" s="69"/>
      <c r="AV110" s="69"/>
      <c r="AW110" s="69"/>
      <c r="AX110" s="69"/>
      <c r="AY110" s="69"/>
      <c r="AZ110" s="69"/>
      <c r="BA110" s="69"/>
      <c r="BB110" s="69"/>
    </row>
    <row r="111" spans="3:59" x14ac:dyDescent="0.25">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217"/>
      <c r="AD111" s="270">
        <v>43932</v>
      </c>
      <c r="AE111" s="2">
        <v>539942</v>
      </c>
      <c r="AF111" s="2">
        <v>24062</v>
      </c>
      <c r="AG111" t="s">
        <v>237</v>
      </c>
      <c r="AH111" s="69"/>
      <c r="AI111" s="69"/>
      <c r="BD111" s="69"/>
      <c r="BE111" s="69"/>
      <c r="BF111" s="69"/>
      <c r="BG111" s="69"/>
    </row>
    <row r="112" spans="3:59" x14ac:dyDescent="0.25">
      <c r="AD112" s="270">
        <v>43934</v>
      </c>
      <c r="AE112" s="2">
        <v>594693</v>
      </c>
      <c r="AF112" s="2">
        <v>27515</v>
      </c>
      <c r="AG112" t="s">
        <v>229</v>
      </c>
    </row>
    <row r="113" spans="3:59" x14ac:dyDescent="0.25">
      <c r="AD113" s="217">
        <v>43935</v>
      </c>
      <c r="AE113" s="2">
        <v>621953</v>
      </c>
      <c r="AF113" s="2">
        <v>30081</v>
      </c>
      <c r="AG113" t="s">
        <v>253</v>
      </c>
    </row>
    <row r="114" spans="3:59" x14ac:dyDescent="0.25">
      <c r="AE114" s="270">
        <v>43936</v>
      </c>
      <c r="AF114" s="2">
        <v>652474</v>
      </c>
      <c r="AG114" s="2">
        <v>32712</v>
      </c>
      <c r="AH114" s="69" t="s">
        <v>254</v>
      </c>
      <c r="AO114" s="69"/>
      <c r="AP114" s="69"/>
      <c r="AQ114" s="69"/>
      <c r="AR114" s="69"/>
      <c r="AS114" s="69"/>
      <c r="AT114" s="69"/>
      <c r="AU114" s="69"/>
      <c r="AV114" s="69"/>
      <c r="AW114" s="69"/>
      <c r="AX114" s="69"/>
      <c r="AY114" s="69"/>
      <c r="AZ114" s="69"/>
      <c r="BA114" s="69"/>
      <c r="BB114" s="69"/>
    </row>
    <row r="115" spans="3:59" x14ac:dyDescent="0.25">
      <c r="AE115" s="270">
        <v>43936</v>
      </c>
      <c r="AF115" s="2">
        <v>652474</v>
      </c>
      <c r="AG115" s="2">
        <v>32712</v>
      </c>
      <c r="AH115" t="s">
        <v>259</v>
      </c>
    </row>
    <row r="116" spans="3:59" x14ac:dyDescent="0.25">
      <c r="AE116" s="270">
        <v>43936</v>
      </c>
      <c r="AF116" s="2">
        <v>652474</v>
      </c>
      <c r="AG116" s="2">
        <v>32712</v>
      </c>
      <c r="AH116" t="s">
        <v>257</v>
      </c>
      <c r="AI116" s="69"/>
    </row>
    <row r="117" spans="3:59" x14ac:dyDescent="0.25">
      <c r="AE117" s="217">
        <v>43936</v>
      </c>
      <c r="AF117" s="2">
        <v>652474</v>
      </c>
      <c r="AG117" s="2">
        <v>32712</v>
      </c>
      <c r="AH117" t="s">
        <v>326</v>
      </c>
      <c r="AI117" s="69"/>
      <c r="BC117" s="69"/>
    </row>
    <row r="118" spans="3:59" x14ac:dyDescent="0.25">
      <c r="AE118" s="270">
        <v>43937</v>
      </c>
      <c r="AF118" s="2">
        <v>682454</v>
      </c>
      <c r="AG118" s="2">
        <v>34905</v>
      </c>
      <c r="AH118" t="s">
        <v>300</v>
      </c>
      <c r="BC118" s="69"/>
    </row>
    <row r="119" spans="3:59" x14ac:dyDescent="0.25">
      <c r="AE119" s="270">
        <v>43938</v>
      </c>
      <c r="AF119" s="2">
        <v>714822</v>
      </c>
      <c r="AG119" s="2">
        <v>37448</v>
      </c>
      <c r="AH119" t="s">
        <v>256</v>
      </c>
    </row>
    <row r="120" spans="3:59" x14ac:dyDescent="0.25">
      <c r="AE120" s="270">
        <v>43938</v>
      </c>
      <c r="AF120" s="2">
        <v>714822</v>
      </c>
      <c r="AG120" s="2">
        <v>37448</v>
      </c>
      <c r="AH120" t="s">
        <v>361</v>
      </c>
      <c r="AJ120" s="69"/>
      <c r="AK120" s="69"/>
      <c r="AL120" s="69"/>
      <c r="AM120" s="69"/>
      <c r="AN120" s="69"/>
      <c r="AO120" s="69"/>
      <c r="AP120" s="69"/>
      <c r="AQ120" s="69"/>
      <c r="AR120" s="69"/>
      <c r="AS120" s="69"/>
      <c r="AT120" s="69"/>
      <c r="AU120" s="69"/>
      <c r="AV120" s="69"/>
      <c r="AW120" s="69"/>
      <c r="AX120" s="69"/>
      <c r="AY120" s="69"/>
      <c r="AZ120" s="69"/>
      <c r="BA120" s="69"/>
      <c r="BB120" s="69"/>
    </row>
    <row r="121" spans="3:59"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c r="AE121" s="270">
        <v>43939</v>
      </c>
      <c r="AF121" s="2">
        <v>743901</v>
      </c>
      <c r="AG121" s="35">
        <v>39331</v>
      </c>
      <c r="AH121" s="69" t="s">
        <v>262</v>
      </c>
      <c r="AJ121" s="69"/>
      <c r="AK121" s="69"/>
      <c r="AL121" s="69"/>
      <c r="AM121" s="69"/>
      <c r="AN121" s="69"/>
      <c r="BC121" s="69"/>
    </row>
    <row r="122" spans="3:59" x14ac:dyDescent="0.25">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c r="AD122" s="69"/>
      <c r="AE122" s="69"/>
      <c r="AF122" s="270">
        <v>43941</v>
      </c>
      <c r="AG122" s="2">
        <v>798145</v>
      </c>
      <c r="AH122" s="35">
        <v>42853</v>
      </c>
      <c r="AI122" s="69" t="s">
        <v>310</v>
      </c>
      <c r="AJ122" s="69"/>
      <c r="AK122" s="69"/>
      <c r="AL122" s="69"/>
      <c r="AM122" s="69"/>
      <c r="AN122" s="69"/>
      <c r="BC122" s="69"/>
    </row>
    <row r="123" spans="3:59" s="69" customFormat="1" x14ac:dyDescent="0.25">
      <c r="C123"/>
      <c r="D123"/>
      <c r="E123"/>
      <c r="F123"/>
      <c r="G123"/>
      <c r="H123"/>
      <c r="I123"/>
      <c r="J123"/>
      <c r="K123"/>
      <c r="L123"/>
      <c r="M123"/>
      <c r="N123"/>
      <c r="O123"/>
      <c r="P123"/>
      <c r="Q123"/>
      <c r="R123"/>
      <c r="S123"/>
      <c r="T123"/>
      <c r="U123"/>
      <c r="V123"/>
      <c r="W123"/>
      <c r="X123"/>
      <c r="Y123"/>
      <c r="Z123"/>
      <c r="AA123"/>
      <c r="AB123"/>
      <c r="AC123"/>
      <c r="AD123"/>
      <c r="AE123"/>
      <c r="AF123" s="217">
        <v>43942</v>
      </c>
      <c r="AG123" s="35">
        <v>824229</v>
      </c>
      <c r="AH123" s="2">
        <v>45536</v>
      </c>
      <c r="AI123" t="s">
        <v>299</v>
      </c>
      <c r="AO123"/>
      <c r="AP123"/>
      <c r="AQ123"/>
      <c r="AR123"/>
      <c r="AS123"/>
      <c r="AT123"/>
      <c r="AU123"/>
      <c r="AV123"/>
      <c r="AW123"/>
      <c r="AX123"/>
      <c r="AY123"/>
      <c r="AZ123"/>
      <c r="BA123"/>
      <c r="BB123"/>
      <c r="BC123"/>
      <c r="BD123"/>
      <c r="BE123"/>
      <c r="BF123"/>
      <c r="BG123"/>
    </row>
    <row r="124" spans="3:59" x14ac:dyDescent="0.25">
      <c r="AF124" s="217">
        <v>43943</v>
      </c>
      <c r="AG124" s="2">
        <v>854385</v>
      </c>
      <c r="AH124" s="2">
        <v>47894</v>
      </c>
      <c r="AI124" t="s">
        <v>296</v>
      </c>
    </row>
    <row r="125" spans="3:59" x14ac:dyDescent="0.25">
      <c r="AF125" s="270">
        <v>43943</v>
      </c>
      <c r="AG125" s="2">
        <v>854385</v>
      </c>
      <c r="AH125" s="2">
        <v>47894</v>
      </c>
      <c r="AI125" s="69" t="s">
        <v>308</v>
      </c>
      <c r="BD125" s="69"/>
      <c r="BE125" s="69"/>
      <c r="BF125" s="69"/>
      <c r="BG125" s="69"/>
    </row>
    <row r="126" spans="3:59" x14ac:dyDescent="0.25">
      <c r="AF126" s="270">
        <v>43943</v>
      </c>
      <c r="AG126" s="2">
        <v>854385</v>
      </c>
      <c r="AH126" s="2">
        <v>47894</v>
      </c>
      <c r="AI126" t="s">
        <v>294</v>
      </c>
      <c r="BC126" s="69"/>
    </row>
    <row r="127" spans="3:59" x14ac:dyDescent="0.25">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c r="AD127" s="69"/>
      <c r="AE127" s="69"/>
      <c r="AG127" s="270">
        <v>43944</v>
      </c>
      <c r="AH127" s="2">
        <v>886274</v>
      </c>
      <c r="AI127" s="35">
        <v>50234</v>
      </c>
      <c r="AJ127" t="s">
        <v>297</v>
      </c>
    </row>
    <row r="128" spans="3:59" x14ac:dyDescent="0.25">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c r="AD128" s="69"/>
      <c r="AE128" s="69"/>
      <c r="AG128" s="270">
        <v>43944</v>
      </c>
      <c r="AH128" s="2">
        <v>886274</v>
      </c>
      <c r="AI128" s="35">
        <v>50234</v>
      </c>
      <c r="AJ128" t="s">
        <v>298</v>
      </c>
      <c r="AK128" s="69"/>
      <c r="AL128" s="69"/>
      <c r="AM128" s="69"/>
      <c r="AN128" s="69"/>
      <c r="BD128" s="69"/>
      <c r="BE128" s="69"/>
      <c r="BF128" s="69"/>
      <c r="BG128" s="69"/>
    </row>
    <row r="129" spans="3:59" x14ac:dyDescent="0.25">
      <c r="AG129" s="217">
        <v>43944</v>
      </c>
      <c r="AH129" s="2">
        <v>886274</v>
      </c>
      <c r="AI129" s="35">
        <v>50234</v>
      </c>
      <c r="AJ129" t="s">
        <v>325</v>
      </c>
      <c r="AK129" s="69"/>
      <c r="AL129" s="69"/>
      <c r="AM129" s="69"/>
      <c r="AN129" s="69"/>
      <c r="BD129" s="69"/>
      <c r="BE129" s="69"/>
      <c r="BF129" s="69"/>
      <c r="BG129" s="69"/>
    </row>
    <row r="130" spans="3:59" x14ac:dyDescent="0.25">
      <c r="AG130" s="270">
        <v>43945</v>
      </c>
      <c r="AH130" s="2">
        <v>925232</v>
      </c>
      <c r="AI130" s="35">
        <v>52191</v>
      </c>
      <c r="AJ130" t="s">
        <v>311</v>
      </c>
    </row>
    <row r="131" spans="3:59" x14ac:dyDescent="0.25">
      <c r="AG131" s="217">
        <v>43945</v>
      </c>
      <c r="AH131" s="2">
        <v>925232</v>
      </c>
      <c r="AI131" s="35">
        <v>52191</v>
      </c>
      <c r="AJ131" s="69" t="s">
        <v>316</v>
      </c>
    </row>
    <row r="132" spans="3:59" x14ac:dyDescent="0.25">
      <c r="AG132" s="165">
        <v>43946</v>
      </c>
      <c r="AH132" s="2">
        <v>960651</v>
      </c>
      <c r="AI132" s="35">
        <v>54191</v>
      </c>
      <c r="AJ132" s="69" t="s">
        <v>313</v>
      </c>
      <c r="AO132" s="69"/>
      <c r="AP132" s="69"/>
      <c r="AQ132" s="69"/>
      <c r="AR132" s="69"/>
      <c r="AS132" s="69"/>
      <c r="AT132" s="69"/>
      <c r="AU132" s="69"/>
      <c r="AV132" s="69"/>
      <c r="AW132" s="69"/>
      <c r="AX132" s="69"/>
      <c r="AY132" s="69"/>
      <c r="AZ132" s="69"/>
      <c r="BA132" s="69"/>
      <c r="BB132" s="69"/>
      <c r="BC132" s="69"/>
      <c r="BD132" s="69"/>
      <c r="BE132" s="69"/>
      <c r="BF132" s="69"/>
      <c r="BG132" s="69"/>
    </row>
    <row r="133" spans="3:59" x14ac:dyDescent="0.25">
      <c r="AG133" s="271">
        <v>43946</v>
      </c>
      <c r="AH133" s="2">
        <v>960651</v>
      </c>
      <c r="AI133" s="35">
        <v>54191</v>
      </c>
      <c r="AJ133" s="69" t="s">
        <v>319</v>
      </c>
      <c r="AO133" s="69"/>
      <c r="AP133" s="69"/>
      <c r="AQ133" s="69"/>
      <c r="AR133" s="69"/>
      <c r="AS133" s="69"/>
      <c r="AT133" s="69"/>
      <c r="AU133" s="69"/>
      <c r="AV133" s="69"/>
      <c r="AW133" s="69"/>
      <c r="AX133" s="69"/>
      <c r="AY133" s="69"/>
      <c r="AZ133" s="69"/>
      <c r="BA133" s="69"/>
      <c r="BB133" s="69"/>
      <c r="BC133" s="69"/>
    </row>
    <row r="134" spans="3:59" x14ac:dyDescent="0.25">
      <c r="AG134" s="271">
        <v>43946</v>
      </c>
      <c r="AH134" s="2">
        <v>960651</v>
      </c>
      <c r="AI134" s="35">
        <v>54191</v>
      </c>
      <c r="AJ134" s="69" t="s">
        <v>318</v>
      </c>
      <c r="AO134" s="69"/>
      <c r="AP134" s="69"/>
      <c r="AQ134" s="69"/>
      <c r="AR134" s="69"/>
      <c r="AS134" s="69"/>
      <c r="AT134" s="69"/>
      <c r="AU134" s="69"/>
      <c r="AV134" s="69"/>
      <c r="AW134" s="69"/>
      <c r="AX134" s="69"/>
      <c r="AY134" s="69"/>
      <c r="AZ134" s="69"/>
      <c r="BA134" s="69"/>
      <c r="BB134" s="69"/>
      <c r="BD134" s="69"/>
      <c r="BE134" s="69"/>
      <c r="BF134" s="69"/>
      <c r="BG134" s="69"/>
    </row>
    <row r="135" spans="3:59" x14ac:dyDescent="0.25">
      <c r="AH135" s="271">
        <v>43948</v>
      </c>
      <c r="AI135" s="2">
        <v>1010356</v>
      </c>
      <c r="AJ135" s="2">
        <v>56795</v>
      </c>
      <c r="AK135" t="s">
        <v>317</v>
      </c>
      <c r="AO135" s="69"/>
      <c r="AP135" s="69"/>
      <c r="AQ135" s="69"/>
      <c r="AR135" s="69"/>
      <c r="AS135" s="69"/>
      <c r="AT135" s="69"/>
      <c r="AU135" s="69"/>
      <c r="AV135" s="69"/>
      <c r="AW135" s="69"/>
      <c r="AX135" s="69"/>
      <c r="AY135" s="69"/>
      <c r="AZ135" s="69"/>
      <c r="BA135" s="69"/>
      <c r="BB135" s="69"/>
      <c r="BD135" s="69"/>
      <c r="BE135" s="69"/>
      <c r="BF135" s="69"/>
      <c r="BG135" s="69"/>
    </row>
    <row r="136" spans="3:59" x14ac:dyDescent="0.25">
      <c r="AH136" s="270">
        <v>43948</v>
      </c>
      <c r="AI136" s="2">
        <v>1010356</v>
      </c>
      <c r="AJ136" s="2">
        <v>56795</v>
      </c>
      <c r="AK136" s="69" t="s">
        <v>307</v>
      </c>
      <c r="AQ136" s="217"/>
      <c r="AR136" s="217"/>
      <c r="AS136" s="217"/>
      <c r="AT136" s="217"/>
      <c r="AU136" s="217"/>
    </row>
    <row r="137" spans="3:59" s="69" customFormat="1" x14ac:dyDescent="0.25">
      <c r="C137"/>
      <c r="D137"/>
      <c r="E137"/>
      <c r="F137"/>
      <c r="G137"/>
      <c r="H137"/>
      <c r="I137"/>
      <c r="J137"/>
      <c r="K137"/>
      <c r="L137"/>
      <c r="M137"/>
      <c r="N137"/>
      <c r="O137"/>
      <c r="P137"/>
      <c r="Q137"/>
      <c r="R137"/>
      <c r="S137"/>
      <c r="T137"/>
      <c r="U137"/>
      <c r="V137"/>
      <c r="W137"/>
      <c r="X137"/>
      <c r="Y137"/>
      <c r="Z137"/>
      <c r="AA137"/>
      <c r="AB137"/>
      <c r="AC137"/>
      <c r="AD137"/>
      <c r="AE137"/>
      <c r="AF137"/>
      <c r="AG137"/>
      <c r="AH137" s="270">
        <v>43949</v>
      </c>
      <c r="AI137" s="35">
        <v>1035765</v>
      </c>
      <c r="AJ137" s="2">
        <v>59265</v>
      </c>
      <c r="AK137" t="s">
        <v>314</v>
      </c>
      <c r="AL137"/>
      <c r="AM137"/>
      <c r="AN137"/>
      <c r="AO137"/>
      <c r="AP137"/>
      <c r="AQ137"/>
      <c r="AR137"/>
      <c r="AS137"/>
      <c r="AT137"/>
      <c r="AU137"/>
      <c r="AV137"/>
      <c r="AW137"/>
      <c r="AX137"/>
      <c r="AY137"/>
      <c r="AZ137"/>
      <c r="BA137"/>
      <c r="BB137"/>
      <c r="BC137"/>
      <c r="BD137"/>
      <c r="BE137"/>
      <c r="BF137"/>
      <c r="BG137"/>
    </row>
    <row r="138" spans="3:59" x14ac:dyDescent="0.25">
      <c r="AH138" s="217">
        <v>43949</v>
      </c>
      <c r="AI138" s="35">
        <v>1035765</v>
      </c>
      <c r="AJ138" s="2">
        <v>59265</v>
      </c>
      <c r="AK138" t="s">
        <v>324</v>
      </c>
    </row>
    <row r="139" spans="3:59" x14ac:dyDescent="0.25">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c r="AD139" s="69"/>
      <c r="AE139" s="69"/>
      <c r="AF139" s="69"/>
      <c r="AH139" s="270">
        <v>43951</v>
      </c>
      <c r="AI139" s="35">
        <v>1095023</v>
      </c>
      <c r="AJ139" s="35">
        <v>63856</v>
      </c>
      <c r="AK139" t="s">
        <v>320</v>
      </c>
      <c r="AL139" s="69"/>
      <c r="AM139" s="69"/>
      <c r="AN139" s="69"/>
    </row>
    <row r="140" spans="3:59" s="69" customFormat="1" x14ac:dyDescent="0.25">
      <c r="AH140" s="270">
        <v>43951</v>
      </c>
      <c r="AI140" s="35">
        <v>1095023</v>
      </c>
      <c r="AJ140" s="35">
        <v>63856</v>
      </c>
      <c r="AK140" t="s">
        <v>321</v>
      </c>
      <c r="BC140"/>
    </row>
    <row r="141" spans="3:59" s="69" customFormat="1" x14ac:dyDescent="0.25">
      <c r="C141"/>
      <c r="D141"/>
      <c r="E141"/>
      <c r="F141"/>
      <c r="G141"/>
      <c r="H141"/>
      <c r="I141"/>
      <c r="J141"/>
      <c r="K141"/>
      <c r="L141"/>
      <c r="M141"/>
      <c r="N141"/>
      <c r="O141"/>
      <c r="P141"/>
      <c r="Q141"/>
      <c r="R141"/>
      <c r="S141"/>
      <c r="T141"/>
      <c r="U141"/>
      <c r="V141"/>
      <c r="W141"/>
      <c r="X141"/>
      <c r="Y141"/>
      <c r="Z141"/>
      <c r="AA141"/>
      <c r="AB141"/>
      <c r="AC141"/>
      <c r="AD141"/>
      <c r="AE141"/>
      <c r="AF141"/>
      <c r="AG141"/>
      <c r="AH141" s="217">
        <v>43951</v>
      </c>
      <c r="AI141" s="35">
        <v>1095023</v>
      </c>
      <c r="AJ141" s="35">
        <v>63856</v>
      </c>
      <c r="AK141" t="s">
        <v>323</v>
      </c>
      <c r="AL141"/>
      <c r="AM141"/>
      <c r="AN141"/>
      <c r="BC141"/>
      <c r="BD141"/>
      <c r="BE141"/>
      <c r="BF141"/>
      <c r="BG141"/>
    </row>
    <row r="142" spans="3:59" x14ac:dyDescent="0.25">
      <c r="AH142" s="165">
        <v>43951</v>
      </c>
      <c r="AI142" s="35">
        <v>1095023</v>
      </c>
      <c r="AJ142" s="35">
        <v>63856</v>
      </c>
      <c r="AK142" s="69" t="s">
        <v>322</v>
      </c>
    </row>
    <row r="143" spans="3:59" x14ac:dyDescent="0.25">
      <c r="AH143" s="270">
        <v>43951</v>
      </c>
      <c r="AI143" s="35">
        <v>1095023</v>
      </c>
      <c r="AJ143" s="35">
        <v>63856</v>
      </c>
      <c r="AK143" s="69" t="s">
        <v>353</v>
      </c>
    </row>
    <row r="144" spans="3:59" s="69" customFormat="1" x14ac:dyDescent="0.25">
      <c r="C144"/>
      <c r="D144"/>
      <c r="E144"/>
      <c r="F144"/>
      <c r="G144"/>
      <c r="H144"/>
      <c r="I144"/>
      <c r="J144"/>
      <c r="K144"/>
      <c r="L144"/>
      <c r="M144"/>
      <c r="N144"/>
      <c r="O144"/>
      <c r="P144"/>
      <c r="Q144"/>
      <c r="R144"/>
      <c r="S144"/>
      <c r="T144"/>
      <c r="U144"/>
      <c r="V144"/>
      <c r="W144"/>
      <c r="X144"/>
      <c r="Y144"/>
      <c r="Z144"/>
      <c r="AA144"/>
      <c r="AB144"/>
      <c r="AC144"/>
      <c r="AD144"/>
      <c r="AE144"/>
      <c r="AF144"/>
      <c r="AG144"/>
      <c r="AH144" s="217">
        <v>43951</v>
      </c>
      <c r="AI144" s="35">
        <v>1095023</v>
      </c>
      <c r="AJ144" s="35">
        <v>63856</v>
      </c>
      <c r="AK144" s="69" t="s">
        <v>345</v>
      </c>
      <c r="AL144"/>
      <c r="AM144"/>
      <c r="AN144"/>
      <c r="AO144"/>
      <c r="AP144"/>
      <c r="AQ144"/>
      <c r="AR144"/>
      <c r="AS144"/>
      <c r="AT144"/>
      <c r="AU144"/>
      <c r="AV144"/>
      <c r="AW144"/>
      <c r="AX144"/>
      <c r="AY144"/>
      <c r="AZ144"/>
      <c r="BA144"/>
      <c r="BB144"/>
      <c r="BD144"/>
      <c r="BE144"/>
      <c r="BF144"/>
      <c r="BG144"/>
    </row>
    <row r="145" spans="3:59" x14ac:dyDescent="0.25">
      <c r="AH145" s="217">
        <v>43952</v>
      </c>
      <c r="AI145" s="35">
        <v>1131030</v>
      </c>
      <c r="AJ145" s="35">
        <v>65753</v>
      </c>
      <c r="AK145" t="s">
        <v>327</v>
      </c>
      <c r="BC145" s="69"/>
    </row>
    <row r="146" spans="3:59" s="69" customFormat="1" x14ac:dyDescent="0.25">
      <c r="C146"/>
      <c r="D146"/>
      <c r="E146"/>
      <c r="F146"/>
      <c r="G146"/>
      <c r="H146"/>
      <c r="I146"/>
      <c r="J146"/>
      <c r="K146"/>
      <c r="L146"/>
      <c r="M146"/>
      <c r="N146"/>
      <c r="O146"/>
      <c r="P146"/>
      <c r="Q146"/>
      <c r="R146"/>
      <c r="S146"/>
      <c r="T146"/>
      <c r="U146"/>
      <c r="V146"/>
      <c r="W146"/>
      <c r="X146"/>
      <c r="Y146"/>
      <c r="Z146"/>
      <c r="AA146"/>
      <c r="AB146"/>
      <c r="AC146"/>
      <c r="AD146"/>
      <c r="AE146"/>
      <c r="AF146"/>
      <c r="AG146"/>
      <c r="AH146" s="217">
        <v>43954</v>
      </c>
      <c r="AI146" s="35">
        <v>1188122</v>
      </c>
      <c r="AJ146" s="35">
        <v>68597</v>
      </c>
      <c r="AK146" t="s">
        <v>334</v>
      </c>
      <c r="AL146"/>
      <c r="AM146"/>
      <c r="AN146"/>
      <c r="AO146"/>
      <c r="AP146"/>
      <c r="AQ146"/>
      <c r="AR146"/>
      <c r="AS146"/>
      <c r="AT146"/>
      <c r="AU146"/>
      <c r="AV146"/>
      <c r="AW146"/>
      <c r="AX146"/>
      <c r="AY146"/>
      <c r="AZ146"/>
      <c r="BA146"/>
      <c r="BB146"/>
      <c r="BD146"/>
      <c r="BE146"/>
      <c r="BF146"/>
      <c r="BG146"/>
    </row>
    <row r="147" spans="3:59" s="69" customFormat="1" x14ac:dyDescent="0.25">
      <c r="C147"/>
      <c r="D147"/>
      <c r="E147"/>
      <c r="F147"/>
      <c r="G147"/>
      <c r="H147"/>
      <c r="I147"/>
      <c r="J147"/>
      <c r="K147"/>
      <c r="L147"/>
      <c r="M147"/>
      <c r="N147"/>
      <c r="O147"/>
      <c r="P147"/>
      <c r="Q147"/>
      <c r="R147"/>
      <c r="S147"/>
      <c r="T147"/>
      <c r="U147"/>
      <c r="V147"/>
      <c r="W147"/>
      <c r="X147"/>
      <c r="Y147"/>
      <c r="Z147"/>
      <c r="AA147"/>
      <c r="AB147"/>
      <c r="AC147"/>
      <c r="AD147"/>
      <c r="AE147"/>
      <c r="AF147"/>
      <c r="AG147"/>
      <c r="AH147" s="217">
        <v>43956</v>
      </c>
      <c r="AI147" s="35">
        <v>1237633</v>
      </c>
      <c r="AJ147" s="35">
        <v>72271</v>
      </c>
      <c r="AK147" t="s">
        <v>338</v>
      </c>
      <c r="AL147"/>
      <c r="AM147"/>
      <c r="AN147"/>
      <c r="AO147"/>
      <c r="AP147"/>
      <c r="AQ147"/>
      <c r="AR147"/>
      <c r="AS147"/>
      <c r="AT147"/>
      <c r="AU147"/>
      <c r="AV147"/>
      <c r="AW147"/>
      <c r="AX147"/>
      <c r="AY147"/>
      <c r="AZ147"/>
      <c r="BA147"/>
      <c r="BB147"/>
      <c r="BC147"/>
      <c r="BD147"/>
      <c r="BE147"/>
      <c r="BF147"/>
      <c r="BG147"/>
    </row>
    <row r="148" spans="3:59" x14ac:dyDescent="0.25">
      <c r="AH148" s="217">
        <v>43956</v>
      </c>
      <c r="AI148" s="35">
        <v>1237633</v>
      </c>
      <c r="AJ148" s="35">
        <v>72271</v>
      </c>
      <c r="AK148" t="s">
        <v>337</v>
      </c>
    </row>
    <row r="149" spans="3:59" x14ac:dyDescent="0.25">
      <c r="AH149" s="270">
        <v>43956</v>
      </c>
      <c r="AI149" s="35">
        <v>1237633</v>
      </c>
      <c r="AJ149" s="35">
        <v>72271</v>
      </c>
      <c r="AK149" t="s">
        <v>336</v>
      </c>
    </row>
    <row r="150" spans="3:59" x14ac:dyDescent="0.25">
      <c r="AH150" s="165"/>
      <c r="AI150" s="270">
        <v>43958</v>
      </c>
      <c r="AJ150" s="2">
        <v>1292623</v>
      </c>
      <c r="AK150" s="2">
        <v>76928</v>
      </c>
      <c r="AL150" t="s">
        <v>346</v>
      </c>
    </row>
    <row r="151" spans="3:59" x14ac:dyDescent="0.25">
      <c r="AI151" s="217">
        <v>43959</v>
      </c>
      <c r="AJ151" s="2">
        <v>1321785</v>
      </c>
      <c r="AK151" s="2">
        <v>78615</v>
      </c>
      <c r="AL151" t="s">
        <v>343</v>
      </c>
    </row>
    <row r="152" spans="3:59" s="69" customFormat="1" x14ac:dyDescent="0.25">
      <c r="AI152" s="270">
        <v>43959</v>
      </c>
      <c r="AJ152" s="2">
        <v>1321785</v>
      </c>
      <c r="AK152" s="2">
        <v>78615</v>
      </c>
      <c r="AL152" s="69" t="s">
        <v>342</v>
      </c>
    </row>
    <row r="153" spans="3:59" x14ac:dyDescent="0.25">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165">
        <v>43959</v>
      </c>
      <c r="AJ153" s="2">
        <v>1321785</v>
      </c>
      <c r="AK153" s="2">
        <v>78615</v>
      </c>
      <c r="AL153" s="69" t="s">
        <v>339</v>
      </c>
      <c r="AM153" s="69"/>
      <c r="AN153" s="69"/>
      <c r="AO153" s="69"/>
      <c r="AP153" s="69"/>
      <c r="AQ153" s="69"/>
      <c r="AR153" s="69"/>
      <c r="AS153" s="69"/>
      <c r="AT153" s="69"/>
      <c r="AU153" s="69"/>
      <c r="AV153" s="69"/>
      <c r="AW153" s="69"/>
      <c r="AX153" s="69"/>
      <c r="AY153" s="69"/>
      <c r="AZ153" s="69"/>
      <c r="BA153" s="69"/>
      <c r="BB153" s="69"/>
      <c r="BC153" s="69"/>
      <c r="BD153" s="69"/>
      <c r="BE153" s="69"/>
      <c r="BF153" s="69"/>
      <c r="BG153" s="69"/>
    </row>
    <row r="154" spans="3:59" x14ac:dyDescent="0.25">
      <c r="AI154" s="217">
        <v>43959</v>
      </c>
      <c r="AJ154" s="2">
        <v>1321785</v>
      </c>
      <c r="AK154" s="2">
        <v>78615</v>
      </c>
      <c r="AL154" s="69" t="s">
        <v>344</v>
      </c>
    </row>
    <row r="155" spans="3:59" x14ac:dyDescent="0.25">
      <c r="D155" s="69"/>
      <c r="E155" s="69"/>
      <c r="F155" s="69"/>
      <c r="G155" s="69"/>
      <c r="H155" s="69"/>
      <c r="I155" s="69"/>
      <c r="J155" s="69"/>
      <c r="K155" s="69"/>
      <c r="L155" s="69"/>
      <c r="M155" s="69"/>
      <c r="N155" s="69"/>
      <c r="O155" s="69"/>
      <c r="P155" s="69"/>
      <c r="Q155" s="69"/>
      <c r="R155" s="165"/>
      <c r="S155" s="69"/>
      <c r="T155" s="69"/>
      <c r="U155" s="69"/>
      <c r="AH155" s="217"/>
      <c r="AI155" s="217">
        <v>43959</v>
      </c>
      <c r="AJ155" s="2">
        <v>1321785</v>
      </c>
      <c r="AK155" s="2">
        <v>78615</v>
      </c>
      <c r="AL155" s="69" t="s">
        <v>350</v>
      </c>
    </row>
    <row r="156" spans="3:59" x14ac:dyDescent="0.25">
      <c r="D156" s="69"/>
      <c r="E156" s="69"/>
      <c r="F156" s="69"/>
      <c r="G156" s="69"/>
      <c r="H156" s="69"/>
      <c r="I156" s="69"/>
      <c r="J156" s="69"/>
      <c r="K156" s="69"/>
      <c r="L156" s="69"/>
      <c r="M156" s="69"/>
      <c r="N156" s="69"/>
      <c r="O156" s="69"/>
      <c r="P156" s="69"/>
      <c r="Q156" s="69"/>
      <c r="R156" s="165"/>
      <c r="S156" s="69"/>
      <c r="T156" s="69"/>
      <c r="U156" s="69"/>
      <c r="AH156" s="217"/>
      <c r="AI156" s="217">
        <v>43960</v>
      </c>
      <c r="AJ156" s="2">
        <v>1347309</v>
      </c>
      <c r="AK156" s="2">
        <v>80037</v>
      </c>
      <c r="AL156" s="69" t="s">
        <v>340</v>
      </c>
    </row>
    <row r="157" spans="3:59" x14ac:dyDescent="0.25">
      <c r="C157" s="69"/>
      <c r="D157" s="69"/>
      <c r="E157" s="69"/>
      <c r="F157" s="69"/>
      <c r="G157" s="69"/>
      <c r="H157" s="69"/>
      <c r="I157" s="69"/>
      <c r="J157" s="69"/>
      <c r="K157" s="69"/>
      <c r="L157" s="69"/>
      <c r="M157" s="69"/>
      <c r="N157" s="69"/>
      <c r="O157" s="69"/>
      <c r="P157" s="69"/>
      <c r="Q157" s="69"/>
      <c r="R157" s="165"/>
      <c r="S157" s="69"/>
      <c r="T157" s="69"/>
      <c r="U157" s="69"/>
      <c r="V157" s="69"/>
      <c r="W157" s="69"/>
      <c r="AB157" s="69"/>
      <c r="AC157" s="69"/>
      <c r="AD157" s="69"/>
      <c r="AE157" s="69"/>
      <c r="AF157" s="69"/>
      <c r="AG157" s="69"/>
      <c r="AH157" s="69"/>
      <c r="AI157" s="270">
        <v>43960</v>
      </c>
      <c r="AJ157" s="2">
        <v>1347309</v>
      </c>
      <c r="AK157" s="2">
        <v>80037</v>
      </c>
      <c r="AL157" s="69" t="s">
        <v>349</v>
      </c>
      <c r="AM157" s="69"/>
      <c r="AN157" s="69"/>
      <c r="AO157" s="69"/>
      <c r="AP157" s="69"/>
      <c r="AQ157" s="69"/>
      <c r="AR157" s="69"/>
      <c r="AS157" s="69"/>
      <c r="AT157" s="69"/>
      <c r="AU157" s="69"/>
      <c r="AV157" s="69"/>
      <c r="AW157" s="69"/>
      <c r="AX157" s="69"/>
      <c r="AY157" s="69"/>
      <c r="AZ157" s="69"/>
      <c r="BA157" s="69"/>
      <c r="BB157" s="69"/>
      <c r="BC157" s="69"/>
      <c r="BD157" s="69"/>
      <c r="BE157" s="69"/>
      <c r="BF157" s="69"/>
      <c r="BG157" s="69"/>
    </row>
    <row r="158" spans="3:59" x14ac:dyDescent="0.25">
      <c r="AI158" s="217">
        <v>43960</v>
      </c>
      <c r="AJ158" s="2">
        <v>1347309</v>
      </c>
      <c r="AK158" s="2">
        <v>80037</v>
      </c>
      <c r="AL158" s="69" t="s">
        <v>341</v>
      </c>
    </row>
    <row r="159" spans="3:59" x14ac:dyDescent="0.25">
      <c r="AI159" s="217">
        <v>43961</v>
      </c>
      <c r="AJ159" s="2">
        <v>1367638</v>
      </c>
      <c r="AK159" s="2">
        <v>80787</v>
      </c>
      <c r="AL159" s="69" t="s">
        <v>347</v>
      </c>
    </row>
    <row r="160" spans="3:59" x14ac:dyDescent="0.25">
      <c r="AI160" s="270">
        <v>43961</v>
      </c>
      <c r="AJ160" s="2">
        <v>1367638</v>
      </c>
      <c r="AK160" s="2">
        <v>80787</v>
      </c>
      <c r="AL160" s="69" t="s">
        <v>348</v>
      </c>
    </row>
    <row r="161" spans="1:52" x14ac:dyDescent="0.25">
      <c r="AI161" s="217">
        <v>43962</v>
      </c>
      <c r="AJ161" s="2">
        <v>1385834</v>
      </c>
      <c r="AK161" s="2">
        <v>81795</v>
      </c>
      <c r="AL161" s="69" t="s">
        <v>351</v>
      </c>
    </row>
    <row r="162" spans="1:52" x14ac:dyDescent="0.25">
      <c r="AI162" s="270">
        <v>43962</v>
      </c>
      <c r="AJ162" s="2">
        <v>1385834</v>
      </c>
      <c r="AK162" s="2">
        <v>81795</v>
      </c>
      <c r="AL162" s="69" t="s">
        <v>352</v>
      </c>
    </row>
    <row r="163" spans="1:52" x14ac:dyDescent="0.25">
      <c r="AI163" s="165">
        <v>43962</v>
      </c>
      <c r="AJ163" s="2">
        <v>1385834</v>
      </c>
      <c r="AK163" s="2">
        <v>81795</v>
      </c>
      <c r="AL163" s="69" t="s">
        <v>357</v>
      </c>
    </row>
    <row r="164" spans="1:52" s="69" customFormat="1" x14ac:dyDescent="0.25">
      <c r="AI164" s="165">
        <v>43962</v>
      </c>
      <c r="AJ164" s="2">
        <v>1385834</v>
      </c>
      <c r="AK164" s="2">
        <v>81795</v>
      </c>
      <c r="AL164" s="69" t="s">
        <v>355</v>
      </c>
    </row>
    <row r="165" spans="1:52" s="69" customFormat="1" x14ac:dyDescent="0.25">
      <c r="AI165" s="270">
        <v>43962</v>
      </c>
      <c r="AJ165" s="2">
        <v>1385834</v>
      </c>
      <c r="AK165" s="2">
        <v>81795</v>
      </c>
      <c r="AL165" s="69" t="s">
        <v>356</v>
      </c>
    </row>
    <row r="166" spans="1:52" x14ac:dyDescent="0.25">
      <c r="AI166" s="270">
        <v>43963</v>
      </c>
      <c r="AJ166" s="2">
        <v>1408636</v>
      </c>
      <c r="AK166" s="2">
        <v>83425</v>
      </c>
      <c r="AL166" t="s">
        <v>354</v>
      </c>
    </row>
    <row r="167" spans="1:52" x14ac:dyDescent="0.25">
      <c r="A167" s="4" t="s">
        <v>191</v>
      </c>
      <c r="B167" s="221">
        <v>330565500</v>
      </c>
      <c r="AI167" s="270">
        <v>43964</v>
      </c>
      <c r="AJ167" s="2">
        <v>1430347</v>
      </c>
      <c r="AK167" s="2">
        <v>85197</v>
      </c>
      <c r="AL167" t="s">
        <v>358</v>
      </c>
    </row>
    <row r="168" spans="1:52" x14ac:dyDescent="0.25">
      <c r="A168" s="4"/>
      <c r="B168" s="288"/>
    </row>
    <row r="169" spans="1:52" s="69" customFormat="1" x14ac:dyDescent="0.25">
      <c r="A169" s="62"/>
      <c r="B169" s="169"/>
    </row>
    <row r="170" spans="1:52" x14ac:dyDescent="0.25">
      <c r="A170" s="4" t="s">
        <v>114</v>
      </c>
      <c r="B170" s="155">
        <v>0.12</v>
      </c>
      <c r="C170" t="s">
        <v>113</v>
      </c>
      <c r="D170" s="69"/>
      <c r="E170" s="69"/>
      <c r="F170" s="69" t="s">
        <v>305</v>
      </c>
      <c r="G170" s="69"/>
      <c r="H170" s="69"/>
      <c r="I170" s="69"/>
      <c r="J170" s="69"/>
      <c r="K170" s="69"/>
      <c r="L170" s="69"/>
      <c r="M170" s="69"/>
      <c r="N170" s="69"/>
      <c r="O170" s="69"/>
      <c r="P170" s="69"/>
      <c r="Q170" s="69"/>
      <c r="R170" s="69"/>
      <c r="S170" s="165"/>
      <c r="T170" s="69"/>
      <c r="U170" s="165"/>
      <c r="X170" s="198"/>
      <c r="Y170" s="16"/>
    </row>
    <row r="171" spans="1:52" x14ac:dyDescent="0.25">
      <c r="A171" s="37" t="s">
        <v>116</v>
      </c>
      <c r="B171" s="114">
        <v>7.0000000000000007E-2</v>
      </c>
      <c r="C171" s="248"/>
      <c r="D171" s="69"/>
      <c r="E171" s="69"/>
      <c r="F171" s="69"/>
      <c r="G171" s="69"/>
      <c r="H171" s="69"/>
      <c r="I171" s="69"/>
      <c r="J171" s="69"/>
      <c r="K171" s="69"/>
      <c r="L171" s="69"/>
      <c r="M171" s="69"/>
      <c r="N171" s="69"/>
      <c r="O171" s="69"/>
      <c r="P171" s="69"/>
      <c r="Q171" s="69"/>
      <c r="R171" s="69"/>
      <c r="S171" s="69"/>
      <c r="T171" s="165"/>
      <c r="U171" s="165"/>
      <c r="V171" s="69"/>
      <c r="W171" s="69"/>
      <c r="X171" s="16"/>
      <c r="Y171" s="16"/>
    </row>
    <row r="172" spans="1:52" x14ac:dyDescent="0.25">
      <c r="A172" s="4" t="s">
        <v>180</v>
      </c>
      <c r="B172" s="249">
        <v>2.4</v>
      </c>
      <c r="C172" s="64">
        <f>(B167/1000)*B172</f>
        <v>793357.2</v>
      </c>
      <c r="D172" s="69"/>
      <c r="E172" s="69"/>
      <c r="F172" s="69"/>
      <c r="G172" s="69"/>
      <c r="H172" s="69"/>
      <c r="I172" s="69"/>
      <c r="J172" s="69"/>
      <c r="K172" s="69"/>
      <c r="L172" s="69"/>
      <c r="M172" s="69"/>
      <c r="N172" s="69"/>
      <c r="O172" s="69"/>
      <c r="P172" s="69"/>
      <c r="Q172" s="69"/>
      <c r="R172" s="69"/>
      <c r="S172" s="69"/>
      <c r="T172" s="69"/>
      <c r="U172" s="69"/>
      <c r="V172" s="69"/>
      <c r="W172" s="69"/>
      <c r="X172" s="16"/>
      <c r="Y172" s="16"/>
      <c r="AA172" s="120"/>
    </row>
    <row r="173" spans="1:52" x14ac:dyDescent="0.25">
      <c r="A173" s="37" t="s">
        <v>181</v>
      </c>
      <c r="B173" s="250">
        <v>34.700000000000003</v>
      </c>
      <c r="C173" s="61">
        <f>(B167/100000)*B173</f>
        <v>114706.22850000001</v>
      </c>
      <c r="D173" s="69"/>
      <c r="E173" s="69"/>
      <c r="F173" s="69"/>
      <c r="G173" s="69"/>
      <c r="H173" s="69"/>
      <c r="I173" s="69"/>
      <c r="J173" s="69"/>
      <c r="K173" s="69"/>
      <c r="L173" s="69"/>
      <c r="M173" s="69"/>
      <c r="N173" s="69"/>
      <c r="O173" s="69"/>
      <c r="P173" s="69"/>
      <c r="Q173" s="69"/>
      <c r="R173" s="69"/>
      <c r="S173" s="69"/>
      <c r="T173" s="69"/>
      <c r="U173" s="69"/>
      <c r="V173" s="150"/>
      <c r="W173" s="69"/>
      <c r="AL173" s="255"/>
    </row>
    <row r="174" spans="1:52" x14ac:dyDescent="0.25">
      <c r="A174" s="41"/>
      <c r="B174" s="289"/>
      <c r="C174" s="10"/>
      <c r="D174" s="69"/>
      <c r="E174" s="69"/>
      <c r="F174" s="69"/>
      <c r="G174" s="69"/>
      <c r="H174" s="69"/>
      <c r="I174" s="69"/>
      <c r="J174" s="69"/>
      <c r="K174" s="69"/>
      <c r="L174" s="69"/>
      <c r="M174" s="69"/>
      <c r="N174" s="69"/>
      <c r="O174" s="69"/>
      <c r="P174" s="69"/>
      <c r="Q174" s="69"/>
      <c r="R174" s="69"/>
      <c r="S174" s="69"/>
      <c r="T174" s="69"/>
      <c r="U174" s="69"/>
      <c r="V174" s="150"/>
      <c r="W174" s="69"/>
    </row>
    <row r="175" spans="1:52" x14ac:dyDescent="0.25">
      <c r="A175" s="4" t="s">
        <v>74</v>
      </c>
      <c r="B175" s="112">
        <v>0.81</v>
      </c>
      <c r="C175" s="2"/>
      <c r="D175" s="69"/>
      <c r="E175" s="69"/>
      <c r="F175" s="69"/>
      <c r="G175" s="69"/>
      <c r="H175" s="69"/>
      <c r="I175" s="69"/>
      <c r="J175" s="69"/>
      <c r="K175" s="69"/>
      <c r="L175" s="69"/>
      <c r="M175" s="69"/>
      <c r="N175" s="69"/>
      <c r="O175" s="69"/>
      <c r="P175" s="69"/>
      <c r="Q175" s="69"/>
      <c r="R175" s="69"/>
      <c r="S175" s="69"/>
      <c r="T175" s="69"/>
      <c r="U175" s="69"/>
      <c r="Z175" s="217"/>
      <c r="AC175" s="255"/>
    </row>
    <row r="176" spans="1:52" x14ac:dyDescent="0.25">
      <c r="A176" s="41" t="s">
        <v>75</v>
      </c>
      <c r="B176" s="113">
        <v>0.14000000000000001</v>
      </c>
      <c r="C176" s="2"/>
      <c r="D176" s="69"/>
      <c r="E176" s="69"/>
      <c r="F176" s="69"/>
      <c r="G176" s="69"/>
      <c r="H176" s="69"/>
      <c r="I176" s="69"/>
      <c r="J176" s="69"/>
      <c r="K176" s="69"/>
      <c r="L176" s="69"/>
      <c r="M176" s="69"/>
      <c r="N176" s="69"/>
      <c r="O176" s="69"/>
      <c r="P176" s="69"/>
      <c r="Q176" s="69"/>
      <c r="R176" s="69"/>
      <c r="S176" s="69"/>
      <c r="T176" s="69"/>
      <c r="U176" s="47"/>
      <c r="V176" s="69"/>
      <c r="W176" s="165"/>
      <c r="AC176" s="217"/>
      <c r="AV176" s="255"/>
      <c r="AW176" s="255"/>
      <c r="AX176" s="255"/>
      <c r="AY176" s="255"/>
      <c r="AZ176" s="255"/>
    </row>
    <row r="177" spans="1:63" x14ac:dyDescent="0.25">
      <c r="A177" s="37" t="s">
        <v>109</v>
      </c>
      <c r="B177" s="114">
        <v>0.05</v>
      </c>
      <c r="C177" s="2"/>
      <c r="D177" s="212" t="s">
        <v>170</v>
      </c>
      <c r="T177" s="16"/>
      <c r="U177" s="16"/>
      <c r="V177" s="259"/>
      <c r="W177" s="16"/>
      <c r="AE177" s="2"/>
      <c r="AJ177" s="217"/>
      <c r="AK177" s="217"/>
      <c r="BA177" s="175"/>
      <c r="BB177" s="175"/>
      <c r="BC177" s="175"/>
      <c r="BD177" s="175"/>
      <c r="BE177" s="175"/>
      <c r="BF177" s="175"/>
    </row>
    <row r="178" spans="1:63" x14ac:dyDescent="0.25">
      <c r="A178" s="37" t="s">
        <v>115</v>
      </c>
      <c r="B178" s="65">
        <v>0.06</v>
      </c>
      <c r="C178" s="2"/>
      <c r="D178" s="179" t="s">
        <v>162</v>
      </c>
      <c r="U178" s="16"/>
      <c r="V178" s="16"/>
      <c r="W178" s="16"/>
      <c r="AV178" s="176"/>
      <c r="AW178" s="176"/>
      <c r="AX178" s="176"/>
      <c r="AY178" s="176"/>
      <c r="AZ178" s="176"/>
    </row>
    <row r="179" spans="1:63" x14ac:dyDescent="0.25">
      <c r="A179" s="153" t="s">
        <v>303</v>
      </c>
      <c r="B179" s="154">
        <v>43851</v>
      </c>
      <c r="C179" s="2"/>
      <c r="D179" s="256">
        <f>(BA182-P182)/(LOG(BA183/P183)/LOG(2))</f>
        <v>35.473684210526315</v>
      </c>
      <c r="E179" s="175"/>
      <c r="S179" s="16"/>
      <c r="T179" s="16"/>
      <c r="U179" s="16"/>
      <c r="V179" s="16"/>
      <c r="W179" s="16"/>
      <c r="AC179" t="s">
        <v>335</v>
      </c>
    </row>
    <row r="180" spans="1:63" x14ac:dyDescent="0.25">
      <c r="A180" s="16"/>
      <c r="B180" s="50" t="s">
        <v>54</v>
      </c>
      <c r="C180" s="10"/>
      <c r="D180" s="16"/>
      <c r="E180" s="16"/>
      <c r="F180" s="16"/>
      <c r="G180" s="16"/>
      <c r="H180" s="16"/>
      <c r="I180" s="16"/>
      <c r="J180" s="16"/>
      <c r="K180" s="16"/>
      <c r="L180" s="16"/>
      <c r="M180" s="16"/>
      <c r="N180" s="16"/>
      <c r="O180" s="16"/>
      <c r="Q180" s="16"/>
      <c r="R180" s="16"/>
      <c r="S180" s="16"/>
      <c r="T180" s="16"/>
      <c r="U180" s="16"/>
      <c r="V180" s="16"/>
      <c r="W180" s="16"/>
      <c r="X180" s="16"/>
      <c r="Y180" s="16"/>
      <c r="Z180" s="16"/>
      <c r="AA180" s="16"/>
      <c r="AB180" s="16"/>
      <c r="AC180" s="16"/>
      <c r="AD180" s="16"/>
      <c r="AE180" s="16"/>
      <c r="AF180" s="16" t="s">
        <v>295</v>
      </c>
      <c r="AG180" s="16"/>
      <c r="AH180" s="16"/>
      <c r="AI180" s="16"/>
      <c r="AJ180" s="16"/>
      <c r="AK180" s="16"/>
      <c r="AL180" s="16"/>
      <c r="AM180" s="16"/>
      <c r="AN180" s="16"/>
      <c r="AO180" s="16"/>
      <c r="AP180" s="16"/>
      <c r="AQ180" s="16"/>
      <c r="AR180" s="16"/>
      <c r="AS180" s="16"/>
      <c r="AT180" s="16"/>
      <c r="AU180" s="16"/>
      <c r="BH180" s="152"/>
    </row>
    <row r="181" spans="1:63" x14ac:dyDescent="0.25">
      <c r="A181" s="53" t="s">
        <v>41</v>
      </c>
      <c r="B181" s="192">
        <v>43882</v>
      </c>
      <c r="C181" s="192">
        <v>43890</v>
      </c>
      <c r="D181" s="192">
        <v>43893</v>
      </c>
      <c r="E181" s="192">
        <v>43895</v>
      </c>
      <c r="F181" s="192">
        <v>43904</v>
      </c>
      <c r="G181" s="192">
        <v>43912</v>
      </c>
      <c r="H181" s="192">
        <v>43918</v>
      </c>
      <c r="I181" s="192">
        <v>43923</v>
      </c>
      <c r="J181" s="192">
        <v>43932</v>
      </c>
      <c r="K181" s="192">
        <v>43948</v>
      </c>
      <c r="L181" s="192">
        <v>43980</v>
      </c>
      <c r="M181" s="192">
        <v>44012</v>
      </c>
      <c r="N181" s="192">
        <v>44044</v>
      </c>
      <c r="O181" s="192"/>
      <c r="Q181" s="133" t="s">
        <v>304</v>
      </c>
      <c r="R181" s="16"/>
      <c r="S181" s="16"/>
      <c r="T181" s="16"/>
      <c r="U181" s="16"/>
      <c r="V181" s="16"/>
      <c r="W181" s="16"/>
      <c r="X181" s="16"/>
      <c r="Y181" s="182"/>
      <c r="Z181" s="16"/>
      <c r="AA181" s="16"/>
      <c r="AB181" s="16"/>
      <c r="AC181" s="16" t="s">
        <v>270</v>
      </c>
      <c r="AG181" t="s">
        <v>306</v>
      </c>
      <c r="AL181" s="16"/>
      <c r="AM181" s="16"/>
      <c r="AN181" s="16"/>
      <c r="AO181" s="16"/>
      <c r="AP181" s="16"/>
      <c r="AQ181" s="16"/>
      <c r="AR181" s="16"/>
      <c r="AS181" s="16"/>
      <c r="AT181" s="16"/>
      <c r="AU181" s="16"/>
      <c r="BB181" s="212" t="s">
        <v>171</v>
      </c>
      <c r="BH181" s="252" t="s">
        <v>190</v>
      </c>
    </row>
    <row r="182" spans="1:63" x14ac:dyDescent="0.25">
      <c r="A182" s="4" t="s">
        <v>11</v>
      </c>
      <c r="B182" s="84">
        <v>8</v>
      </c>
      <c r="C182" s="157">
        <v>3</v>
      </c>
      <c r="D182" s="258">
        <v>2</v>
      </c>
      <c r="E182" s="157">
        <v>3</v>
      </c>
      <c r="F182" s="258">
        <v>2</v>
      </c>
      <c r="G182" s="157">
        <v>3</v>
      </c>
      <c r="H182" s="156">
        <v>5</v>
      </c>
      <c r="I182" s="257">
        <v>9</v>
      </c>
      <c r="J182">
        <v>16</v>
      </c>
      <c r="K182">
        <v>32</v>
      </c>
      <c r="L182">
        <v>64</v>
      </c>
      <c r="M182">
        <v>128</v>
      </c>
      <c r="N182">
        <v>256</v>
      </c>
      <c r="O182" s="220"/>
      <c r="P182" s="277">
        <v>43882</v>
      </c>
      <c r="Q182" s="278">
        <f t="shared" ref="Q182:AD182" si="0">P182+HLOOKUP(P182+1, $B$181:$O$182,2,TRUE)</f>
        <v>43890</v>
      </c>
      <c r="R182" s="279">
        <f t="shared" si="0"/>
        <v>43893</v>
      </c>
      <c r="S182" s="278">
        <f t="shared" si="0"/>
        <v>43895</v>
      </c>
      <c r="T182" s="278">
        <f t="shared" si="0"/>
        <v>43898</v>
      </c>
      <c r="U182" s="278">
        <f t="shared" si="0"/>
        <v>43901</v>
      </c>
      <c r="V182" s="279">
        <f t="shared" si="0"/>
        <v>43904</v>
      </c>
      <c r="W182" s="279">
        <f t="shared" si="0"/>
        <v>43906</v>
      </c>
      <c r="X182" s="279">
        <f t="shared" si="0"/>
        <v>43908</v>
      </c>
      <c r="Y182" s="279">
        <f t="shared" si="0"/>
        <v>43910</v>
      </c>
      <c r="Z182" s="278">
        <f t="shared" si="0"/>
        <v>43912</v>
      </c>
      <c r="AA182" s="280">
        <f t="shared" si="0"/>
        <v>43915</v>
      </c>
      <c r="AB182" s="280">
        <f t="shared" si="0"/>
        <v>43918</v>
      </c>
      <c r="AC182" s="281">
        <f t="shared" si="0"/>
        <v>43923</v>
      </c>
      <c r="AD182" s="282">
        <f t="shared" si="0"/>
        <v>43932</v>
      </c>
      <c r="AE182" s="283">
        <f>$AD$182+(($AH$182-$AD$182)*0.25)</f>
        <v>43936</v>
      </c>
      <c r="AF182" s="283">
        <f>$AD$182+(($AH$182-$AD$182)*0.5)</f>
        <v>43940</v>
      </c>
      <c r="AG182" s="283">
        <f>$AD$182+(($AH$182-$AD$182)*0.75)</f>
        <v>43944</v>
      </c>
      <c r="AH182" s="282">
        <f>AD182+HLOOKUP(AD182+1, $B$181:$O$182,2,TRUE)</f>
        <v>43948</v>
      </c>
      <c r="AI182" s="287">
        <f>$AH$182+(($AL$182-$AH$182)*0.32)</f>
        <v>43958.239999999998</v>
      </c>
      <c r="AJ182" s="285">
        <f>$AH$182+(($AL$182-$AH$182)*0.67)</f>
        <v>43969.440000000002</v>
      </c>
      <c r="AK182" s="285">
        <f>$AH$182+(($AL$182-$AH$182)*0.75)</f>
        <v>43972</v>
      </c>
      <c r="AL182" s="228">
        <f>AH182+HLOOKUP(AH182+1, $B$181:$O$182,2,TRUE)</f>
        <v>43980</v>
      </c>
      <c r="AM182" s="285">
        <f>$AL$182+(($AQ$182-$AL$182)*0.2)</f>
        <v>43992.800000000003</v>
      </c>
      <c r="AN182" s="285">
        <f>$AL$182+(($AQ$182-$AL$182)*0.4)</f>
        <v>44005.599999999999</v>
      </c>
      <c r="AO182" s="285">
        <f>$AL$182+(($AQ$182-$AL$182)*0.6)</f>
        <v>44018.400000000001</v>
      </c>
      <c r="AP182" s="285">
        <f>$AL$182+(($AQ$182-$AL$182)*0.8)</f>
        <v>44031.199999999997</v>
      </c>
      <c r="AQ182" s="228">
        <f>AL182+HLOOKUP(AL182+1, $B$181:$O$182,2,TRUE)</f>
        <v>44044</v>
      </c>
      <c r="AR182" s="285">
        <f>$AQ$182+(($AV$182-$AQ$182)*0.2)</f>
        <v>44095.199999999997</v>
      </c>
      <c r="AS182" s="285">
        <f>$AQ$182+(($AV$182-$AQ$182)*0.4)</f>
        <v>44146.400000000001</v>
      </c>
      <c r="AT182" s="285">
        <f>$AQ$182+(($AV$182-$AQ$182)*0.6)</f>
        <v>44197.599999999999</v>
      </c>
      <c r="AU182" s="285">
        <f>$AQ$182+(($AV$182-$AQ$182)*0.8)</f>
        <v>44248.800000000003</v>
      </c>
      <c r="AV182" s="228">
        <f>AQ182+HLOOKUP(AQ182+1, $B$181:$O$182,2,TRUE)</f>
        <v>44300</v>
      </c>
      <c r="AW182" s="285">
        <f>$AV$182+(($BA$182-$AV$182)*0.2)</f>
        <v>44351.199999999997</v>
      </c>
      <c r="AX182" s="285">
        <f>$AV$182+(($BA$182-$AV$182)*0.4)</f>
        <v>44402.400000000001</v>
      </c>
      <c r="AY182" s="285">
        <f>$AV$182+(($BA$182-$AV$182)*0.6)</f>
        <v>44453.599999999999</v>
      </c>
      <c r="AZ182" s="285">
        <f>$AV$182+(($BA$182-$AV$182)*0.8)</f>
        <v>44504.800000000003</v>
      </c>
      <c r="BA182" s="237">
        <f>AV182+HLOOKUP(AV182+1, $B$181:$O$182,2,TRUE)</f>
        <v>44556</v>
      </c>
      <c r="BB182" s="228">
        <f t="shared" ref="BB182:BG182" si="1">BA182+HLOOKUP(BA182+1, $B$181:$O$182,2,TRUE)</f>
        <v>44812</v>
      </c>
      <c r="BC182" s="228">
        <f t="shared" si="1"/>
        <v>45068</v>
      </c>
      <c r="BD182" s="228">
        <f t="shared" si="1"/>
        <v>45324</v>
      </c>
      <c r="BE182" s="228">
        <f t="shared" si="1"/>
        <v>45580</v>
      </c>
      <c r="BF182" s="237">
        <f t="shared" si="1"/>
        <v>45836</v>
      </c>
      <c r="BG182" s="237">
        <f t="shared" si="1"/>
        <v>46092</v>
      </c>
      <c r="BH182" s="251">
        <f>BG182+(7*8)</f>
        <v>46148</v>
      </c>
      <c r="BI182" s="70"/>
      <c r="BJ182" s="70"/>
      <c r="BK182" s="69"/>
    </row>
    <row r="183" spans="1:63" x14ac:dyDescent="0.25">
      <c r="A183" s="41" t="s">
        <v>107</v>
      </c>
      <c r="B183" s="16"/>
      <c r="C183" s="16"/>
      <c r="D183" s="16"/>
      <c r="E183" s="16"/>
      <c r="F183" s="16"/>
      <c r="G183" s="16"/>
      <c r="H183" s="16"/>
      <c r="I183" s="16"/>
      <c r="J183" s="16"/>
      <c r="K183" s="16"/>
      <c r="L183" s="16"/>
      <c r="M183" s="16"/>
      <c r="N183" s="16"/>
      <c r="O183" s="16"/>
      <c r="P183" s="273">
        <v>31.25</v>
      </c>
      <c r="Q183" s="274">
        <f>P183*2</f>
        <v>62.5</v>
      </c>
      <c r="R183" s="274">
        <f t="shared" ref="R183:AD183" si="2">Q183*2</f>
        <v>125</v>
      </c>
      <c r="S183" s="274">
        <f t="shared" si="2"/>
        <v>250</v>
      </c>
      <c r="T183" s="274">
        <f t="shared" si="2"/>
        <v>500</v>
      </c>
      <c r="U183" s="274">
        <f t="shared" si="2"/>
        <v>1000</v>
      </c>
      <c r="V183" s="274">
        <f t="shared" si="2"/>
        <v>2000</v>
      </c>
      <c r="W183" s="274">
        <f t="shared" si="2"/>
        <v>4000</v>
      </c>
      <c r="X183" s="274">
        <f t="shared" si="2"/>
        <v>8000</v>
      </c>
      <c r="Y183" s="274">
        <f>X183*2</f>
        <v>16000</v>
      </c>
      <c r="Z183" s="274">
        <f>Y183*2</f>
        <v>32000</v>
      </c>
      <c r="AA183" s="274">
        <f>Z183*2</f>
        <v>64000</v>
      </c>
      <c r="AB183" s="274">
        <f>AA183*2</f>
        <v>128000</v>
      </c>
      <c r="AC183" s="274">
        <f t="shared" si="2"/>
        <v>256000</v>
      </c>
      <c r="AD183" s="274">
        <f t="shared" si="2"/>
        <v>512000</v>
      </c>
      <c r="AE183" s="274">
        <f>$AD$183+(($AH$183-$AD$183)*0.25)</f>
        <v>640000</v>
      </c>
      <c r="AF183" s="274">
        <f>$AD$183+(($AH$183-$AD$183)*0.5)</f>
        <v>768000</v>
      </c>
      <c r="AG183" s="274">
        <f>$AD$183+(($AH$183-$AD$183)*0.75)</f>
        <v>896000</v>
      </c>
      <c r="AH183" s="274">
        <f>AD183*2</f>
        <v>1024000</v>
      </c>
      <c r="AI183" s="274">
        <f>$AH$183+(($AL$183-$AH$183)*0.25)</f>
        <v>1280000</v>
      </c>
      <c r="AJ183" s="274">
        <f>$AH$183+(($AL$183-$AH$183)*0.5)</f>
        <v>1536000</v>
      </c>
      <c r="AK183" s="274">
        <f>$AH$183+(($AL$183-$AH$183)*0.75)</f>
        <v>1792000</v>
      </c>
      <c r="AL183" s="274">
        <f>AH183*2</f>
        <v>2048000</v>
      </c>
      <c r="AM183" s="274">
        <f>$AL$183+(($AQ$183-$AL$183)*0.2)</f>
        <v>2457600</v>
      </c>
      <c r="AN183" s="274">
        <f>$AL$183+(($AQ$183-$AL$183)*0.4)</f>
        <v>2867200</v>
      </c>
      <c r="AO183" s="274">
        <f>$AL$183+(($AQ$183-$AL$183)*0.6)</f>
        <v>3276800</v>
      </c>
      <c r="AP183" s="274">
        <f>$AL$183+(($AQ$183-$AL$183)*0.8)</f>
        <v>3686400</v>
      </c>
      <c r="AQ183" s="274">
        <f>AL183*2</f>
        <v>4096000</v>
      </c>
      <c r="AR183" s="274">
        <f>$AQ$183+(($AV$183-$AQ$183)*0.2)</f>
        <v>4915200</v>
      </c>
      <c r="AS183" s="274">
        <f>$AQ$183+(($AV$183-$AQ$183)*0.4)</f>
        <v>5734400</v>
      </c>
      <c r="AT183" s="274">
        <f>$AQ$183+(($AV$183-$AQ$183)*0.6)</f>
        <v>6553600</v>
      </c>
      <c r="AU183" s="274">
        <f>$AQ$183+(($AV$183-$AQ$183)*0.8)</f>
        <v>7372800</v>
      </c>
      <c r="AV183" s="274">
        <f>AQ183*2</f>
        <v>8192000</v>
      </c>
      <c r="AW183" s="274">
        <f>$AV$183+(($BA$183-$AV$183)*0.2)</f>
        <v>9830400</v>
      </c>
      <c r="AX183" s="274">
        <f>$AV$183+(($BA$183-$AV$183)*0.4)</f>
        <v>11468800</v>
      </c>
      <c r="AY183" s="274">
        <f>$AV$183+(($BA$183-$AV$183)*0.6)</f>
        <v>13107200</v>
      </c>
      <c r="AZ183" s="274">
        <f>$AV$183+(($BA$183-$AV$183)*0.8)</f>
        <v>14745600</v>
      </c>
      <c r="BA183" s="275">
        <f>AV183*2</f>
        <v>16384000</v>
      </c>
      <c r="BB183" s="238">
        <f t="shared" ref="BB183:BE183" si="3">BA183*2</f>
        <v>32768000</v>
      </c>
      <c r="BC183" s="208">
        <f t="shared" si="3"/>
        <v>65536000</v>
      </c>
      <c r="BD183" s="208">
        <f t="shared" si="3"/>
        <v>131072000</v>
      </c>
      <c r="BE183" s="208">
        <f t="shared" si="3"/>
        <v>262144000</v>
      </c>
      <c r="BF183" s="209">
        <f>B167</f>
        <v>330565500</v>
      </c>
      <c r="BG183" s="199">
        <f>B167</f>
        <v>330565500</v>
      </c>
      <c r="BH183" s="242">
        <f>B167*BH184</f>
        <v>23139585.000000004</v>
      </c>
      <c r="BI183" s="45"/>
      <c r="BJ183" s="45"/>
      <c r="BK183" s="69"/>
    </row>
    <row r="184" spans="1:63" x14ac:dyDescent="0.25">
      <c r="A184" s="41" t="s">
        <v>108</v>
      </c>
      <c r="B184" s="16"/>
      <c r="C184" s="16"/>
      <c r="D184" s="16"/>
      <c r="E184" s="16"/>
      <c r="F184" s="16"/>
      <c r="G184" s="16"/>
      <c r="H184" s="16"/>
      <c r="I184" s="16"/>
      <c r="J184" s="16"/>
      <c r="K184" s="16"/>
      <c r="L184" s="16"/>
      <c r="M184" s="16"/>
      <c r="N184" s="16"/>
      <c r="O184" s="16"/>
      <c r="P184" s="218">
        <f t="shared" ref="P184:AP184" si="4">P183/$B$167</f>
        <v>9.453497113280122E-8</v>
      </c>
      <c r="Q184" s="219">
        <f t="shared" si="4"/>
        <v>1.8906994226560244E-7</v>
      </c>
      <c r="R184" s="219">
        <f t="shared" si="4"/>
        <v>3.7813988453120488E-7</v>
      </c>
      <c r="S184" s="196">
        <f t="shared" si="4"/>
        <v>7.5627976906240976E-7</v>
      </c>
      <c r="T184" s="196">
        <f t="shared" si="4"/>
        <v>1.5125595381248195E-6</v>
      </c>
      <c r="U184" s="196">
        <f t="shared" si="4"/>
        <v>3.025119076249639E-6</v>
      </c>
      <c r="V184" s="196">
        <f t="shared" si="4"/>
        <v>6.0502381524992781E-6</v>
      </c>
      <c r="W184" s="66">
        <f t="shared" si="4"/>
        <v>1.2100476304998556E-5</v>
      </c>
      <c r="X184" s="36">
        <f t="shared" si="4"/>
        <v>2.4200952609997112E-5</v>
      </c>
      <c r="Y184" s="36">
        <f>Y183/$B$167</f>
        <v>4.8401905219994225E-5</v>
      </c>
      <c r="Z184" s="36">
        <f>Z183/$B$167</f>
        <v>9.6803810439988449E-5</v>
      </c>
      <c r="AA184" s="36">
        <f>AA183/$B$167</f>
        <v>1.936076208799769E-4</v>
      </c>
      <c r="AB184" s="36">
        <f>AB183/$B$167</f>
        <v>3.872152417599538E-4</v>
      </c>
      <c r="AC184" s="14">
        <f t="shared" si="4"/>
        <v>7.7443048351990759E-4</v>
      </c>
      <c r="AD184" s="14">
        <f t="shared" si="4"/>
        <v>1.5488609670398152E-3</v>
      </c>
      <c r="AE184" s="14">
        <f t="shared" ref="AE184:AG184" si="5">AE183/$B$167</f>
        <v>1.9360762087997688E-3</v>
      </c>
      <c r="AF184" s="14">
        <f t="shared" si="5"/>
        <v>2.3232914505597227E-3</v>
      </c>
      <c r="AG184" s="14">
        <f t="shared" si="5"/>
        <v>2.7105066923196765E-3</v>
      </c>
      <c r="AH184" s="14">
        <f t="shared" si="4"/>
        <v>3.0977219340796304E-3</v>
      </c>
      <c r="AI184" s="14">
        <f t="shared" ref="AI184:AK184" si="6">AI183/$B$167</f>
        <v>3.8721524175995376E-3</v>
      </c>
      <c r="AJ184" s="14">
        <f t="shared" si="6"/>
        <v>4.6465829011194454E-3</v>
      </c>
      <c r="AK184" s="14">
        <f t="shared" si="6"/>
        <v>5.4210133846393531E-3</v>
      </c>
      <c r="AL184" s="14">
        <f t="shared" si="4"/>
        <v>6.1954438681592608E-3</v>
      </c>
      <c r="AM184" s="15">
        <f t="shared" si="4"/>
        <v>7.4345326417911122E-3</v>
      </c>
      <c r="AN184" s="15">
        <f t="shared" si="4"/>
        <v>8.6736214154229645E-3</v>
      </c>
      <c r="AO184" s="15">
        <f t="shared" si="4"/>
        <v>9.9127101890548169E-3</v>
      </c>
      <c r="AP184" s="15">
        <f t="shared" si="4"/>
        <v>1.1151798962686669E-2</v>
      </c>
      <c r="AQ184" s="15">
        <f>AQ183/$B$167</f>
        <v>1.2390887736318522E-2</v>
      </c>
      <c r="AR184" s="15">
        <f t="shared" ref="AR184:AU184" si="7">AR183/$B$167</f>
        <v>1.4869065283582224E-2</v>
      </c>
      <c r="AS184" s="15">
        <f t="shared" si="7"/>
        <v>1.7347242830845929E-2</v>
      </c>
      <c r="AT184" s="15">
        <f t="shared" si="7"/>
        <v>1.9825420378109634E-2</v>
      </c>
      <c r="AU184" s="15">
        <f t="shared" si="7"/>
        <v>2.2303597925373338E-2</v>
      </c>
      <c r="AV184" s="15">
        <f>AV183/$B$167</f>
        <v>2.4781775472637043E-2</v>
      </c>
      <c r="AW184" s="15">
        <f t="shared" ref="AW184:AZ184" si="8">AW183/$B$167</f>
        <v>2.9738130567164449E-2</v>
      </c>
      <c r="AX184" s="15">
        <f t="shared" si="8"/>
        <v>3.4694485661691858E-2</v>
      </c>
      <c r="AY184" s="15">
        <f t="shared" si="8"/>
        <v>3.9650840756219267E-2</v>
      </c>
      <c r="AZ184" s="15">
        <f t="shared" si="8"/>
        <v>4.4607195850746677E-2</v>
      </c>
      <c r="BA184" s="224">
        <f>BA183/$B$167</f>
        <v>4.9563550945274086E-2</v>
      </c>
      <c r="BB184" s="260">
        <f t="shared" ref="BB184:BF184" si="9">BB183/$B$167</f>
        <v>9.9127101890548172E-2</v>
      </c>
      <c r="BC184" s="223">
        <f t="shared" si="9"/>
        <v>0.19825420378109634</v>
      </c>
      <c r="BD184" s="223">
        <f t="shared" si="9"/>
        <v>0.39650840756219269</v>
      </c>
      <c r="BE184" s="223">
        <f t="shared" si="9"/>
        <v>0.79301681512438538</v>
      </c>
      <c r="BF184" s="178">
        <f t="shared" si="9"/>
        <v>1</v>
      </c>
      <c r="BG184" s="177">
        <f>BG183/$B$167</f>
        <v>1</v>
      </c>
      <c r="BH184" s="243">
        <f>B171</f>
        <v>7.0000000000000007E-2</v>
      </c>
      <c r="BI184" s="25"/>
      <c r="BJ184" s="25"/>
      <c r="BK184" s="69"/>
    </row>
    <row r="185" spans="1:63" x14ac:dyDescent="0.25">
      <c r="A185" s="41" t="s">
        <v>158</v>
      </c>
      <c r="B185" s="16"/>
      <c r="C185" s="16"/>
      <c r="D185" s="16"/>
      <c r="E185" s="16"/>
      <c r="F185" s="16"/>
      <c r="G185" s="16"/>
      <c r="H185" s="16"/>
      <c r="I185" s="16"/>
      <c r="J185" s="16"/>
      <c r="K185" s="16"/>
      <c r="L185" s="16"/>
      <c r="M185" s="16"/>
      <c r="N185" s="16"/>
      <c r="O185" s="16"/>
      <c r="P185" s="264">
        <f t="shared" ref="P185:Y185" si="10">MAX(P183-(P191-P192)-(P193-P194)-(P195-P196),0)</f>
        <v>25.558430925469978</v>
      </c>
      <c r="Q185" s="265">
        <f t="shared" si="10"/>
        <v>48.253729583441825</v>
      </c>
      <c r="R185" s="265">
        <f t="shared" si="10"/>
        <v>104.90319014596037</v>
      </c>
      <c r="S185" s="265">
        <f t="shared" si="10"/>
        <v>224.72190063694103</v>
      </c>
      <c r="T185" s="265">
        <f>MAX(T183-(T191-T192)-(T193-T194)-(T195-T196),0)</f>
        <v>468.16151942648673</v>
      </c>
      <c r="U185" s="265">
        <f t="shared" si="10"/>
        <v>955.08635794363818</v>
      </c>
      <c r="V185" s="265">
        <f>MAX(V183-(V191-V192)-(V193-V194)-(V195-V196),0)</f>
        <v>1950.8214285714287</v>
      </c>
      <c r="W185" s="265">
        <f t="shared" si="10"/>
        <v>3941.9387841598559</v>
      </c>
      <c r="X185" s="265">
        <f t="shared" si="10"/>
        <v>7899.3926009765419</v>
      </c>
      <c r="Y185" s="265">
        <f t="shared" si="10"/>
        <v>15815.828395301851</v>
      </c>
      <c r="Z185" s="265">
        <f>MAX(Z183-(Z191-Z192)-(Z193-Z194)-(Z195-Z196),0)</f>
        <v>31608.741071428572</v>
      </c>
      <c r="AA185" s="265">
        <f t="shared" ref="AA185:BA185" si="11">MAX(AA183-(AA191-AA192)-(AA193-AA194)-(AA195-AA196),0)</f>
        <v>63059.098214285717</v>
      </c>
      <c r="AB185" s="265">
        <f t="shared" si="11"/>
        <v>125994.22083273345</v>
      </c>
      <c r="AC185" s="265">
        <f t="shared" si="11"/>
        <v>247644.31677867728</v>
      </c>
      <c r="AD185" s="265">
        <f t="shared" si="11"/>
        <v>416172.14285714284</v>
      </c>
      <c r="AE185" s="265">
        <f t="shared" ref="AE185:AG185" si="12">MAX(AE183-(AE191-AE192)-(AE193-AE194)-(AE195-AE196),0)</f>
        <v>402226.56939406152</v>
      </c>
      <c r="AF185" s="265">
        <f t="shared" si="12"/>
        <v>399354.62073629722</v>
      </c>
      <c r="AG185" s="265">
        <f t="shared" si="12"/>
        <v>119097.53326256634</v>
      </c>
      <c r="AH185" s="265">
        <f t="shared" si="11"/>
        <v>413664.82197137375</v>
      </c>
      <c r="AI185" s="265">
        <f t="shared" ref="AI185:AK185" si="13">MAX(AI183-(AI191-AI192)-(AI193-AI194)-(AI195-AI196),0)</f>
        <v>560772.98449149285</v>
      </c>
      <c r="AJ185" s="265">
        <f t="shared" si="13"/>
        <v>66327.62321064627</v>
      </c>
      <c r="AK185" s="265">
        <f t="shared" si="13"/>
        <v>0</v>
      </c>
      <c r="AL185" s="265">
        <f t="shared" si="11"/>
        <v>103416.95835116872</v>
      </c>
      <c r="AM185" s="265">
        <f t="shared" ref="AM185:AP185" si="14">MAX(AM183-(AM191-AM192)-(AM193-AM194)-(AM195-AM196),0)</f>
        <v>90173.376495364326</v>
      </c>
      <c r="AN185" s="265">
        <f t="shared" si="14"/>
        <v>0</v>
      </c>
      <c r="AO185" s="265">
        <f t="shared" si="14"/>
        <v>0</v>
      </c>
      <c r="AP185" s="265">
        <f t="shared" si="14"/>
        <v>0</v>
      </c>
      <c r="AQ185" s="265">
        <f t="shared" si="11"/>
        <v>0</v>
      </c>
      <c r="AR185" s="265">
        <f t="shared" ref="AR185:AU185" si="15">MAX(AR183-(AR191-AR192)-(AR193-AR194)-(AR195-AR196),0)</f>
        <v>0</v>
      </c>
      <c r="AS185" s="265">
        <f t="shared" si="15"/>
        <v>0</v>
      </c>
      <c r="AT185" s="265">
        <f t="shared" si="15"/>
        <v>0</v>
      </c>
      <c r="AU185" s="265">
        <f t="shared" si="15"/>
        <v>0</v>
      </c>
      <c r="AV185" s="265">
        <f t="shared" si="11"/>
        <v>0</v>
      </c>
      <c r="AW185" s="265">
        <f t="shared" ref="AW185:AZ185" si="16">MAX(AW183-(AW191-AW192)-(AW193-AW194)-(AW195-AW196),0)</f>
        <v>0</v>
      </c>
      <c r="AX185" s="265">
        <f t="shared" si="16"/>
        <v>0</v>
      </c>
      <c r="AY185" s="265">
        <f t="shared" si="16"/>
        <v>0</v>
      </c>
      <c r="AZ185" s="265">
        <f t="shared" si="16"/>
        <v>0</v>
      </c>
      <c r="BA185" s="268">
        <f t="shared" si="11"/>
        <v>0</v>
      </c>
      <c r="BB185" s="240">
        <f t="shared" ref="BB185:BF185" si="17">MAX(BB183-(BB191-BB192)-(BB193-BB194)-(BB195-BB196),0)</f>
        <v>0</v>
      </c>
      <c r="BC185" s="199">
        <f t="shared" si="17"/>
        <v>0</v>
      </c>
      <c r="BD185" s="199">
        <f t="shared" si="17"/>
        <v>0</v>
      </c>
      <c r="BE185" s="199">
        <f t="shared" si="17"/>
        <v>0</v>
      </c>
      <c r="BF185" s="200">
        <f t="shared" si="17"/>
        <v>0</v>
      </c>
      <c r="BG185" s="199">
        <f>MAX(BG183-(BG191-BG192)-(BG193-BG194)-(BG195-BG196),0)</f>
        <v>0</v>
      </c>
      <c r="BH185" s="244"/>
      <c r="BI185" s="45"/>
      <c r="BJ185" s="45"/>
      <c r="BK185" s="69"/>
    </row>
    <row r="186" spans="1:63" x14ac:dyDescent="0.25">
      <c r="A186" s="41" t="s">
        <v>172</v>
      </c>
      <c r="B186" s="16"/>
      <c r="C186" s="16"/>
      <c r="D186" s="16"/>
      <c r="E186" s="16"/>
      <c r="F186" s="16"/>
      <c r="G186" s="16"/>
      <c r="H186" s="16"/>
      <c r="I186" s="16"/>
      <c r="J186" s="16"/>
      <c r="K186" s="16"/>
      <c r="L186" s="16"/>
      <c r="M186" s="16"/>
      <c r="N186" s="16"/>
      <c r="O186" s="16"/>
      <c r="P186" s="86">
        <f>MAX(P183-P185-P198,0)</f>
        <v>5.6915690745300225</v>
      </c>
      <c r="Q186" s="87">
        <f>MAX(Q183-Q185-Q198,0)</f>
        <v>14.246270416558175</v>
      </c>
      <c r="R186" s="87">
        <f t="shared" ref="R186:S186" si="18">MAX(R183-R185-R198,0)</f>
        <v>20.096809854039634</v>
      </c>
      <c r="S186" s="87">
        <f t="shared" si="18"/>
        <v>25.278099363058971</v>
      </c>
      <c r="T186" s="121">
        <f>MAX(T183-T185-T198,0)</f>
        <v>31.838480573513266</v>
      </c>
      <c r="U186" s="121">
        <f t="shared" ref="U186:BA186" si="19">MAX(U183-U185-U198,0)</f>
        <v>44.913642056361823</v>
      </c>
      <c r="V186" s="121">
        <f t="shared" si="19"/>
        <v>49.178571428571331</v>
      </c>
      <c r="W186" s="121">
        <f t="shared" si="19"/>
        <v>58.061215840144087</v>
      </c>
      <c r="X186" s="121">
        <f t="shared" si="19"/>
        <v>100.60739902345813</v>
      </c>
      <c r="Y186" s="121">
        <f t="shared" si="19"/>
        <v>184.17160469814917</v>
      </c>
      <c r="Z186" s="121">
        <f t="shared" si="19"/>
        <v>391.25892857142753</v>
      </c>
      <c r="AA186" s="121">
        <f t="shared" si="19"/>
        <v>940.9017857142826</v>
      </c>
      <c r="AB186" s="121">
        <f t="shared" si="19"/>
        <v>2003.676309403837</v>
      </c>
      <c r="AC186" s="121">
        <f t="shared" si="19"/>
        <v>8351.9519816055326</v>
      </c>
      <c r="AD186" s="121">
        <f t="shared" si="19"/>
        <v>95812.137151392031</v>
      </c>
      <c r="AE186" s="121">
        <f t="shared" ref="AE186:AG186" si="20">MAX(AE183-AE185-AE198,0)</f>
        <v>237703.73417736706</v>
      </c>
      <c r="AF186" s="121">
        <f t="shared" si="20"/>
        <v>368464.30016639753</v>
      </c>
      <c r="AG186" s="121">
        <f t="shared" si="20"/>
        <v>776283.75756299729</v>
      </c>
      <c r="AH186" s="121">
        <f t="shared" si="19"/>
        <v>608055.48873775708</v>
      </c>
      <c r="AI186" s="121">
        <f t="shared" ref="AI186:AK186" si="21">MAX(AI183-AI185-AI198,0)</f>
        <v>705079.90128721308</v>
      </c>
      <c r="AJ186" s="121">
        <f t="shared" si="21"/>
        <v>1423363.0617886474</v>
      </c>
      <c r="AK186" s="121">
        <f t="shared" si="21"/>
        <v>1750064.7069792594</v>
      </c>
      <c r="AL186" s="121">
        <f t="shared" si="19"/>
        <v>1888668.4149743039</v>
      </c>
      <c r="AM186" s="121">
        <f t="shared" ref="AM186:AP186" si="22">MAX(AM183-AM185-AM198,0)</f>
        <v>2118706.79008203</v>
      </c>
      <c r="AN186" s="121">
        <f t="shared" si="22"/>
        <v>2772377.6715976917</v>
      </c>
      <c r="AO186" s="121">
        <f t="shared" si="22"/>
        <v>3116232.3760146229</v>
      </c>
      <c r="AP186" s="121">
        <f t="shared" si="22"/>
        <v>3534853.2222275943</v>
      </c>
      <c r="AQ186" s="121">
        <f t="shared" si="19"/>
        <v>3907480.4382372852</v>
      </c>
      <c r="AR186" s="121">
        <f t="shared" ref="AR186:AU186" si="23">MAX(AR183-AR185-AR198,0)</f>
        <v>4210308.3499890771</v>
      </c>
      <c r="AS186" s="121">
        <f t="shared" si="23"/>
        <v>5209424.4180137878</v>
      </c>
      <c r="AT186" s="121">
        <f t="shared" si="23"/>
        <v>5979216.0554459207</v>
      </c>
      <c r="AU186" s="121">
        <f t="shared" si="23"/>
        <v>6761037.559084801</v>
      </c>
      <c r="AV186" s="121">
        <f t="shared" si="19"/>
        <v>7532962.4847600004</v>
      </c>
      <c r="AW186" s="121">
        <f t="shared" ref="AW186:AZ186" si="24">MAX(AW183-AW185-AW198,0)</f>
        <v>9121774.9378128927</v>
      </c>
      <c r="AX186" s="121">
        <f t="shared" si="24"/>
        <v>10805542.305810755</v>
      </c>
      <c r="AY186" s="121">
        <f t="shared" si="24"/>
        <v>12287243.109279025</v>
      </c>
      <c r="AZ186" s="121">
        <f t="shared" si="24"/>
        <v>13800278.046321949</v>
      </c>
      <c r="BA186" s="122">
        <f t="shared" si="19"/>
        <v>15309150.988341341</v>
      </c>
      <c r="BB186" s="261">
        <f>MAX(BB183-BB185-BB198,0)</f>
        <v>0</v>
      </c>
      <c r="BC186" s="213">
        <f>MAX(BC183-BC185-BC198,0)</f>
        <v>19469102.257462978</v>
      </c>
      <c r="BD186" s="213">
        <f t="shared" ref="BD186:BG186" si="25">MAX(BD183-BD185-BD198,0)</f>
        <v>79285279.578246802</v>
      </c>
      <c r="BE186" s="213">
        <f t="shared" si="25"/>
        <v>190713339.99244183</v>
      </c>
      <c r="BF186" s="214">
        <f t="shared" si="25"/>
        <v>220359022.35243845</v>
      </c>
      <c r="BG186" s="213">
        <f t="shared" si="25"/>
        <v>148569453.0652965</v>
      </c>
      <c r="BH186" s="245"/>
      <c r="BI186" s="25"/>
      <c r="BJ186" s="25"/>
      <c r="BK186" s="69"/>
    </row>
    <row r="187" spans="1:63" x14ac:dyDescent="0.25">
      <c r="A187" s="4" t="s">
        <v>165</v>
      </c>
      <c r="B187" s="9"/>
      <c r="C187" s="9"/>
      <c r="D187" s="9"/>
      <c r="E187" s="9"/>
      <c r="F187" s="9"/>
      <c r="G187" s="9"/>
      <c r="H187" s="9"/>
      <c r="I187" s="9"/>
      <c r="J187" s="9"/>
      <c r="K187" s="9"/>
      <c r="L187" s="9"/>
      <c r="M187" s="9"/>
      <c r="N187" s="9"/>
      <c r="O187" s="5"/>
      <c r="P187" s="197">
        <f t="shared" ref="P187:BC187" si="26">P183/$B$170</f>
        <v>260.41666666666669</v>
      </c>
      <c r="Q187" s="198">
        <f t="shared" si="26"/>
        <v>520.83333333333337</v>
      </c>
      <c r="R187" s="198">
        <f t="shared" si="26"/>
        <v>1041.6666666666667</v>
      </c>
      <c r="S187" s="198">
        <f t="shared" si="26"/>
        <v>2083.3333333333335</v>
      </c>
      <c r="T187" s="198">
        <f t="shared" si="26"/>
        <v>4166.666666666667</v>
      </c>
      <c r="U187" s="198">
        <f t="shared" si="26"/>
        <v>8333.3333333333339</v>
      </c>
      <c r="V187" s="198">
        <f t="shared" si="26"/>
        <v>16666.666666666668</v>
      </c>
      <c r="W187" s="198">
        <f t="shared" si="26"/>
        <v>33333.333333333336</v>
      </c>
      <c r="X187" s="198">
        <f t="shared" si="26"/>
        <v>66666.666666666672</v>
      </c>
      <c r="Y187" s="198">
        <f t="shared" si="26"/>
        <v>133333.33333333334</v>
      </c>
      <c r="Z187" s="198">
        <f t="shared" si="26"/>
        <v>266666.66666666669</v>
      </c>
      <c r="AA187" s="198">
        <f t="shared" si="26"/>
        <v>533333.33333333337</v>
      </c>
      <c r="AB187" s="198">
        <f t="shared" si="26"/>
        <v>1066666.6666666667</v>
      </c>
      <c r="AC187" s="198">
        <f t="shared" si="26"/>
        <v>2133333.3333333335</v>
      </c>
      <c r="AD187" s="198">
        <f t="shared" si="26"/>
        <v>4266666.666666667</v>
      </c>
      <c r="AE187" s="198">
        <f t="shared" ref="AE187:AG187" si="27">AE183/$B$170</f>
        <v>5333333.333333334</v>
      </c>
      <c r="AF187" s="198">
        <f t="shared" si="27"/>
        <v>6400000</v>
      </c>
      <c r="AG187" s="198">
        <f t="shared" si="27"/>
        <v>7466666.666666667</v>
      </c>
      <c r="AH187" s="198">
        <f t="shared" si="26"/>
        <v>8533333.333333334</v>
      </c>
      <c r="AI187" s="198">
        <f t="shared" ref="AI187:AK187" si="28">AI183/$B$170</f>
        <v>10666666.666666668</v>
      </c>
      <c r="AJ187" s="198">
        <f t="shared" si="28"/>
        <v>12800000</v>
      </c>
      <c r="AK187" s="198">
        <f t="shared" si="28"/>
        <v>14933333.333333334</v>
      </c>
      <c r="AL187" s="198">
        <f t="shared" si="26"/>
        <v>17066666.666666668</v>
      </c>
      <c r="AM187" s="198">
        <f t="shared" ref="AM187:AP187" si="29">AM183/$B$170</f>
        <v>20480000</v>
      </c>
      <c r="AN187" s="198">
        <f t="shared" si="29"/>
        <v>23893333.333333336</v>
      </c>
      <c r="AO187" s="198">
        <f t="shared" si="29"/>
        <v>27306666.666666668</v>
      </c>
      <c r="AP187" s="198">
        <f t="shared" si="29"/>
        <v>30720000</v>
      </c>
      <c r="AQ187" s="198">
        <f t="shared" si="26"/>
        <v>34133333.333333336</v>
      </c>
      <c r="AR187" s="198">
        <f t="shared" ref="AR187:AU187" si="30">AR183/$B$170</f>
        <v>40960000</v>
      </c>
      <c r="AS187" s="198">
        <f t="shared" si="30"/>
        <v>47786666.666666672</v>
      </c>
      <c r="AT187" s="198">
        <f t="shared" si="30"/>
        <v>54613333.333333336</v>
      </c>
      <c r="AU187" s="198">
        <f t="shared" si="30"/>
        <v>61440000</v>
      </c>
      <c r="AV187" s="198">
        <f t="shared" si="26"/>
        <v>68266666.666666672</v>
      </c>
      <c r="AW187" s="198">
        <f t="shared" ref="AW187:AZ187" si="31">AW183/$B$170</f>
        <v>81920000</v>
      </c>
      <c r="AX187" s="198">
        <f t="shared" si="31"/>
        <v>95573333.333333343</v>
      </c>
      <c r="AY187" s="198">
        <f t="shared" si="31"/>
        <v>109226666.66666667</v>
      </c>
      <c r="AZ187" s="198">
        <f t="shared" si="31"/>
        <v>122880000</v>
      </c>
      <c r="BA187" s="198">
        <f t="shared" si="26"/>
        <v>136533333.33333334</v>
      </c>
      <c r="BB187" s="238">
        <f t="shared" si="26"/>
        <v>273066666.66666669</v>
      </c>
      <c r="BC187" s="208">
        <f t="shared" si="26"/>
        <v>546133333.33333337</v>
      </c>
      <c r="BD187" s="208">
        <f>$B$167</f>
        <v>330565500</v>
      </c>
      <c r="BE187" s="208">
        <f t="shared" ref="BE187:BF187" si="32">$B$167</f>
        <v>330565500</v>
      </c>
      <c r="BF187" s="209">
        <f t="shared" si="32"/>
        <v>330565500</v>
      </c>
      <c r="BG187" s="199">
        <f>BG183</f>
        <v>330565500</v>
      </c>
      <c r="BH187" s="244">
        <f>($B$167*$B$171)/$B$170</f>
        <v>192829875.00000003</v>
      </c>
      <c r="BI187" s="25"/>
      <c r="BJ187" s="25"/>
      <c r="BK187" s="69"/>
    </row>
    <row r="188" spans="1:63" x14ac:dyDescent="0.25">
      <c r="A188" s="41" t="s">
        <v>112</v>
      </c>
      <c r="B188" s="16"/>
      <c r="C188" s="16"/>
      <c r="D188" s="16"/>
      <c r="E188" s="16"/>
      <c r="F188" s="16"/>
      <c r="G188" s="16"/>
      <c r="H188" s="16"/>
      <c r="I188" s="16"/>
      <c r="J188" s="16"/>
      <c r="K188" s="16"/>
      <c r="L188" s="16"/>
      <c r="M188" s="16"/>
      <c r="N188" s="16"/>
      <c r="O188" s="17"/>
      <c r="P188" s="195">
        <f>P187/$B$167</f>
        <v>7.8779142610667684E-7</v>
      </c>
      <c r="Q188" s="196">
        <f t="shared" ref="Q188:AV188" si="33">Q187/$B$167</f>
        <v>1.5755828522133537E-6</v>
      </c>
      <c r="R188" s="196">
        <f t="shared" si="33"/>
        <v>3.1511657044267074E-6</v>
      </c>
      <c r="S188" s="66">
        <f t="shared" si="33"/>
        <v>6.3023314088534147E-6</v>
      </c>
      <c r="T188" s="66">
        <f t="shared" si="33"/>
        <v>1.2604662817706829E-5</v>
      </c>
      <c r="U188" s="66">
        <f t="shared" si="33"/>
        <v>2.5209325635413659E-5</v>
      </c>
      <c r="V188" s="66">
        <f t="shared" si="33"/>
        <v>5.0418651270827318E-5</v>
      </c>
      <c r="W188" s="66">
        <f t="shared" si="33"/>
        <v>1.0083730254165464E-4</v>
      </c>
      <c r="X188" s="36">
        <f t="shared" si="33"/>
        <v>2.0167460508330927E-4</v>
      </c>
      <c r="Y188" s="36">
        <f t="shared" si="33"/>
        <v>4.0334921016661854E-4</v>
      </c>
      <c r="Z188" s="36">
        <f t="shared" si="33"/>
        <v>8.0669842033323708E-4</v>
      </c>
      <c r="AA188" s="36">
        <f t="shared" si="33"/>
        <v>1.6133968406664742E-3</v>
      </c>
      <c r="AB188" s="14">
        <f t="shared" si="33"/>
        <v>3.2267936813329483E-3</v>
      </c>
      <c r="AC188" s="15">
        <f t="shared" si="33"/>
        <v>6.4535873626658967E-3</v>
      </c>
      <c r="AD188" s="15">
        <f t="shared" si="33"/>
        <v>1.2907174725331793E-2</v>
      </c>
      <c r="AE188" s="15">
        <f t="shared" ref="AE188:AG188" si="34">AE187/$B$167</f>
        <v>1.6133968406664742E-2</v>
      </c>
      <c r="AF188" s="15">
        <f t="shared" si="34"/>
        <v>1.9360762087997689E-2</v>
      </c>
      <c r="AG188" s="15">
        <f t="shared" si="34"/>
        <v>2.258755576933064E-2</v>
      </c>
      <c r="AH188" s="15">
        <f t="shared" si="33"/>
        <v>2.5814349450663587E-2</v>
      </c>
      <c r="AI188" s="15">
        <f t="shared" ref="AI188:AK188" si="35">AI187/$B$167</f>
        <v>3.2267936813329484E-2</v>
      </c>
      <c r="AJ188" s="15">
        <f t="shared" si="35"/>
        <v>3.8721524175995378E-2</v>
      </c>
      <c r="AK188" s="15">
        <f t="shared" si="35"/>
        <v>4.5175111538661279E-2</v>
      </c>
      <c r="AL188" s="15">
        <f t="shared" si="33"/>
        <v>5.1628698901327173E-2</v>
      </c>
      <c r="AM188" s="15">
        <f t="shared" ref="AM188:AP188" si="36">AM187/$B$167</f>
        <v>6.1954438681592602E-2</v>
      </c>
      <c r="AN188" s="15">
        <f t="shared" si="36"/>
        <v>7.2280178461858052E-2</v>
      </c>
      <c r="AO188" s="15">
        <f t="shared" si="36"/>
        <v>8.2605918242123474E-2</v>
      </c>
      <c r="AP188" s="15">
        <f t="shared" si="36"/>
        <v>9.293165802238891E-2</v>
      </c>
      <c r="AQ188" s="15">
        <f t="shared" si="33"/>
        <v>0.10325739780265435</v>
      </c>
      <c r="AR188" s="75">
        <f t="shared" ref="AR188:AU188" si="37">AR187/$B$167</f>
        <v>0.1239088773631852</v>
      </c>
      <c r="AS188" s="75">
        <f t="shared" si="37"/>
        <v>0.1445603569237161</v>
      </c>
      <c r="AT188" s="75">
        <f t="shared" si="37"/>
        <v>0.16521183648424695</v>
      </c>
      <c r="AU188" s="75">
        <f t="shared" si="37"/>
        <v>0.18586331604477782</v>
      </c>
      <c r="AV188" s="75">
        <f t="shared" si="33"/>
        <v>0.20651479560530869</v>
      </c>
      <c r="AW188" s="75">
        <f t="shared" ref="AW188:AZ188" si="38">AW187/$B$167</f>
        <v>0.24781775472637041</v>
      </c>
      <c r="AX188" s="75">
        <f t="shared" si="38"/>
        <v>0.28912071384743221</v>
      </c>
      <c r="AY188" s="75">
        <f t="shared" si="38"/>
        <v>0.3304236729684939</v>
      </c>
      <c r="AZ188" s="75">
        <f t="shared" si="38"/>
        <v>0.37172663208955564</v>
      </c>
      <c r="BA188" s="75">
        <f>BA187/$B$167</f>
        <v>0.41302959121061739</v>
      </c>
      <c r="BB188" s="239">
        <f t="shared" ref="BB188:BF188" si="39">BB187/$B$167</f>
        <v>0.82605918242123477</v>
      </c>
      <c r="BC188" s="177">
        <f t="shared" si="39"/>
        <v>1.6521183648424695</v>
      </c>
      <c r="BD188" s="177">
        <f t="shared" si="39"/>
        <v>1</v>
      </c>
      <c r="BE188" s="177">
        <f t="shared" si="39"/>
        <v>1</v>
      </c>
      <c r="BF188" s="178">
        <f t="shared" si="39"/>
        <v>1</v>
      </c>
      <c r="BG188" s="177">
        <v>1</v>
      </c>
      <c r="BH188" s="243">
        <f>BH187/B167</f>
        <v>0.58333333333333337</v>
      </c>
      <c r="BI188" s="25"/>
      <c r="BJ188" s="25"/>
      <c r="BK188" s="69"/>
    </row>
    <row r="189" spans="1:63" x14ac:dyDescent="0.25">
      <c r="A189" s="41" t="s">
        <v>163</v>
      </c>
      <c r="B189" s="16"/>
      <c r="C189" s="16"/>
      <c r="D189" s="16"/>
      <c r="E189" s="16"/>
      <c r="F189" s="16"/>
      <c r="G189" s="16"/>
      <c r="H189" s="16"/>
      <c r="I189" s="16"/>
      <c r="J189" s="16"/>
      <c r="K189" s="16"/>
      <c r="L189" s="16"/>
      <c r="M189" s="16"/>
      <c r="N189" s="16"/>
      <c r="O189" s="17"/>
      <c r="P189" s="197">
        <f>P187-P183</f>
        <v>229.16666666666669</v>
      </c>
      <c r="Q189" s="198">
        <f t="shared" ref="Q189:AU189" si="40">Q187-Q183</f>
        <v>458.33333333333337</v>
      </c>
      <c r="R189" s="198">
        <f t="shared" si="40"/>
        <v>916.66666666666674</v>
      </c>
      <c r="S189" s="198">
        <f t="shared" si="40"/>
        <v>1833.3333333333335</v>
      </c>
      <c r="T189" s="198">
        <f>T187-T183</f>
        <v>3666.666666666667</v>
      </c>
      <c r="U189" s="198">
        <f t="shared" si="40"/>
        <v>7333.3333333333339</v>
      </c>
      <c r="V189" s="198">
        <f t="shared" si="40"/>
        <v>14666.666666666668</v>
      </c>
      <c r="W189" s="198">
        <f t="shared" si="40"/>
        <v>29333.333333333336</v>
      </c>
      <c r="X189" s="198">
        <f t="shared" si="40"/>
        <v>58666.666666666672</v>
      </c>
      <c r="Y189" s="198">
        <f t="shared" si="40"/>
        <v>117333.33333333334</v>
      </c>
      <c r="Z189" s="198">
        <f t="shared" si="40"/>
        <v>234666.66666666669</v>
      </c>
      <c r="AA189" s="198">
        <f t="shared" si="40"/>
        <v>469333.33333333337</v>
      </c>
      <c r="AB189" s="198">
        <f t="shared" si="40"/>
        <v>938666.66666666674</v>
      </c>
      <c r="AC189" s="198">
        <f t="shared" si="40"/>
        <v>1877333.3333333335</v>
      </c>
      <c r="AD189" s="198">
        <f t="shared" si="40"/>
        <v>3754666.666666667</v>
      </c>
      <c r="AE189" s="198">
        <f t="shared" ref="AE189:AG189" si="41">AE187-AE183</f>
        <v>4693333.333333334</v>
      </c>
      <c r="AF189" s="198">
        <f t="shared" si="41"/>
        <v>5632000</v>
      </c>
      <c r="AG189" s="198">
        <f t="shared" si="41"/>
        <v>6570666.666666667</v>
      </c>
      <c r="AH189" s="198">
        <f t="shared" si="40"/>
        <v>7509333.333333334</v>
      </c>
      <c r="AI189" s="198">
        <f t="shared" ref="AI189:AK189" si="42">AI187-AI183</f>
        <v>9386666.6666666679</v>
      </c>
      <c r="AJ189" s="198">
        <f t="shared" si="42"/>
        <v>11264000</v>
      </c>
      <c r="AK189" s="198">
        <f t="shared" si="42"/>
        <v>13141333.333333334</v>
      </c>
      <c r="AL189" s="198">
        <f t="shared" si="40"/>
        <v>15018666.666666668</v>
      </c>
      <c r="AM189" s="198">
        <f t="shared" ref="AM189:AP189" si="43">AM187-AM183</f>
        <v>18022400</v>
      </c>
      <c r="AN189" s="198">
        <f t="shared" si="43"/>
        <v>21026133.333333336</v>
      </c>
      <c r="AO189" s="198">
        <f t="shared" si="43"/>
        <v>24029866.666666668</v>
      </c>
      <c r="AP189" s="198">
        <f t="shared" si="43"/>
        <v>27033600</v>
      </c>
      <c r="AQ189" s="198">
        <f t="shared" si="40"/>
        <v>30037333.333333336</v>
      </c>
      <c r="AR189" s="198">
        <f t="shared" si="40"/>
        <v>36044800</v>
      </c>
      <c r="AS189" s="198">
        <f t="shared" si="40"/>
        <v>42052266.666666672</v>
      </c>
      <c r="AT189" s="198">
        <f t="shared" si="40"/>
        <v>48059733.333333336</v>
      </c>
      <c r="AU189" s="198">
        <f t="shared" si="40"/>
        <v>54067200</v>
      </c>
      <c r="AV189" s="198">
        <f>AV187-AV183</f>
        <v>60074666.666666672</v>
      </c>
      <c r="AW189" s="198">
        <f t="shared" ref="AW189:AZ189" si="44">AW187-AW183</f>
        <v>72089600</v>
      </c>
      <c r="AX189" s="198">
        <f t="shared" si="44"/>
        <v>84104533.333333343</v>
      </c>
      <c r="AY189" s="198">
        <f t="shared" si="44"/>
        <v>96119466.666666672</v>
      </c>
      <c r="AZ189" s="198">
        <f t="shared" si="44"/>
        <v>108134400</v>
      </c>
      <c r="BA189" s="198">
        <f>BA187-BA183</f>
        <v>120149333.33333334</v>
      </c>
      <c r="BB189" s="240">
        <f>BB187-BB183</f>
        <v>240298666.66666669</v>
      </c>
      <c r="BC189" s="199">
        <f t="shared" ref="BC189:BF189" si="45">BC187</f>
        <v>546133333.33333337</v>
      </c>
      <c r="BD189" s="199">
        <f t="shared" si="45"/>
        <v>330565500</v>
      </c>
      <c r="BE189" s="199">
        <f t="shared" si="45"/>
        <v>330565500</v>
      </c>
      <c r="BF189" s="200">
        <f t="shared" si="45"/>
        <v>330565500</v>
      </c>
      <c r="BG189" s="199">
        <f>BG187</f>
        <v>330565500</v>
      </c>
      <c r="BH189" s="246">
        <f>BH187-BH183</f>
        <v>169690290.00000003</v>
      </c>
      <c r="BI189" s="25"/>
      <c r="BJ189" s="25"/>
      <c r="BK189" s="69"/>
    </row>
    <row r="190" spans="1:63" x14ac:dyDescent="0.25">
      <c r="A190" s="37" t="s">
        <v>164</v>
      </c>
      <c r="B190" s="39"/>
      <c r="C190" s="39"/>
      <c r="D190" s="39"/>
      <c r="E190" s="39"/>
      <c r="F190" s="39"/>
      <c r="G190" s="39"/>
      <c r="H190" s="39"/>
      <c r="I190" s="39"/>
      <c r="J190" s="39"/>
      <c r="K190" s="39"/>
      <c r="L190" s="39"/>
      <c r="M190" s="39"/>
      <c r="N190" s="39"/>
      <c r="O190" s="63"/>
      <c r="P190" s="206">
        <f>MIN((1/$B$170)*(2^(((P182 - 14) - $B$179)/$P$208)),P189)</f>
        <v>58.555237392284177</v>
      </c>
      <c r="Q190" s="207">
        <f>MIN((1/$B$170)*(2^(((Q182 - 14) - $B$179)/$P$208)),Q189)</f>
        <v>146.56656807158615</v>
      </c>
      <c r="R190" s="207">
        <f>MIN((1/$B$170)*(2^(((R182 - 14) - $B$179)/$P$208)),R189)</f>
        <v>206.75730302509908</v>
      </c>
      <c r="S190" s="207">
        <f>MIN((1/$B$170)*(2^(((S182 - 14) - $B$179)/$P$208)),S189)</f>
        <v>260.06275064875484</v>
      </c>
      <c r="T190" s="198">
        <f t="shared" ref="T190:AV190" si="46">MIN(($P$183/$B$170)*(2^(((T182 - 14) - $P$182)/HLOOKUP((T182-14)-$B$179,$P$206:$BH$208,3,TRUE))),T189)</f>
        <v>327.55638450116504</v>
      </c>
      <c r="U190" s="198">
        <f t="shared" si="46"/>
        <v>462.07450675269331</v>
      </c>
      <c r="V190" s="198">
        <f t="shared" si="46"/>
        <v>505.95238095238091</v>
      </c>
      <c r="W190" s="198">
        <f t="shared" si="46"/>
        <v>597.33761152411716</v>
      </c>
      <c r="X190" s="198">
        <f t="shared" si="46"/>
        <v>1035.0555455088277</v>
      </c>
      <c r="Y190" s="198">
        <f t="shared" si="46"/>
        <v>1894.7695956599703</v>
      </c>
      <c r="Z190" s="198">
        <f t="shared" si="46"/>
        <v>4025.2976190476184</v>
      </c>
      <c r="AA190" s="198">
        <f t="shared" si="46"/>
        <v>9680.0595238095229</v>
      </c>
      <c r="AB190" s="198">
        <f t="shared" si="46"/>
        <v>20617.559523809519</v>
      </c>
      <c r="AC190" s="198">
        <f t="shared" si="46"/>
        <v>85931.829782836779</v>
      </c>
      <c r="AD190" s="198">
        <f t="shared" si="46"/>
        <v>928482.14285714307</v>
      </c>
      <c r="AE190" s="198">
        <f t="shared" si="46"/>
        <v>2303837.6131082745</v>
      </c>
      <c r="AF190" s="198">
        <f t="shared" si="46"/>
        <v>3571489.8668963448</v>
      </c>
      <c r="AG190" s="198">
        <f t="shared" si="46"/>
        <v>6570666.666666667</v>
      </c>
      <c r="AH190" s="198">
        <f t="shared" si="46"/>
        <v>5908524.0119052939</v>
      </c>
      <c r="AI190" s="198">
        <f t="shared" si="46"/>
        <v>6858269.4922018545</v>
      </c>
      <c r="AJ190" s="198">
        <f t="shared" si="46"/>
        <v>11264000</v>
      </c>
      <c r="AK190" s="198">
        <f t="shared" si="46"/>
        <v>13141333.333333334</v>
      </c>
      <c r="AL190" s="198">
        <f t="shared" si="46"/>
        <v>15018666.666666668</v>
      </c>
      <c r="AM190" s="198">
        <f t="shared" si="46"/>
        <v>18022400</v>
      </c>
      <c r="AN190" s="198">
        <f t="shared" si="46"/>
        <v>21026133.333333336</v>
      </c>
      <c r="AO190" s="198">
        <f t="shared" si="46"/>
        <v>24029866.666666668</v>
      </c>
      <c r="AP190" s="198">
        <f t="shared" si="46"/>
        <v>27033600</v>
      </c>
      <c r="AQ190" s="198">
        <f t="shared" si="46"/>
        <v>30037333.333333336</v>
      </c>
      <c r="AR190" s="198">
        <f t="shared" si="46"/>
        <v>36044800</v>
      </c>
      <c r="AS190" s="198">
        <f t="shared" si="46"/>
        <v>42052266.666666672</v>
      </c>
      <c r="AT190" s="198">
        <f t="shared" si="46"/>
        <v>48059733.333333336</v>
      </c>
      <c r="AU190" s="198">
        <f t="shared" si="46"/>
        <v>54067200</v>
      </c>
      <c r="AV190" s="198">
        <f t="shared" si="46"/>
        <v>60074666.666666672</v>
      </c>
      <c r="AW190" s="198">
        <f t="shared" ref="AW190:AZ190" si="47">MIN(($P$183/$B$170)*(2^(((AW182 - 14) - $P$182)/HLOOKUP((AW182-14)-$B$179,$P$206:$BH$208,3,TRUE))),AW189)</f>
        <v>72089600</v>
      </c>
      <c r="AX190" s="198">
        <f t="shared" si="47"/>
        <v>84104533.333333343</v>
      </c>
      <c r="AY190" s="198">
        <f t="shared" si="47"/>
        <v>96119466.666666672</v>
      </c>
      <c r="AZ190" s="198">
        <f t="shared" si="47"/>
        <v>108134400</v>
      </c>
      <c r="BA190" s="198">
        <f t="shared" ref="BA190:BG190" si="48">MIN(($P$183/$B$170)*(2^(((BA182 - 14) - $P$182)/HLOOKUP((BA182-14)-$B$179,$P$206:$BH$208,3,TRUE))),BA189)</f>
        <v>120149333.33333334</v>
      </c>
      <c r="BB190" s="241">
        <f t="shared" si="48"/>
        <v>240298666.66666669</v>
      </c>
      <c r="BC190" s="203">
        <f t="shared" si="48"/>
        <v>546133333.33333337</v>
      </c>
      <c r="BD190" s="203">
        <f t="shared" si="48"/>
        <v>330565500</v>
      </c>
      <c r="BE190" s="203">
        <f t="shared" si="48"/>
        <v>330565500</v>
      </c>
      <c r="BF190" s="204">
        <f t="shared" si="48"/>
        <v>330565500</v>
      </c>
      <c r="BG190" s="203">
        <f t="shared" si="48"/>
        <v>330565500</v>
      </c>
      <c r="BH190" s="246"/>
      <c r="BI190" s="25"/>
      <c r="BJ190" s="25"/>
      <c r="BK190" s="69"/>
    </row>
    <row r="191" spans="1:63" x14ac:dyDescent="0.25">
      <c r="A191" s="41" t="s">
        <v>161</v>
      </c>
      <c r="B191" s="16"/>
      <c r="C191" s="16"/>
      <c r="D191" s="16"/>
      <c r="E191" s="16"/>
      <c r="F191" s="16"/>
      <c r="G191" s="16"/>
      <c r="H191" s="16"/>
      <c r="I191" s="16"/>
      <c r="J191" s="16"/>
      <c r="K191" s="16"/>
      <c r="L191" s="16"/>
      <c r="M191" s="16"/>
      <c r="N191" s="16"/>
      <c r="O191" s="16"/>
      <c r="P191" s="215">
        <f t="shared" ref="P191:BG191" si="49">P183*$B$175</f>
        <v>25.3125</v>
      </c>
      <c r="Q191" s="216">
        <f t="shared" si="49"/>
        <v>50.625</v>
      </c>
      <c r="R191" s="216">
        <f t="shared" si="49"/>
        <v>101.25</v>
      </c>
      <c r="S191" s="216">
        <f t="shared" si="49"/>
        <v>202.5</v>
      </c>
      <c r="T191" s="216">
        <f t="shared" si="49"/>
        <v>405</v>
      </c>
      <c r="U191" s="216">
        <f t="shared" si="49"/>
        <v>810</v>
      </c>
      <c r="V191" s="216">
        <f t="shared" si="49"/>
        <v>1620</v>
      </c>
      <c r="W191" s="216">
        <f t="shared" si="49"/>
        <v>3240</v>
      </c>
      <c r="X191" s="216">
        <f t="shared" si="49"/>
        <v>6480</v>
      </c>
      <c r="Y191" s="216">
        <f t="shared" si="49"/>
        <v>12960</v>
      </c>
      <c r="Z191" s="216">
        <f t="shared" si="49"/>
        <v>25920</v>
      </c>
      <c r="AA191" s="216">
        <f t="shared" si="49"/>
        <v>51840</v>
      </c>
      <c r="AB191" s="216">
        <f t="shared" si="49"/>
        <v>103680</v>
      </c>
      <c r="AC191" s="216">
        <f t="shared" si="49"/>
        <v>207360</v>
      </c>
      <c r="AD191" s="216">
        <f t="shared" si="49"/>
        <v>414720</v>
      </c>
      <c r="AE191" s="216">
        <f t="shared" ref="AE191:AG191" si="50">AE183*$B$175</f>
        <v>518400.00000000006</v>
      </c>
      <c r="AF191" s="216">
        <f t="shared" si="50"/>
        <v>622080</v>
      </c>
      <c r="AG191" s="216">
        <f t="shared" si="50"/>
        <v>725760</v>
      </c>
      <c r="AH191" s="216">
        <f t="shared" si="49"/>
        <v>829440</v>
      </c>
      <c r="AI191" s="216">
        <f t="shared" ref="AI191:AK191" si="51">AI183*$B$175</f>
        <v>1036800.0000000001</v>
      </c>
      <c r="AJ191" s="216">
        <f t="shared" si="51"/>
        <v>1244160</v>
      </c>
      <c r="AK191" s="216">
        <f t="shared" si="51"/>
        <v>1451520</v>
      </c>
      <c r="AL191" s="216">
        <f t="shared" si="49"/>
        <v>1658880</v>
      </c>
      <c r="AM191" s="216">
        <f t="shared" ref="AM191:AP191" si="52">AM183*$B$175</f>
        <v>1990656.0000000002</v>
      </c>
      <c r="AN191" s="216">
        <f t="shared" si="52"/>
        <v>2322432</v>
      </c>
      <c r="AO191" s="216">
        <f t="shared" si="52"/>
        <v>2654208</v>
      </c>
      <c r="AP191" s="216">
        <f t="shared" si="52"/>
        <v>2985984</v>
      </c>
      <c r="AQ191" s="216">
        <f t="shared" si="49"/>
        <v>3317760</v>
      </c>
      <c r="AR191" s="216">
        <f t="shared" ref="AR191:AU191" si="53">AR183*$B$175</f>
        <v>3981312.0000000005</v>
      </c>
      <c r="AS191" s="216">
        <f t="shared" si="53"/>
        <v>4644864</v>
      </c>
      <c r="AT191" s="216">
        <f t="shared" si="53"/>
        <v>5308416</v>
      </c>
      <c r="AU191" s="216">
        <f t="shared" si="53"/>
        <v>5971968</v>
      </c>
      <c r="AV191" s="216">
        <f t="shared" si="49"/>
        <v>6635520</v>
      </c>
      <c r="AW191" s="216">
        <f t="shared" ref="AW191:AZ191" si="54">AW183*$B$175</f>
        <v>7962624.0000000009</v>
      </c>
      <c r="AX191" s="216">
        <f t="shared" si="54"/>
        <v>9289728</v>
      </c>
      <c r="AY191" s="216">
        <f t="shared" si="54"/>
        <v>10616832</v>
      </c>
      <c r="AZ191" s="216">
        <f t="shared" si="54"/>
        <v>11943936</v>
      </c>
      <c r="BA191" s="216">
        <f t="shared" si="49"/>
        <v>13271040</v>
      </c>
      <c r="BB191" s="238">
        <f t="shared" ref="BB191:BF191" si="55">BB183*$B$175</f>
        <v>26542080</v>
      </c>
      <c r="BC191" s="208">
        <f t="shared" si="55"/>
        <v>53084160</v>
      </c>
      <c r="BD191" s="208">
        <f t="shared" si="55"/>
        <v>106168320</v>
      </c>
      <c r="BE191" s="208">
        <f t="shared" si="55"/>
        <v>212336640</v>
      </c>
      <c r="BF191" s="209">
        <f t="shared" si="55"/>
        <v>267758055.00000003</v>
      </c>
      <c r="BG191" s="199">
        <f t="shared" si="49"/>
        <v>267758055.00000003</v>
      </c>
      <c r="BH191" s="246">
        <f>BH183*B175</f>
        <v>18743063.850000005</v>
      </c>
      <c r="BI191" s="25"/>
      <c r="BJ191" s="25"/>
      <c r="BK191" s="69"/>
    </row>
    <row r="192" spans="1:63" x14ac:dyDescent="0.25">
      <c r="A192" s="41" t="s">
        <v>173</v>
      </c>
      <c r="B192" s="16"/>
      <c r="C192" s="16"/>
      <c r="D192" s="16"/>
      <c r="E192" s="16"/>
      <c r="F192" s="16"/>
      <c r="G192" s="16"/>
      <c r="H192" s="16"/>
      <c r="I192" s="16"/>
      <c r="J192" s="16"/>
      <c r="K192" s="16"/>
      <c r="L192" s="16"/>
      <c r="M192" s="16"/>
      <c r="N192" s="16"/>
      <c r="O192" s="16"/>
      <c r="P192" s="206">
        <f>P191-(1*$B$175)*(2^(((P182 - 14) - $B$179)/$P$208))</f>
        <v>19.620930925469978</v>
      </c>
      <c r="Q192" s="207">
        <f>Q191-(1*$B$175)*(2^(((Q182 - 14) - $B$179)/$P$208))</f>
        <v>36.378729583441825</v>
      </c>
      <c r="R192" s="207">
        <f>R191-(1*$B$175)*(2^(((R182 - 14) - $B$179)/$P$208))</f>
        <v>81.153190145960366</v>
      </c>
      <c r="S192" s="207">
        <f>S191-(1*$B$175)*(2^(((S182 - 14) - $B$179)/$P$208))</f>
        <v>177.22190063694103</v>
      </c>
      <c r="T192" s="205">
        <f t="shared" ref="T192:AV192" si="56">MAX(T191-(($P$183*$B$175)*(2^(((T182 -14) - $P$182)/HLOOKUP((T182-14)-$B$179,$P$206:$BH$208,3,TRUE)))),0)</f>
        <v>373.16151942648673</v>
      </c>
      <c r="U192" s="205">
        <f t="shared" si="56"/>
        <v>765.08635794363818</v>
      </c>
      <c r="V192" s="205">
        <f t="shared" si="56"/>
        <v>1570.8214285714287</v>
      </c>
      <c r="W192" s="205">
        <f t="shared" si="56"/>
        <v>3181.9387841598559</v>
      </c>
      <c r="X192" s="205">
        <f t="shared" si="56"/>
        <v>6379.3926009765419</v>
      </c>
      <c r="Y192" s="205">
        <f t="shared" si="56"/>
        <v>12775.828395301851</v>
      </c>
      <c r="Z192" s="205">
        <f t="shared" si="56"/>
        <v>25528.741071428572</v>
      </c>
      <c r="AA192" s="205">
        <f t="shared" si="56"/>
        <v>50899.098214285717</v>
      </c>
      <c r="AB192" s="205">
        <f t="shared" si="56"/>
        <v>101675.97321428571</v>
      </c>
      <c r="AC192" s="205">
        <f t="shared" si="56"/>
        <v>199007.42614510827</v>
      </c>
      <c r="AD192" s="205">
        <f t="shared" si="56"/>
        <v>324471.53571428568</v>
      </c>
      <c r="AE192" s="205">
        <f t="shared" si="56"/>
        <v>294466.98400587577</v>
      </c>
      <c r="AF192" s="205">
        <f t="shared" si="56"/>
        <v>274931.18493767531</v>
      </c>
      <c r="AG192" s="205">
        <f t="shared" si="56"/>
        <v>0</v>
      </c>
      <c r="AH192" s="205">
        <f t="shared" si="56"/>
        <v>255131.46604280546</v>
      </c>
      <c r="AI192" s="205">
        <f t="shared" si="56"/>
        <v>370176.20535797987</v>
      </c>
      <c r="AJ192" s="205">
        <f t="shared" si="56"/>
        <v>0</v>
      </c>
      <c r="AK192" s="205">
        <f t="shared" si="56"/>
        <v>0</v>
      </c>
      <c r="AL192" s="205">
        <f t="shared" si="56"/>
        <v>0</v>
      </c>
      <c r="AM192" s="205">
        <f t="shared" si="56"/>
        <v>0</v>
      </c>
      <c r="AN192" s="205">
        <f t="shared" si="56"/>
        <v>0</v>
      </c>
      <c r="AO192" s="205">
        <f t="shared" si="56"/>
        <v>0</v>
      </c>
      <c r="AP192" s="205">
        <f t="shared" si="56"/>
        <v>0</v>
      </c>
      <c r="AQ192" s="205">
        <f t="shared" si="56"/>
        <v>0</v>
      </c>
      <c r="AR192" s="205">
        <f t="shared" si="56"/>
        <v>0</v>
      </c>
      <c r="AS192" s="205">
        <f t="shared" si="56"/>
        <v>0</v>
      </c>
      <c r="AT192" s="205">
        <f t="shared" si="56"/>
        <v>0</v>
      </c>
      <c r="AU192" s="205">
        <f t="shared" si="56"/>
        <v>0</v>
      </c>
      <c r="AV192" s="205">
        <f t="shared" si="56"/>
        <v>0</v>
      </c>
      <c r="AW192" s="205">
        <f t="shared" ref="AW192:AZ192" si="57">MAX(AW191-(($P$183*$B$175)*(2^(((AW182 -14) - $P$182)/HLOOKUP((AW182-14)-$B$179,$P$206:$BH$208,3,TRUE)))),0)</f>
        <v>0</v>
      </c>
      <c r="AX192" s="205">
        <f t="shared" si="57"/>
        <v>0</v>
      </c>
      <c r="AY192" s="205">
        <f t="shared" si="57"/>
        <v>0</v>
      </c>
      <c r="AZ192" s="205">
        <f t="shared" si="57"/>
        <v>0</v>
      </c>
      <c r="BA192" s="205">
        <f t="shared" ref="BA192:BG192" si="58">MAX(BA191-(($P$183*$B$175)*(2^(((BA182 -14) - $P$182)/HLOOKUP((BA182-14)-$B$179,$P$206:$BH$208,3,TRUE)))),0)</f>
        <v>0</v>
      </c>
      <c r="BB192" s="241">
        <f t="shared" si="58"/>
        <v>0</v>
      </c>
      <c r="BC192" s="203">
        <f t="shared" si="58"/>
        <v>0</v>
      </c>
      <c r="BD192" s="203">
        <f t="shared" si="58"/>
        <v>0</v>
      </c>
      <c r="BE192" s="203">
        <f t="shared" si="58"/>
        <v>0</v>
      </c>
      <c r="BF192" s="204">
        <f t="shared" si="58"/>
        <v>0</v>
      </c>
      <c r="BG192" s="199">
        <f t="shared" si="58"/>
        <v>0</v>
      </c>
      <c r="BH192" s="244"/>
      <c r="BI192" s="25"/>
      <c r="BJ192" s="25"/>
      <c r="BK192" s="69"/>
    </row>
    <row r="193" spans="1:63" x14ac:dyDescent="0.25">
      <c r="A193" s="62" t="s">
        <v>110</v>
      </c>
      <c r="B193" s="9"/>
      <c r="C193" s="9"/>
      <c r="D193" s="9"/>
      <c r="E193" s="9"/>
      <c r="F193" s="9"/>
      <c r="G193" s="9"/>
      <c r="H193" s="9"/>
      <c r="I193" s="9"/>
      <c r="J193" s="9"/>
      <c r="K193" s="9"/>
      <c r="L193" s="9"/>
      <c r="M193" s="9"/>
      <c r="N193" s="9"/>
      <c r="O193" s="5"/>
      <c r="P193" s="225">
        <f>(1*($B$176+$B$177))*(2^(((P182 - 7) - $B$179)/$P$208))</f>
        <v>2.9796216359494587</v>
      </c>
      <c r="Q193" s="211">
        <f t="shared" ref="Q193:AV193" si="59">($P$183*($B$176+$B$177))*(2^(((Q182-7)-$P$182)/HLOOKUP((Q182-7)-$B$179,$P$206:$BH$208,3,TRUE)))</f>
        <v>6.6590498985850246</v>
      </c>
      <c r="R193" s="211">
        <f t="shared" si="59"/>
        <v>9.3937329355254953</v>
      </c>
      <c r="S193" s="211">
        <f t="shared" si="59"/>
        <v>11.815592437748149</v>
      </c>
      <c r="T193" s="211">
        <f t="shared" si="59"/>
        <v>12.534285987853202</v>
      </c>
      <c r="U193" s="211">
        <f t="shared" si="59"/>
        <v>23.599266437601273</v>
      </c>
      <c r="V193" s="211">
        <f t="shared" si="59"/>
        <v>49.779972972921911</v>
      </c>
      <c r="W193" s="211">
        <f t="shared" si="59"/>
        <v>108.90640436467176</v>
      </c>
      <c r="X193" s="211">
        <f t="shared" si="59"/>
        <v>220.70535714285711</v>
      </c>
      <c r="Y193" s="211">
        <f t="shared" si="59"/>
        <v>322.92231652302479</v>
      </c>
      <c r="Z193" s="211">
        <f t="shared" si="59"/>
        <v>573.4171414665534</v>
      </c>
      <c r="AA193" s="211">
        <f t="shared" si="59"/>
        <v>1580.5624999999989</v>
      </c>
      <c r="AB193" s="211">
        <f t="shared" si="59"/>
        <v>4157.3376801210561</v>
      </c>
      <c r="AC193" s="211">
        <f t="shared" si="59"/>
        <v>14709.910600081001</v>
      </c>
      <c r="AD193" s="211">
        <f t="shared" si="59"/>
        <v>65577.889617991445</v>
      </c>
      <c r="AE193" s="211">
        <f t="shared" si="59"/>
        <v>155906.69596672634</v>
      </c>
      <c r="AF193" s="284">
        <f t="shared" si="59"/>
        <v>111083.1714562041</v>
      </c>
      <c r="AG193" s="284">
        <f t="shared" si="59"/>
        <v>132795.09456567839</v>
      </c>
      <c r="AH193" s="284">
        <f t="shared" si="59"/>
        <v>155204.27961369391</v>
      </c>
      <c r="AI193" s="211">
        <f t="shared" si="59"/>
        <v>283775.83306500048</v>
      </c>
      <c r="AJ193" s="211">
        <f t="shared" si="59"/>
        <v>391401.10225493676</v>
      </c>
      <c r="AK193" s="211">
        <f t="shared" si="59"/>
        <v>557169.23215059924</v>
      </c>
      <c r="AL193" s="211">
        <f t="shared" si="59"/>
        <v>342924.73002205521</v>
      </c>
      <c r="AM193" s="211">
        <f t="shared" si="59"/>
        <v>665287.8662262687</v>
      </c>
      <c r="AN193" s="284">
        <f t="shared" si="59"/>
        <v>608534.02120355377</v>
      </c>
      <c r="AO193" s="211">
        <f t="shared" si="59"/>
        <v>742149.61727864842</v>
      </c>
      <c r="AP193" s="211">
        <f t="shared" si="59"/>
        <v>845586.46744864958</v>
      </c>
      <c r="AQ193" s="211">
        <f t="shared" si="59"/>
        <v>952081.11966056121</v>
      </c>
      <c r="AR193" s="211">
        <f t="shared" si="59"/>
        <v>16777443.55484568</v>
      </c>
      <c r="AS193" s="284">
        <f t="shared" si="59"/>
        <v>7684324.6661374802</v>
      </c>
      <c r="AT193" s="284">
        <f t="shared" si="59"/>
        <v>6415812.2086895322</v>
      </c>
      <c r="AU193" s="284">
        <f t="shared" si="59"/>
        <v>5655438.7474351265</v>
      </c>
      <c r="AV193" s="284">
        <f t="shared" si="59"/>
        <v>5308325.217456406</v>
      </c>
      <c r="AW193" s="284">
        <f t="shared" ref="AW193:AZ193" si="60">($P$183*($B$176+$B$177))*(2^(((AW182-7)-$P$182)/HLOOKUP((AW182-7)-$B$179,$P$206:$BH$208,3,TRUE)))</f>
        <v>5136725.4541107258</v>
      </c>
      <c r="AX193" s="284">
        <f t="shared" si="60"/>
        <v>4388912.2145179659</v>
      </c>
      <c r="AY193" s="284">
        <f t="shared" si="60"/>
        <v>5113661.8730858741</v>
      </c>
      <c r="AZ193" s="284">
        <f t="shared" si="60"/>
        <v>5595331.8129316214</v>
      </c>
      <c r="BA193" s="284">
        <f t="shared" ref="BA193:BF193" si="61">($P$183*($B$176+$B$177))*(2^(((BA182-7)-$P$182)/HLOOKUP((BA182-7)-$B$179,$P$206:$BH$208,3,TRUE)))</f>
        <v>6085155.921886526</v>
      </c>
      <c r="BB193" s="238">
        <f t="shared" si="61"/>
        <v>345771173.92453611</v>
      </c>
      <c r="BC193" s="208">
        <f t="shared" si="61"/>
        <v>220686038.17437315</v>
      </c>
      <c r="BD193" s="208">
        <f t="shared" si="61"/>
        <v>230624096.62225589</v>
      </c>
      <c r="BE193" s="208">
        <f t="shared" si="61"/>
        <v>303477614.57094359</v>
      </c>
      <c r="BF193" s="209">
        <f t="shared" si="61"/>
        <v>453074304.88124496</v>
      </c>
      <c r="BG193" s="208">
        <f>($P$183*($B$176+$B$177))*(2^(((BG182 - 7) - $P$182)/BG208))</f>
        <v>53296629.346993238</v>
      </c>
      <c r="BH193" s="244">
        <f>BH183*(B176+B177)</f>
        <v>4396521.1500000004</v>
      </c>
      <c r="BI193" s="45"/>
      <c r="BJ193" s="45"/>
      <c r="BK193" s="69"/>
    </row>
    <row r="194" spans="1:63" x14ac:dyDescent="0.25">
      <c r="A194" s="37" t="s">
        <v>159</v>
      </c>
      <c r="B194" s="38"/>
      <c r="C194" s="39"/>
      <c r="D194" s="39"/>
      <c r="E194" s="39"/>
      <c r="F194" s="39"/>
      <c r="G194" s="39"/>
      <c r="H194" s="39"/>
      <c r="I194" s="39"/>
      <c r="J194" s="39"/>
      <c r="K194" s="39"/>
      <c r="L194" s="39"/>
      <c r="M194" s="39"/>
      <c r="N194" s="39"/>
      <c r="O194" s="63"/>
      <c r="P194" s="206">
        <f t="shared" ref="P194:AC194" si="62">P193</f>
        <v>2.9796216359494587</v>
      </c>
      <c r="Q194" s="207">
        <f t="shared" si="62"/>
        <v>6.6590498985850246</v>
      </c>
      <c r="R194" s="207">
        <f t="shared" si="62"/>
        <v>9.3937329355254953</v>
      </c>
      <c r="S194" s="207">
        <f t="shared" si="62"/>
        <v>11.815592437748149</v>
      </c>
      <c r="T194" s="207">
        <f t="shared" si="62"/>
        <v>12.534285987853202</v>
      </c>
      <c r="U194" s="207">
        <f t="shared" si="62"/>
        <v>23.599266437601273</v>
      </c>
      <c r="V194" s="207">
        <f t="shared" si="62"/>
        <v>49.779972972921911</v>
      </c>
      <c r="W194" s="207">
        <f t="shared" si="62"/>
        <v>108.90640436467176</v>
      </c>
      <c r="X194" s="207">
        <f t="shared" si="62"/>
        <v>220.70535714285711</v>
      </c>
      <c r="Y194" s="207">
        <f t="shared" si="62"/>
        <v>322.92231652302479</v>
      </c>
      <c r="Z194" s="207">
        <f t="shared" si="62"/>
        <v>573.4171414665534</v>
      </c>
      <c r="AA194" s="207">
        <f t="shared" si="62"/>
        <v>1580.5624999999989</v>
      </c>
      <c r="AB194" s="207">
        <f t="shared" si="62"/>
        <v>4157.3376801210561</v>
      </c>
      <c r="AC194" s="207">
        <f t="shared" si="62"/>
        <v>14709.910600081001</v>
      </c>
      <c r="AD194" s="198">
        <f t="shared" ref="AD194:AV194" si="63">MAX(AD193-($P$183*$B$176)*(2^(((AD182 - 42) - $P$182)/HLOOKUP((AD182-42)-$B$179,$P$206:$BH$208,3,TRUE)))-AD196,0)</f>
        <v>60011.596753736201</v>
      </c>
      <c r="AE194" s="198">
        <f t="shared" si="63"/>
        <v>142124.36171205499</v>
      </c>
      <c r="AF194" s="198">
        <f t="shared" si="63"/>
        <v>89737.506502580392</v>
      </c>
      <c r="AG194" s="198">
        <f t="shared" si="63"/>
        <v>82168.218806941761</v>
      </c>
      <c r="AH194" s="198">
        <f t="shared" si="63"/>
        <v>121077.37661798642</v>
      </c>
      <c r="AI194" s="198">
        <f t="shared" si="63"/>
        <v>242961.87404959198</v>
      </c>
      <c r="AJ194" s="198">
        <f t="shared" si="63"/>
        <v>204479.8212995049</v>
      </c>
      <c r="AK194" s="198">
        <f t="shared" si="63"/>
        <v>235648.55902647899</v>
      </c>
      <c r="AL194" s="198">
        <f t="shared" si="63"/>
        <v>103817.2106019966</v>
      </c>
      <c r="AM194" s="198">
        <f t="shared" si="63"/>
        <v>470027.63490696007</v>
      </c>
      <c r="AN194" s="198">
        <f t="shared" si="63"/>
        <v>13855.127680487989</v>
      </c>
      <c r="AO194" s="198">
        <f t="shared" si="63"/>
        <v>211067.13758120735</v>
      </c>
      <c r="AP194" s="198">
        <f t="shared" si="63"/>
        <v>0</v>
      </c>
      <c r="AQ194" s="198">
        <f t="shared" si="63"/>
        <v>120400.38882585507</v>
      </c>
      <c r="AR194" s="198">
        <f t="shared" si="63"/>
        <v>13705009.015299216</v>
      </c>
      <c r="AS194" s="198">
        <f t="shared" si="63"/>
        <v>5907261.347491622</v>
      </c>
      <c r="AT194" s="198">
        <f t="shared" si="63"/>
        <v>4684526.487498113</v>
      </c>
      <c r="AU194" s="198">
        <f t="shared" si="63"/>
        <v>3934621.8245861428</v>
      </c>
      <c r="AV194" s="198">
        <f t="shared" si="63"/>
        <v>3533717.656026769</v>
      </c>
      <c r="AW194" s="198">
        <f t="shared" ref="AW194:AZ194" si="64">MAX(AW193-($P$183*$B$176)*(2^(((AW182 - 42) - $P$182)/HLOOKUP((AW182-42)-$B$179,$P$206:$BH$208,3,TRUE)))-AW196,0)</f>
        <v>3284037.4433309664</v>
      </c>
      <c r="AX194" s="198">
        <f t="shared" si="64"/>
        <v>2693813.8224219405</v>
      </c>
      <c r="AY194" s="198">
        <f t="shared" si="64"/>
        <v>3045957.9273012802</v>
      </c>
      <c r="AZ194" s="198">
        <f t="shared" si="64"/>
        <v>3237342.7244669292</v>
      </c>
      <c r="BA194" s="198">
        <f t="shared" ref="BA194:BG194" si="65">MAX(BA193-($P$183*$B$176)*(2^(((BA182 - 42) - $P$182)/HLOOKUP((BA182-42)-$B$179,$P$206:$BH$208,3,TRUE)))-BA196,0)</f>
        <v>3427076.6020857031</v>
      </c>
      <c r="BB194" s="241">
        <f t="shared" si="65"/>
        <v>189882911.31475949</v>
      </c>
      <c r="BC194" s="203">
        <f t="shared" si="65"/>
        <v>109788162.97184353</v>
      </c>
      <c r="BD194" s="203">
        <f t="shared" si="65"/>
        <v>107086293.50152051</v>
      </c>
      <c r="BE194" s="203">
        <f t="shared" si="65"/>
        <v>133933788.07709268</v>
      </c>
      <c r="BF194" s="204">
        <f t="shared" si="65"/>
        <v>192310972.85059133</v>
      </c>
      <c r="BG194" s="199">
        <f t="shared" si="65"/>
        <v>0</v>
      </c>
      <c r="BH194" s="246"/>
      <c r="BI194" s="45"/>
      <c r="BJ194" s="45"/>
      <c r="BK194" s="69"/>
    </row>
    <row r="195" spans="1:63" x14ac:dyDescent="0.25">
      <c r="A195" s="62" t="s">
        <v>111</v>
      </c>
      <c r="B195" s="9"/>
      <c r="C195" s="9"/>
      <c r="D195" s="9"/>
      <c r="E195" s="9"/>
      <c r="F195" s="9"/>
      <c r="G195" s="9"/>
      <c r="H195" s="9"/>
      <c r="I195" s="9"/>
      <c r="J195" s="9"/>
      <c r="K195" s="9"/>
      <c r="L195" s="9"/>
      <c r="M195" s="9"/>
      <c r="N195" s="9"/>
      <c r="O195" s="5"/>
      <c r="P195" s="225">
        <f>(1*$B$177)*(2^(((P182 - 14) -$B$179)/$P$208))</f>
        <v>0.35133142435370507</v>
      </c>
      <c r="Q195" s="222">
        <f>(1*$B$177)*(2^(((Q182 - 14) -$B$179)/$P$208))</f>
        <v>0.8793994084295168</v>
      </c>
      <c r="R195" s="222">
        <f>(1*$B$177)*(2^(((R182 - 14) -$B$179)/$P$208))</f>
        <v>1.2405438181505943</v>
      </c>
      <c r="S195" s="222">
        <f>(1*$B$177)*(2^(((S182 - 14) -$B$179)/$P$208))</f>
        <v>1.5603765038925292</v>
      </c>
      <c r="T195" s="211">
        <f t="shared" ref="T195:AV195" si="66">($P$183*$B$177)*(2^(((T182 - 14) - $P$182)/HLOOKUP((T182-14)-$B$179,$P$206:$BH$208,3,TRUE)))</f>
        <v>1.9653383070069901</v>
      </c>
      <c r="U195" s="211">
        <f t="shared" si="66"/>
        <v>2.7724470405161594</v>
      </c>
      <c r="V195" s="211">
        <f t="shared" si="66"/>
        <v>3.0357142857142851</v>
      </c>
      <c r="W195" s="211">
        <f t="shared" si="66"/>
        <v>3.5840256691447028</v>
      </c>
      <c r="X195" s="211">
        <f t="shared" si="66"/>
        <v>6.2103332730529663</v>
      </c>
      <c r="Y195" s="211">
        <f t="shared" si="66"/>
        <v>11.368617573959821</v>
      </c>
      <c r="Z195" s="211">
        <f t="shared" si="66"/>
        <v>24.151785714285708</v>
      </c>
      <c r="AA195" s="211">
        <f t="shared" si="66"/>
        <v>58.080357142857132</v>
      </c>
      <c r="AB195" s="211">
        <f t="shared" si="66"/>
        <v>123.70535714285711</v>
      </c>
      <c r="AC195" s="211">
        <f t="shared" si="66"/>
        <v>515.59097869702066</v>
      </c>
      <c r="AD195" s="211">
        <f t="shared" si="66"/>
        <v>5570.8928571428578</v>
      </c>
      <c r="AE195" s="211">
        <f t="shared" si="66"/>
        <v>13823.025678649645</v>
      </c>
      <c r="AF195" s="211">
        <f t="shared" si="66"/>
        <v>21428.939201378067</v>
      </c>
      <c r="AG195" s="211">
        <f t="shared" si="66"/>
        <v>50945.755168707459</v>
      </c>
      <c r="AH195" s="284">
        <f t="shared" si="66"/>
        <v>35451.144071431758</v>
      </c>
      <c r="AI195" s="284">
        <f t="shared" si="66"/>
        <v>41149.616953211123</v>
      </c>
      <c r="AJ195" s="211">
        <f t="shared" si="66"/>
        <v>143560.79446847865</v>
      </c>
      <c r="AK195" s="211">
        <f t="shared" si="66"/>
        <v>213818.6361690232</v>
      </c>
      <c r="AL195" s="211">
        <f t="shared" si="66"/>
        <v>168310.71475351235</v>
      </c>
      <c r="AM195" s="211">
        <f t="shared" si="66"/>
        <v>181510.39218532681</v>
      </c>
      <c r="AN195" s="211">
        <f t="shared" si="66"/>
        <v>335250.99708197563</v>
      </c>
      <c r="AO195" s="284">
        <f t="shared" si="66"/>
        <v>284279.88501626055</v>
      </c>
      <c r="AP195" s="284">
        <f t="shared" si="66"/>
        <v>330492.71124494524</v>
      </c>
      <c r="AQ195" s="211">
        <f t="shared" si="66"/>
        <v>361056.91060199292</v>
      </c>
      <c r="AR195" s="286">
        <f t="shared" si="66"/>
        <v>2666502.0525329262</v>
      </c>
      <c r="AS195" s="284">
        <f t="shared" si="66"/>
        <v>1379132.6691192864</v>
      </c>
      <c r="AT195" s="284">
        <f t="shared" si="66"/>
        <v>1231987.4866374773</v>
      </c>
      <c r="AU195" s="284">
        <f t="shared" si="66"/>
        <v>1138577.0373848728</v>
      </c>
      <c r="AV195" s="284">
        <f t="shared" si="66"/>
        <v>1106146.544676583</v>
      </c>
      <c r="AW195" s="284">
        <f t="shared" ref="AW195:AZ195" si="67">($P$183*$B$177)*(2^(((AW182 - 14) - $P$182)/HLOOKUP((AW182-14)-$B$179,$P$206:$BH$208,3,TRUE)))</f>
        <v>1098970.1181956055</v>
      </c>
      <c r="AX195" s="284">
        <f t="shared" si="67"/>
        <v>960627.98856745125</v>
      </c>
      <c r="AY195" s="284">
        <f t="shared" si="67"/>
        <v>1135961.86505783</v>
      </c>
      <c r="AZ195" s="284">
        <f t="shared" si="67"/>
        <v>1259306.1129403065</v>
      </c>
      <c r="BA195" s="284">
        <f t="shared" ref="BA195:BG195" si="68">($P$183*$B$177)*(2^(((BA182 - 14) - $P$182)/HLOOKUP((BA182-14)-$B$179,$P$206:$BH$208,3,TRUE)))</f>
        <v>1384865.6380260359</v>
      </c>
      <c r="BB195" s="238">
        <f t="shared" si="68"/>
        <v>79453730.46044229</v>
      </c>
      <c r="BC195" s="208">
        <f t="shared" si="68"/>
        <v>52365514.671853706</v>
      </c>
      <c r="BD195" s="208">
        <f t="shared" si="68"/>
        <v>55731419.512365155</v>
      </c>
      <c r="BE195" s="208">
        <f t="shared" si="68"/>
        <v>74204997.202958301</v>
      </c>
      <c r="BF195" s="209">
        <f t="shared" si="68"/>
        <v>111698115.52330752</v>
      </c>
      <c r="BG195" s="208">
        <f t="shared" si="68"/>
        <v>181132823.4636991</v>
      </c>
      <c r="BH195" s="244">
        <f>BH183*B177</f>
        <v>1156979.2500000002</v>
      </c>
      <c r="BI195" s="45"/>
      <c r="BJ195" s="45"/>
      <c r="BK195" s="69"/>
    </row>
    <row r="196" spans="1:63" x14ac:dyDescent="0.25">
      <c r="A196" s="37" t="s">
        <v>160</v>
      </c>
      <c r="B196" s="38"/>
      <c r="C196" s="39"/>
      <c r="D196" s="39"/>
      <c r="E196" s="39"/>
      <c r="F196" s="39"/>
      <c r="G196" s="39"/>
      <c r="H196" s="39"/>
      <c r="I196" s="39"/>
      <c r="J196" s="39"/>
      <c r="K196" s="39"/>
      <c r="L196" s="39"/>
      <c r="M196" s="39"/>
      <c r="N196" s="39"/>
      <c r="O196" s="63"/>
      <c r="P196" s="206">
        <f t="shared" ref="P196:AA196" si="69">P195</f>
        <v>0.35133142435370507</v>
      </c>
      <c r="Q196" s="207">
        <f t="shared" si="69"/>
        <v>0.8793994084295168</v>
      </c>
      <c r="R196" s="207">
        <f t="shared" si="69"/>
        <v>1.2405438181505943</v>
      </c>
      <c r="S196" s="207">
        <f t="shared" si="69"/>
        <v>1.5603765038925292</v>
      </c>
      <c r="T196" s="207">
        <f t="shared" si="69"/>
        <v>1.9653383070069901</v>
      </c>
      <c r="U196" s="207">
        <f t="shared" si="69"/>
        <v>2.7724470405161594</v>
      </c>
      <c r="V196" s="207">
        <f t="shared" si="69"/>
        <v>3.0357142857142851</v>
      </c>
      <c r="W196" s="207">
        <f t="shared" si="69"/>
        <v>3.5840256691447028</v>
      </c>
      <c r="X196" s="207">
        <f t="shared" si="69"/>
        <v>6.2103332730529663</v>
      </c>
      <c r="Y196" s="207">
        <f t="shared" si="69"/>
        <v>11.368617573959821</v>
      </c>
      <c r="Z196" s="207">
        <f t="shared" si="69"/>
        <v>24.151785714285708</v>
      </c>
      <c r="AA196" s="207">
        <f t="shared" si="69"/>
        <v>58.080357142857132</v>
      </c>
      <c r="AB196" s="205">
        <f t="shared" ref="AB196:AV196" si="70">MAX(AB195-($P$183*$B$177)*(2^(((AB182 - 35) - $P$182)/HLOOKUP((AB182-35)-$B$179,$P$206:$BH$208,3,TRUE))),0)</f>
        <v>121.95297559059789</v>
      </c>
      <c r="AC196" s="205">
        <f t="shared" si="70"/>
        <v>512.48161226603429</v>
      </c>
      <c r="AD196" s="205">
        <f t="shared" si="70"/>
        <v>5557.792864255247</v>
      </c>
      <c r="AE196" s="205">
        <f t="shared" si="70"/>
        <v>13764.945321506788</v>
      </c>
      <c r="AF196" s="205">
        <f t="shared" si="70"/>
        <v>21278.039953623709</v>
      </c>
      <c r="AG196" s="205">
        <f t="shared" si="70"/>
        <v>50430.164190010437</v>
      </c>
      <c r="AH196" s="205">
        <f t="shared" si="70"/>
        <v>33551.402995707496</v>
      </c>
      <c r="AI196" s="205">
        <f t="shared" si="70"/>
        <v>29360.355102132755</v>
      </c>
      <c r="AJ196" s="205">
        <f t="shared" si="70"/>
        <v>104969.69863455679</v>
      </c>
      <c r="AK196" s="205">
        <f t="shared" si="70"/>
        <v>178872.55865173941</v>
      </c>
      <c r="AL196" s="205">
        <f t="shared" si="70"/>
        <v>121715.19252473969</v>
      </c>
      <c r="AM196" s="205">
        <f t="shared" si="70"/>
        <v>0</v>
      </c>
      <c r="AN196" s="205">
        <f t="shared" si="70"/>
        <v>256232.39008005214</v>
      </c>
      <c r="AO196" s="205">
        <f t="shared" si="70"/>
        <v>150473.53169511273</v>
      </c>
      <c r="AP196" s="205">
        <f t="shared" si="70"/>
        <v>204203.72976794056</v>
      </c>
      <c r="AQ196" s="205">
        <f t="shared" si="70"/>
        <v>203957.27579973071</v>
      </c>
      <c r="AR196" s="205">
        <f t="shared" si="70"/>
        <v>2079092.3441904909</v>
      </c>
      <c r="AS196" s="205">
        <f t="shared" si="70"/>
        <v>941653.01746410923</v>
      </c>
      <c r="AT196" s="205">
        <f t="shared" si="70"/>
        <v>753334.19950907747</v>
      </c>
      <c r="AU196" s="205">
        <f t="shared" si="70"/>
        <v>628775.00328887347</v>
      </c>
      <c r="AV196" s="205">
        <f t="shared" si="70"/>
        <v>556948.6153099169</v>
      </c>
      <c r="AW196" s="205">
        <f t="shared" ref="AW196:AZ196" si="71">MAX(AW195-($P$183*$B$177)*(2^(((AW182 - 35) - $P$182)/HLOOKUP((AW182-35)-$B$179,$P$206:$BH$208,3,TRUE))),0)</f>
        <v>508449.23303968273</v>
      </c>
      <c r="AX196" s="205">
        <f t="shared" si="71"/>
        <v>407913.24340974761</v>
      </c>
      <c r="AY196" s="205">
        <f t="shared" si="71"/>
        <v>452664.45612368477</v>
      </c>
      <c r="AZ196" s="205">
        <f t="shared" si="71"/>
        <v>471537.81820859679</v>
      </c>
      <c r="BA196" s="205">
        <f t="shared" ref="BA196:BG196" si="72">MAX(BA195-($P$183*$B$177)*(2^(((BA182 - 35) - $P$182)/HLOOKUP((BA182-35)-$B$179,$P$206:$BH$208,3,TRUE))),0)</f>
        <v>489158.12831048609</v>
      </c>
      <c r="BB196" s="241">
        <f t="shared" si="72"/>
        <v>26555443.577914871</v>
      </c>
      <c r="BC196" s="203">
        <f t="shared" si="72"/>
        <v>13976433.219739527</v>
      </c>
      <c r="BD196" s="203">
        <f t="shared" si="72"/>
        <v>12575819.160904154</v>
      </c>
      <c r="BE196" s="203">
        <f t="shared" si="72"/>
        <v>14679447.196659826</v>
      </c>
      <c r="BF196" s="204">
        <f t="shared" si="72"/>
        <v>19859384.150339574</v>
      </c>
      <c r="BG196" s="199">
        <f t="shared" si="72"/>
        <v>29469451.018112838</v>
      </c>
      <c r="BH196" s="244"/>
      <c r="BI196" s="45"/>
      <c r="BJ196" s="45"/>
      <c r="BK196" s="69"/>
    </row>
    <row r="197" spans="1:63" x14ac:dyDescent="0.25">
      <c r="A197" s="41" t="s">
        <v>56</v>
      </c>
      <c r="B197" s="15"/>
      <c r="C197" s="16"/>
      <c r="D197" s="16"/>
      <c r="E197" s="16"/>
      <c r="F197" s="16"/>
      <c r="G197" s="16"/>
      <c r="H197" s="16"/>
      <c r="I197" s="16"/>
      <c r="J197" s="16"/>
      <c r="K197" s="16"/>
      <c r="L197" s="16"/>
      <c r="M197" s="16"/>
      <c r="N197" s="16"/>
      <c r="O197" s="16"/>
      <c r="P197" s="226">
        <f t="shared" ref="P197:BG197" si="73">P183*$B$178</f>
        <v>1.875</v>
      </c>
      <c r="Q197" s="227">
        <f t="shared" si="73"/>
        <v>3.75</v>
      </c>
      <c r="R197" s="227">
        <f t="shared" si="73"/>
        <v>7.5</v>
      </c>
      <c r="S197" s="227">
        <f t="shared" si="73"/>
        <v>15</v>
      </c>
      <c r="T197" s="227">
        <f t="shared" si="73"/>
        <v>30</v>
      </c>
      <c r="U197" s="227">
        <f t="shared" si="73"/>
        <v>60</v>
      </c>
      <c r="V197" s="227">
        <f t="shared" si="73"/>
        <v>120</v>
      </c>
      <c r="W197" s="227">
        <f t="shared" si="73"/>
        <v>240</v>
      </c>
      <c r="X197" s="227">
        <f t="shared" si="73"/>
        <v>480</v>
      </c>
      <c r="Y197" s="227">
        <f t="shared" si="73"/>
        <v>960</v>
      </c>
      <c r="Z197" s="227">
        <f t="shared" si="73"/>
        <v>1920</v>
      </c>
      <c r="AA197" s="227">
        <f t="shared" si="73"/>
        <v>3840</v>
      </c>
      <c r="AB197" s="227">
        <f t="shared" si="73"/>
        <v>7680</v>
      </c>
      <c r="AC197" s="227">
        <f t="shared" si="73"/>
        <v>15360</v>
      </c>
      <c r="AD197" s="227">
        <f t="shared" si="73"/>
        <v>30720</v>
      </c>
      <c r="AE197" s="227">
        <f t="shared" ref="AE197:AG197" si="74">AE183*$B$178</f>
        <v>38400</v>
      </c>
      <c r="AF197" s="227">
        <f t="shared" si="74"/>
        <v>46080</v>
      </c>
      <c r="AG197" s="227">
        <f t="shared" si="74"/>
        <v>53760</v>
      </c>
      <c r="AH197" s="227">
        <f t="shared" si="73"/>
        <v>61440</v>
      </c>
      <c r="AI197" s="227">
        <f t="shared" ref="AI197:AK197" si="75">AI183*$B$178</f>
        <v>76800</v>
      </c>
      <c r="AJ197" s="227">
        <f t="shared" si="75"/>
        <v>92160</v>
      </c>
      <c r="AK197" s="227">
        <f t="shared" si="75"/>
        <v>107520</v>
      </c>
      <c r="AL197" s="227">
        <f t="shared" si="73"/>
        <v>122880</v>
      </c>
      <c r="AM197" s="227">
        <f t="shared" ref="AM197:AP197" si="76">AM183*$B$178</f>
        <v>147456</v>
      </c>
      <c r="AN197" s="227">
        <f t="shared" si="76"/>
        <v>172032</v>
      </c>
      <c r="AO197" s="227">
        <f t="shared" si="76"/>
        <v>196608</v>
      </c>
      <c r="AP197" s="227">
        <f t="shared" si="76"/>
        <v>221184</v>
      </c>
      <c r="AQ197" s="227">
        <f t="shared" si="73"/>
        <v>245760</v>
      </c>
      <c r="AR197" s="227">
        <f t="shared" ref="AR197:AU197" si="77">AR183*$B$178</f>
        <v>294912</v>
      </c>
      <c r="AS197" s="227">
        <f t="shared" si="77"/>
        <v>344064</v>
      </c>
      <c r="AT197" s="227">
        <f t="shared" si="77"/>
        <v>393216</v>
      </c>
      <c r="AU197" s="227">
        <f t="shared" si="77"/>
        <v>442368</v>
      </c>
      <c r="AV197" s="227">
        <f t="shared" si="73"/>
        <v>491520</v>
      </c>
      <c r="AW197" s="227">
        <f t="shared" ref="AW197:AZ197" si="78">AW183*$B$178</f>
        <v>589824</v>
      </c>
      <c r="AX197" s="227">
        <f t="shared" si="78"/>
        <v>688128</v>
      </c>
      <c r="AY197" s="227">
        <f t="shared" si="78"/>
        <v>786432</v>
      </c>
      <c r="AZ197" s="227">
        <f t="shared" si="78"/>
        <v>884736</v>
      </c>
      <c r="BA197" s="227">
        <f t="shared" si="73"/>
        <v>983040</v>
      </c>
      <c r="BB197" s="240">
        <f t="shared" ref="BB197:BF197" si="79">BB183*$B$178</f>
        <v>1966080</v>
      </c>
      <c r="BC197" s="199">
        <f t="shared" si="79"/>
        <v>3932160</v>
      </c>
      <c r="BD197" s="199">
        <f t="shared" si="79"/>
        <v>7864320</v>
      </c>
      <c r="BE197" s="199">
        <f t="shared" si="79"/>
        <v>15728640</v>
      </c>
      <c r="BF197" s="200">
        <f t="shared" si="79"/>
        <v>19833930</v>
      </c>
      <c r="BG197" s="208">
        <f t="shared" si="73"/>
        <v>19833930</v>
      </c>
      <c r="BH197" s="244">
        <f>BH183*B178</f>
        <v>1388375.1</v>
      </c>
      <c r="BI197" s="45"/>
      <c r="BJ197" s="45"/>
      <c r="BK197" s="69"/>
    </row>
    <row r="198" spans="1:63" x14ac:dyDescent="0.25">
      <c r="A198" s="37" t="s">
        <v>55</v>
      </c>
      <c r="B198" s="38"/>
      <c r="C198" s="39"/>
      <c r="D198" s="39"/>
      <c r="E198" s="39"/>
      <c r="F198" s="39"/>
      <c r="G198" s="39"/>
      <c r="H198" s="39"/>
      <c r="I198" s="39"/>
      <c r="J198" s="39"/>
      <c r="K198" s="39"/>
      <c r="L198" s="39"/>
      <c r="M198" s="39"/>
      <c r="N198" s="39"/>
      <c r="O198" s="39"/>
      <c r="P198" s="201"/>
      <c r="Q198" s="202"/>
      <c r="R198" s="202"/>
      <c r="S198" s="202"/>
      <c r="T198" s="202"/>
      <c r="U198" s="202"/>
      <c r="V198" s="202"/>
      <c r="W198" s="202"/>
      <c r="X198" s="202"/>
      <c r="Y198" s="202"/>
      <c r="Z198" s="202"/>
      <c r="AA198" s="202"/>
      <c r="AB198" s="210">
        <f t="shared" ref="AB198:AV198" si="80">($P$183*$B$178)*(2^(((AB182-35)-$P$182)/HLOOKUP((AB182-35)-$B$179,$P$206:$BH$208,3,TRUE)))</f>
        <v>2.1028578627110601</v>
      </c>
      <c r="AC198" s="210">
        <f t="shared" si="80"/>
        <v>3.7312397171836262</v>
      </c>
      <c r="AD198" s="210">
        <f t="shared" si="80"/>
        <v>15.719991465133234</v>
      </c>
      <c r="AE198" s="210">
        <f t="shared" si="80"/>
        <v>69.696428571428555</v>
      </c>
      <c r="AF198" s="210">
        <f t="shared" si="80"/>
        <v>181.07909730522741</v>
      </c>
      <c r="AG198" s="210">
        <f t="shared" si="80"/>
        <v>618.70917443642475</v>
      </c>
      <c r="AH198" s="210">
        <f t="shared" si="80"/>
        <v>2279.6892908691125</v>
      </c>
      <c r="AI198" s="210">
        <f t="shared" si="80"/>
        <v>14147.114221294043</v>
      </c>
      <c r="AJ198" s="210">
        <f t="shared" si="80"/>
        <v>46309.315000706243</v>
      </c>
      <c r="AK198" s="210">
        <f t="shared" si="80"/>
        <v>41935.293020740544</v>
      </c>
      <c r="AL198" s="210">
        <f t="shared" si="80"/>
        <v>55914.626674527193</v>
      </c>
      <c r="AM198" s="210">
        <f t="shared" si="80"/>
        <v>248719.83342260594</v>
      </c>
      <c r="AN198" s="210">
        <f t="shared" si="80"/>
        <v>94822.328402308209</v>
      </c>
      <c r="AO198" s="210">
        <f t="shared" si="80"/>
        <v>160567.62398537737</v>
      </c>
      <c r="AP198" s="210">
        <f t="shared" si="80"/>
        <v>151546.77777240562</v>
      </c>
      <c r="AQ198" s="210">
        <f t="shared" si="80"/>
        <v>188519.56176271467</v>
      </c>
      <c r="AR198" s="210">
        <f t="shared" si="80"/>
        <v>704891.65001092257</v>
      </c>
      <c r="AS198" s="210">
        <f t="shared" si="80"/>
        <v>524975.58198621252</v>
      </c>
      <c r="AT198" s="210">
        <f t="shared" si="80"/>
        <v>574383.94455407979</v>
      </c>
      <c r="AU198" s="210">
        <f t="shared" si="80"/>
        <v>611762.44091519923</v>
      </c>
      <c r="AV198" s="210">
        <f t="shared" si="80"/>
        <v>659037.5152399994</v>
      </c>
      <c r="AW198" s="210">
        <f t="shared" ref="AW198:AZ198" si="81">($P$183*$B$178)*(2^(((AW182-35)-$P$182)/HLOOKUP((AW182-35)-$B$179,$P$206:$BH$208,3,TRUE)))</f>
        <v>708625.06218710716</v>
      </c>
      <c r="AX198" s="210">
        <f t="shared" si="81"/>
        <v>663257.6941892443</v>
      </c>
      <c r="AY198" s="210">
        <f t="shared" si="81"/>
        <v>819956.89072097419</v>
      </c>
      <c r="AZ198" s="210">
        <f t="shared" si="81"/>
        <v>945321.95367805171</v>
      </c>
      <c r="BA198" s="210">
        <f t="shared" ref="BA198:BG198" si="82">($P$183*$B$178)*(2^(((BA182-35)-$P$182)/HLOOKUP((BA182-35)-$B$179,$P$206:$BH$208,3,TRUE)))</f>
        <v>1074849.0116586597</v>
      </c>
      <c r="BB198" s="241">
        <f t="shared" si="82"/>
        <v>63477944.259032898</v>
      </c>
      <c r="BC198" s="203">
        <f t="shared" si="82"/>
        <v>46066897.742537022</v>
      </c>
      <c r="BD198" s="203">
        <f t="shared" si="82"/>
        <v>51786720.421753198</v>
      </c>
      <c r="BE198" s="203">
        <f t="shared" si="82"/>
        <v>71430660.007558167</v>
      </c>
      <c r="BF198" s="204">
        <f t="shared" si="82"/>
        <v>110206477.64756154</v>
      </c>
      <c r="BG198" s="203">
        <f t="shared" si="82"/>
        <v>181996046.9347035</v>
      </c>
      <c r="BH198" s="247">
        <f>($P$183*$B$178)*(2^(((BH182 - 35) - $P$182)/BH208))</f>
        <v>13818278.279355321</v>
      </c>
      <c r="BI198" s="45"/>
      <c r="BJ198" s="45"/>
      <c r="BK198" s="69"/>
    </row>
    <row r="199" spans="1:63" s="69" customFormat="1" hidden="1" x14ac:dyDescent="0.25">
      <c r="A199" s="48" t="s">
        <v>105</v>
      </c>
      <c r="B199" s="25"/>
      <c r="C199" s="47"/>
      <c r="D199" s="47"/>
      <c r="E199" s="47"/>
      <c r="F199" s="47"/>
      <c r="G199" s="47"/>
      <c r="H199" s="47"/>
      <c r="I199" s="47"/>
      <c r="J199" s="47"/>
      <c r="K199" s="47"/>
      <c r="L199" s="47"/>
      <c r="M199" s="47"/>
      <c r="N199" s="47"/>
      <c r="O199" s="47"/>
      <c r="P199" s="150">
        <f t="shared" ref="P199:BG199" si="83">P182-7</f>
        <v>43875</v>
      </c>
      <c r="Q199" s="150">
        <f t="shared" si="83"/>
        <v>43883</v>
      </c>
      <c r="R199" s="150">
        <f t="shared" si="83"/>
        <v>43886</v>
      </c>
      <c r="S199" s="150">
        <f t="shared" si="83"/>
        <v>43888</v>
      </c>
      <c r="T199" s="150">
        <f t="shared" si="83"/>
        <v>43891</v>
      </c>
      <c r="U199" s="150">
        <f t="shared" si="83"/>
        <v>43894</v>
      </c>
      <c r="V199" s="150">
        <f t="shared" si="83"/>
        <v>43897</v>
      </c>
      <c r="W199" s="150">
        <f t="shared" si="83"/>
        <v>43899</v>
      </c>
      <c r="X199" s="150">
        <f t="shared" si="83"/>
        <v>43901</v>
      </c>
      <c r="Y199" s="150">
        <f t="shared" si="83"/>
        <v>43903</v>
      </c>
      <c r="Z199" s="150">
        <f t="shared" si="83"/>
        <v>43905</v>
      </c>
      <c r="AA199" s="150">
        <f t="shared" si="83"/>
        <v>43908</v>
      </c>
      <c r="AB199" s="150">
        <f t="shared" si="83"/>
        <v>43911</v>
      </c>
      <c r="AC199" s="150">
        <f t="shared" si="83"/>
        <v>43916</v>
      </c>
      <c r="AD199" s="150">
        <f t="shared" si="83"/>
        <v>43925</v>
      </c>
      <c r="AE199" s="150"/>
      <c r="AF199" s="150"/>
      <c r="AG199" s="150"/>
      <c r="AH199" s="150">
        <f t="shared" si="83"/>
        <v>43941</v>
      </c>
      <c r="AI199" s="150"/>
      <c r="AJ199" s="150"/>
      <c r="AK199" s="150"/>
      <c r="AL199" s="150">
        <f t="shared" si="83"/>
        <v>43973</v>
      </c>
      <c r="AM199" s="150"/>
      <c r="AN199" s="150"/>
      <c r="AO199" s="150"/>
      <c r="AP199" s="150"/>
      <c r="AQ199" s="150">
        <f t="shared" si="83"/>
        <v>44037</v>
      </c>
      <c r="AR199" s="150"/>
      <c r="AS199" s="150"/>
      <c r="AT199" s="150"/>
      <c r="AU199" s="150"/>
      <c r="AV199" s="150">
        <f t="shared" si="83"/>
        <v>44293</v>
      </c>
      <c r="AW199" s="150"/>
      <c r="AX199" s="150"/>
      <c r="AY199" s="150"/>
      <c r="AZ199" s="150"/>
      <c r="BA199" s="150">
        <f t="shared" si="83"/>
        <v>44549</v>
      </c>
      <c r="BB199" s="150"/>
      <c r="BC199" s="150"/>
      <c r="BD199" s="150"/>
      <c r="BE199" s="150"/>
      <c r="BF199" s="150"/>
      <c r="BG199" s="150">
        <f t="shared" si="83"/>
        <v>46085</v>
      </c>
      <c r="BH199" s="150"/>
      <c r="BI199" s="45"/>
      <c r="BJ199" s="45"/>
    </row>
    <row r="200" spans="1:63" s="69" customFormat="1" hidden="1" x14ac:dyDescent="0.25">
      <c r="A200" s="48" t="s">
        <v>103</v>
      </c>
      <c r="B200" s="25"/>
      <c r="C200" s="47"/>
      <c r="D200" s="47"/>
      <c r="E200" s="47"/>
      <c r="F200" s="47"/>
      <c r="G200" s="47"/>
      <c r="H200" s="47"/>
      <c r="I200" s="47"/>
      <c r="J200" s="47"/>
      <c r="K200" s="47"/>
      <c r="L200" s="47"/>
      <c r="M200" s="47"/>
      <c r="N200" s="47"/>
      <c r="O200" s="47"/>
      <c r="P200" s="150">
        <f t="shared" ref="P200:BG200" si="84">P182-14</f>
        <v>43868</v>
      </c>
      <c r="Q200" s="150">
        <f t="shared" si="84"/>
        <v>43876</v>
      </c>
      <c r="R200" s="150">
        <f t="shared" si="84"/>
        <v>43879</v>
      </c>
      <c r="S200" s="150">
        <f t="shared" si="84"/>
        <v>43881</v>
      </c>
      <c r="T200" s="150">
        <f t="shared" si="84"/>
        <v>43884</v>
      </c>
      <c r="U200" s="150">
        <f t="shared" si="84"/>
        <v>43887</v>
      </c>
      <c r="V200" s="150">
        <f t="shared" si="84"/>
        <v>43890</v>
      </c>
      <c r="W200" s="150">
        <f t="shared" si="84"/>
        <v>43892</v>
      </c>
      <c r="X200" s="150">
        <f t="shared" si="84"/>
        <v>43894</v>
      </c>
      <c r="Y200" s="150">
        <f t="shared" si="84"/>
        <v>43896</v>
      </c>
      <c r="Z200" s="150">
        <f t="shared" si="84"/>
        <v>43898</v>
      </c>
      <c r="AA200" s="150">
        <f t="shared" si="84"/>
        <v>43901</v>
      </c>
      <c r="AB200" s="150">
        <f t="shared" si="84"/>
        <v>43904</v>
      </c>
      <c r="AC200" s="150">
        <f t="shared" si="84"/>
        <v>43909</v>
      </c>
      <c r="AD200" s="150">
        <f t="shared" si="84"/>
        <v>43918</v>
      </c>
      <c r="AE200" s="150"/>
      <c r="AF200" s="150"/>
      <c r="AG200" s="150"/>
      <c r="AH200" s="150">
        <f t="shared" si="84"/>
        <v>43934</v>
      </c>
      <c r="AI200" s="150"/>
      <c r="AJ200" s="150"/>
      <c r="AK200" s="150"/>
      <c r="AL200" s="150">
        <f t="shared" si="84"/>
        <v>43966</v>
      </c>
      <c r="AM200" s="150"/>
      <c r="AN200" s="150"/>
      <c r="AO200" s="150"/>
      <c r="AP200" s="150"/>
      <c r="AQ200" s="150">
        <f t="shared" si="84"/>
        <v>44030</v>
      </c>
      <c r="AR200" s="150"/>
      <c r="AS200" s="150"/>
      <c r="AT200" s="150"/>
      <c r="AU200" s="150"/>
      <c r="AV200" s="150">
        <f t="shared" si="84"/>
        <v>44286</v>
      </c>
      <c r="AW200" s="150"/>
      <c r="AX200" s="150"/>
      <c r="AY200" s="150"/>
      <c r="AZ200" s="150"/>
      <c r="BA200" s="150">
        <f t="shared" si="84"/>
        <v>44542</v>
      </c>
      <c r="BB200" s="150"/>
      <c r="BC200" s="150"/>
      <c r="BD200" s="150"/>
      <c r="BE200" s="150"/>
      <c r="BF200" s="150"/>
      <c r="BG200" s="150">
        <f t="shared" si="84"/>
        <v>46078</v>
      </c>
      <c r="BH200" s="150"/>
      <c r="BI200" s="45"/>
      <c r="BJ200" s="45"/>
    </row>
    <row r="201" spans="1:63" s="69" customFormat="1" hidden="1" x14ac:dyDescent="0.25">
      <c r="A201" s="48" t="s">
        <v>106</v>
      </c>
      <c r="B201" s="25"/>
      <c r="C201" s="47"/>
      <c r="D201" s="47"/>
      <c r="E201" s="47"/>
      <c r="F201" s="47"/>
      <c r="G201" s="47"/>
      <c r="H201" s="47"/>
      <c r="I201" s="47"/>
      <c r="J201" s="47"/>
      <c r="K201" s="47"/>
      <c r="L201" s="47"/>
      <c r="M201" s="47"/>
      <c r="N201" s="47"/>
      <c r="O201" s="47"/>
      <c r="P201" s="150">
        <f t="shared" ref="P201:BG201" si="85">P182-(7*5)</f>
        <v>43847</v>
      </c>
      <c r="Q201" s="150">
        <f t="shared" si="85"/>
        <v>43855</v>
      </c>
      <c r="R201" s="150">
        <f t="shared" si="85"/>
        <v>43858</v>
      </c>
      <c r="S201" s="150">
        <f t="shared" si="85"/>
        <v>43860</v>
      </c>
      <c r="T201" s="150">
        <f t="shared" si="85"/>
        <v>43863</v>
      </c>
      <c r="U201" s="150">
        <f t="shared" si="85"/>
        <v>43866</v>
      </c>
      <c r="V201" s="150">
        <f t="shared" si="85"/>
        <v>43869</v>
      </c>
      <c r="W201" s="150">
        <f t="shared" si="85"/>
        <v>43871</v>
      </c>
      <c r="X201" s="150">
        <f t="shared" si="85"/>
        <v>43873</v>
      </c>
      <c r="Y201" s="150">
        <f t="shared" si="85"/>
        <v>43875</v>
      </c>
      <c r="Z201" s="150">
        <f t="shared" si="85"/>
        <v>43877</v>
      </c>
      <c r="AA201" s="150">
        <f t="shared" si="85"/>
        <v>43880</v>
      </c>
      <c r="AB201" s="150">
        <f t="shared" si="85"/>
        <v>43883</v>
      </c>
      <c r="AC201" s="150">
        <f t="shared" si="85"/>
        <v>43888</v>
      </c>
      <c r="AD201" s="150">
        <f t="shared" si="85"/>
        <v>43897</v>
      </c>
      <c r="AE201" s="150"/>
      <c r="AF201" s="150"/>
      <c r="AG201" s="150"/>
      <c r="AH201" s="150">
        <f t="shared" si="85"/>
        <v>43913</v>
      </c>
      <c r="AI201" s="150"/>
      <c r="AJ201" s="150"/>
      <c r="AK201" s="150"/>
      <c r="AL201" s="150">
        <f t="shared" si="85"/>
        <v>43945</v>
      </c>
      <c r="AM201" s="150"/>
      <c r="AN201" s="150"/>
      <c r="AO201" s="150"/>
      <c r="AP201" s="150"/>
      <c r="AQ201" s="150">
        <f t="shared" si="85"/>
        <v>44009</v>
      </c>
      <c r="AR201" s="150"/>
      <c r="AS201" s="150"/>
      <c r="AT201" s="150"/>
      <c r="AU201" s="150"/>
      <c r="AV201" s="150">
        <f t="shared" si="85"/>
        <v>44265</v>
      </c>
      <c r="AW201" s="150"/>
      <c r="AX201" s="150"/>
      <c r="AY201" s="150"/>
      <c r="AZ201" s="150"/>
      <c r="BA201" s="150">
        <f t="shared" si="85"/>
        <v>44521</v>
      </c>
      <c r="BB201" s="150"/>
      <c r="BC201" s="150"/>
      <c r="BD201" s="150"/>
      <c r="BE201" s="150"/>
      <c r="BF201" s="150"/>
      <c r="BG201" s="150">
        <f t="shared" si="85"/>
        <v>46057</v>
      </c>
      <c r="BH201" s="150"/>
      <c r="BI201" s="45"/>
      <c r="BJ201" s="45"/>
    </row>
    <row r="202" spans="1:63" s="69" customFormat="1" hidden="1" x14ac:dyDescent="0.25">
      <c r="A202" s="48" t="s">
        <v>104</v>
      </c>
      <c r="B202" s="25"/>
      <c r="C202" s="47"/>
      <c r="D202" s="47"/>
      <c r="E202" s="47"/>
      <c r="F202" s="47"/>
      <c r="G202" s="47"/>
      <c r="H202" s="47"/>
      <c r="I202" s="47"/>
      <c r="J202" s="47"/>
      <c r="K202" s="47"/>
      <c r="L202" s="47"/>
      <c r="M202" s="47"/>
      <c r="N202" s="47"/>
      <c r="O202" s="47"/>
      <c r="P202" s="150">
        <f t="shared" ref="P202:BG202" si="86">P182-(6*7)</f>
        <v>43840</v>
      </c>
      <c r="Q202" s="150">
        <f t="shared" si="86"/>
        <v>43848</v>
      </c>
      <c r="R202" s="150">
        <f t="shared" si="86"/>
        <v>43851</v>
      </c>
      <c r="S202" s="150">
        <f t="shared" si="86"/>
        <v>43853</v>
      </c>
      <c r="T202" s="150">
        <f t="shared" si="86"/>
        <v>43856</v>
      </c>
      <c r="U202" s="150">
        <f t="shared" si="86"/>
        <v>43859</v>
      </c>
      <c r="V202" s="150">
        <f t="shared" si="86"/>
        <v>43862</v>
      </c>
      <c r="W202" s="150">
        <f t="shared" si="86"/>
        <v>43864</v>
      </c>
      <c r="X202" s="150">
        <f t="shared" si="86"/>
        <v>43866</v>
      </c>
      <c r="Y202" s="150">
        <f t="shared" si="86"/>
        <v>43868</v>
      </c>
      <c r="Z202" s="150">
        <f t="shared" si="86"/>
        <v>43870</v>
      </c>
      <c r="AA202" s="150">
        <f t="shared" si="86"/>
        <v>43873</v>
      </c>
      <c r="AB202" s="150">
        <f t="shared" si="86"/>
        <v>43876</v>
      </c>
      <c r="AC202" s="150">
        <f t="shared" si="86"/>
        <v>43881</v>
      </c>
      <c r="AD202" s="150">
        <f t="shared" si="86"/>
        <v>43890</v>
      </c>
      <c r="AE202" s="150"/>
      <c r="AF202" s="150"/>
      <c r="AG202" s="150"/>
      <c r="AH202" s="150">
        <f t="shared" si="86"/>
        <v>43906</v>
      </c>
      <c r="AI202" s="150"/>
      <c r="AJ202" s="150"/>
      <c r="AK202" s="150"/>
      <c r="AL202" s="150">
        <f t="shared" si="86"/>
        <v>43938</v>
      </c>
      <c r="AM202" s="150"/>
      <c r="AN202" s="150"/>
      <c r="AO202" s="150"/>
      <c r="AP202" s="150"/>
      <c r="AQ202" s="150">
        <f t="shared" si="86"/>
        <v>44002</v>
      </c>
      <c r="AR202" s="150"/>
      <c r="AS202" s="150"/>
      <c r="AT202" s="150"/>
      <c r="AU202" s="150"/>
      <c r="AV202" s="150">
        <f t="shared" si="86"/>
        <v>44258</v>
      </c>
      <c r="AW202" s="150"/>
      <c r="AX202" s="150"/>
      <c r="AY202" s="150"/>
      <c r="AZ202" s="150"/>
      <c r="BA202" s="150">
        <f t="shared" si="86"/>
        <v>44514</v>
      </c>
      <c r="BB202" s="150"/>
      <c r="BC202" s="150"/>
      <c r="BD202" s="150"/>
      <c r="BE202" s="150"/>
      <c r="BF202" s="150"/>
      <c r="BG202" s="150">
        <f t="shared" si="86"/>
        <v>46050</v>
      </c>
      <c r="BH202" s="150"/>
      <c r="BI202" s="45"/>
      <c r="BJ202" s="45"/>
    </row>
    <row r="204" spans="1:63" x14ac:dyDescent="0.25">
      <c r="A204" s="53" t="s">
        <v>48</v>
      </c>
      <c r="B204" s="15"/>
      <c r="C204" s="16"/>
      <c r="D204" s="16"/>
      <c r="E204" s="16"/>
      <c r="F204" s="16"/>
      <c r="G204" s="16"/>
      <c r="H204" s="16"/>
      <c r="I204" s="16"/>
      <c r="J204" s="16"/>
      <c r="K204" s="16"/>
      <c r="L204" s="16"/>
      <c r="M204" s="16"/>
      <c r="N204" s="16"/>
      <c r="O204" s="16"/>
    </row>
    <row r="205" spans="1:63" s="69" customFormat="1" x14ac:dyDescent="0.25">
      <c r="A205" s="143" t="s">
        <v>102</v>
      </c>
      <c r="B205" s="25"/>
      <c r="C205" s="47"/>
      <c r="D205" s="47"/>
      <c r="E205" s="47"/>
      <c r="F205" s="47"/>
      <c r="G205" s="47"/>
      <c r="H205" s="47"/>
      <c r="I205" s="47"/>
      <c r="J205" s="47"/>
      <c r="K205" s="47"/>
      <c r="L205" s="47"/>
      <c r="M205" s="47"/>
      <c r="N205" s="47"/>
      <c r="O205" s="47"/>
      <c r="P205" s="141">
        <f t="shared" ref="P205:BH205" si="87">(P182-$B$179)/7</f>
        <v>4.4285714285714288</v>
      </c>
      <c r="Q205" s="141">
        <f t="shared" si="87"/>
        <v>5.5714285714285712</v>
      </c>
      <c r="R205" s="145">
        <f t="shared" si="87"/>
        <v>6</v>
      </c>
      <c r="S205" s="145">
        <f t="shared" si="87"/>
        <v>6.2857142857142856</v>
      </c>
      <c r="T205" s="141">
        <f t="shared" si="87"/>
        <v>6.7142857142857144</v>
      </c>
      <c r="U205" s="145">
        <f t="shared" si="87"/>
        <v>7.1428571428571432</v>
      </c>
      <c r="V205" s="141">
        <f t="shared" si="87"/>
        <v>7.5714285714285712</v>
      </c>
      <c r="W205" s="145">
        <f t="shared" si="87"/>
        <v>7.8571428571428568</v>
      </c>
      <c r="X205" s="145">
        <f t="shared" si="87"/>
        <v>8.1428571428571423</v>
      </c>
      <c r="Y205" s="142">
        <f t="shared" si="87"/>
        <v>8.4285714285714288</v>
      </c>
      <c r="Z205" s="145">
        <f t="shared" si="87"/>
        <v>8.7142857142857135</v>
      </c>
      <c r="AA205" s="145">
        <f t="shared" si="87"/>
        <v>9.1428571428571423</v>
      </c>
      <c r="AB205" s="141">
        <f t="shared" si="87"/>
        <v>9.5714285714285712</v>
      </c>
      <c r="AC205" s="142">
        <f t="shared" si="87"/>
        <v>10.285714285714286</v>
      </c>
      <c r="AD205" s="142">
        <f t="shared" si="87"/>
        <v>11.571428571428571</v>
      </c>
      <c r="AE205" s="144">
        <f t="shared" ref="AE205:AG205" si="88">(AE182-$B$179)/7</f>
        <v>12.142857142857142</v>
      </c>
      <c r="AF205" s="144">
        <f t="shared" si="88"/>
        <v>12.714285714285714</v>
      </c>
      <c r="AG205" s="144">
        <f t="shared" si="88"/>
        <v>13.285714285714286</v>
      </c>
      <c r="AH205" s="144">
        <f t="shared" si="87"/>
        <v>13.857142857142858</v>
      </c>
      <c r="AI205" s="144">
        <f t="shared" ref="AI205:AK205" si="89">(AI182-$B$179)/7</f>
        <v>15.319999999999709</v>
      </c>
      <c r="AJ205" s="144">
        <f t="shared" si="89"/>
        <v>16.920000000000332</v>
      </c>
      <c r="AK205" s="144">
        <f t="shared" si="89"/>
        <v>17.285714285714285</v>
      </c>
      <c r="AL205" s="144">
        <f t="shared" si="87"/>
        <v>18.428571428571427</v>
      </c>
      <c r="AM205" s="142">
        <f t="shared" ref="AM205:AP205" si="90">(AM182-$B$179)/7</f>
        <v>20.257142857143272</v>
      </c>
      <c r="AN205" s="142">
        <f t="shared" si="90"/>
        <v>22.085714285714079</v>
      </c>
      <c r="AO205" s="142">
        <f t="shared" si="90"/>
        <v>23.914285714285921</v>
      </c>
      <c r="AP205" s="142">
        <f t="shared" si="90"/>
        <v>25.742857142856728</v>
      </c>
      <c r="AQ205" s="142">
        <f t="shared" si="87"/>
        <v>27.571428571428573</v>
      </c>
      <c r="AR205" s="144">
        <f t="shared" ref="AR205:AU205" si="91">(AR182-$B$179)/7</f>
        <v>34.885714285713867</v>
      </c>
      <c r="AS205" s="144">
        <f t="shared" si="91"/>
        <v>42.200000000000209</v>
      </c>
      <c r="AT205" s="144">
        <f t="shared" si="91"/>
        <v>49.514285714285506</v>
      </c>
      <c r="AU205" s="144">
        <f t="shared" si="91"/>
        <v>56.828571428571841</v>
      </c>
      <c r="AV205" s="144">
        <f t="shared" si="87"/>
        <v>64.142857142857139</v>
      </c>
      <c r="AW205" s="141">
        <f t="shared" ref="AW205:AZ205" si="92">(AW182-$B$179)/7</f>
        <v>71.457142857142443</v>
      </c>
      <c r="AX205" s="141">
        <f t="shared" si="92"/>
        <v>78.771428571428785</v>
      </c>
      <c r="AY205" s="141">
        <f t="shared" si="92"/>
        <v>86.085714285714076</v>
      </c>
      <c r="AZ205" s="141">
        <f t="shared" si="92"/>
        <v>93.400000000000418</v>
      </c>
      <c r="BA205" s="141">
        <f t="shared" si="87"/>
        <v>100.71428571428571</v>
      </c>
      <c r="BB205" s="141">
        <f t="shared" ref="BB205:BF205" si="93">(BB182-$B$179)/7</f>
        <v>137.28571428571428</v>
      </c>
      <c r="BC205" s="141">
        <f t="shared" si="93"/>
        <v>173.85714285714286</v>
      </c>
      <c r="BD205" s="141">
        <f t="shared" si="93"/>
        <v>210.42857142857142</v>
      </c>
      <c r="BE205" s="141">
        <f t="shared" si="93"/>
        <v>247</v>
      </c>
      <c r="BF205" s="141">
        <f t="shared" si="93"/>
        <v>283.57142857142856</v>
      </c>
      <c r="BG205" s="144">
        <f t="shared" si="87"/>
        <v>320.14285714285717</v>
      </c>
      <c r="BH205" s="144">
        <f t="shared" si="87"/>
        <v>328.14285714285717</v>
      </c>
    </row>
    <row r="206" spans="1:63" s="69" customFormat="1" x14ac:dyDescent="0.25">
      <c r="A206" s="143" t="s">
        <v>101</v>
      </c>
      <c r="B206" s="25"/>
      <c r="C206" s="47"/>
      <c r="D206" s="47"/>
      <c r="E206" s="47"/>
      <c r="F206" s="47"/>
      <c r="G206" s="47"/>
      <c r="H206" s="47"/>
      <c r="I206" s="47"/>
      <c r="J206" s="47"/>
      <c r="K206" s="47"/>
      <c r="L206" s="47"/>
      <c r="M206" s="47"/>
      <c r="N206" s="47"/>
      <c r="O206" s="47"/>
      <c r="P206" s="269">
        <f>P182-$B$179</f>
        <v>31</v>
      </c>
      <c r="Q206" s="234">
        <f t="shared" ref="Q206:U206" si="94">Q182-$B$179</f>
        <v>39</v>
      </c>
      <c r="R206" s="234">
        <f t="shared" si="94"/>
        <v>42</v>
      </c>
      <c r="S206" s="234">
        <f t="shared" si="94"/>
        <v>44</v>
      </c>
      <c r="T206" s="234">
        <f t="shared" si="94"/>
        <v>47</v>
      </c>
      <c r="U206" s="234">
        <f t="shared" si="94"/>
        <v>50</v>
      </c>
      <c r="V206" s="234">
        <f>V182-$B$179</f>
        <v>53</v>
      </c>
      <c r="W206" s="234">
        <f t="shared" ref="W206:BH206" si="95">W182-$B$179</f>
        <v>55</v>
      </c>
      <c r="X206" s="234">
        <f t="shared" si="95"/>
        <v>57</v>
      </c>
      <c r="Y206" s="234">
        <f t="shared" si="95"/>
        <v>59</v>
      </c>
      <c r="Z206" s="234">
        <f t="shared" si="95"/>
        <v>61</v>
      </c>
      <c r="AA206" s="234">
        <f t="shared" si="95"/>
        <v>64</v>
      </c>
      <c r="AB206" s="234">
        <f t="shared" si="95"/>
        <v>67</v>
      </c>
      <c r="AC206" s="234">
        <f t="shared" si="95"/>
        <v>72</v>
      </c>
      <c r="AD206" s="234">
        <f t="shared" si="95"/>
        <v>81</v>
      </c>
      <c r="AE206" s="234">
        <f t="shared" ref="AE206:AG206" si="96">AE182-$B$179</f>
        <v>85</v>
      </c>
      <c r="AF206" s="234">
        <f t="shared" si="96"/>
        <v>89</v>
      </c>
      <c r="AG206" s="234">
        <f t="shared" si="96"/>
        <v>93</v>
      </c>
      <c r="AH206" s="234">
        <f t="shared" si="95"/>
        <v>97</v>
      </c>
      <c r="AI206" s="234">
        <f t="shared" ref="AI206:AK206" si="97">AI182-$B$179</f>
        <v>107.23999999999796</v>
      </c>
      <c r="AJ206" s="234">
        <f t="shared" si="97"/>
        <v>118.44000000000233</v>
      </c>
      <c r="AK206" s="234">
        <f t="shared" si="97"/>
        <v>121</v>
      </c>
      <c r="AL206" s="234">
        <f t="shared" si="95"/>
        <v>129</v>
      </c>
      <c r="AM206" s="234">
        <f t="shared" ref="AM206:AP206" si="98">AM182-$B$179</f>
        <v>141.80000000000291</v>
      </c>
      <c r="AN206" s="234">
        <f t="shared" si="98"/>
        <v>154.59999999999854</v>
      </c>
      <c r="AO206" s="234">
        <f t="shared" si="98"/>
        <v>167.40000000000146</v>
      </c>
      <c r="AP206" s="234">
        <f t="shared" si="98"/>
        <v>180.19999999999709</v>
      </c>
      <c r="AQ206" s="234">
        <f t="shared" si="95"/>
        <v>193</v>
      </c>
      <c r="AR206" s="234">
        <f t="shared" ref="AR206:AU206" si="99">AR182-$B$179</f>
        <v>244.19999999999709</v>
      </c>
      <c r="AS206" s="234">
        <f t="shared" si="99"/>
        <v>295.40000000000146</v>
      </c>
      <c r="AT206" s="234">
        <f t="shared" si="99"/>
        <v>346.59999999999854</v>
      </c>
      <c r="AU206" s="234">
        <f t="shared" si="99"/>
        <v>397.80000000000291</v>
      </c>
      <c r="AV206" s="234">
        <f t="shared" si="95"/>
        <v>449</v>
      </c>
      <c r="AW206" s="235">
        <f t="shared" ref="AW206:AZ206" si="100">AW182-$B$179</f>
        <v>500.19999999999709</v>
      </c>
      <c r="AX206" s="235">
        <f t="shared" si="100"/>
        <v>551.40000000000146</v>
      </c>
      <c r="AY206" s="235">
        <f t="shared" si="100"/>
        <v>602.59999999999854</v>
      </c>
      <c r="AZ206" s="235">
        <f t="shared" si="100"/>
        <v>653.80000000000291</v>
      </c>
      <c r="BA206" s="235">
        <f t="shared" si="95"/>
        <v>705</v>
      </c>
      <c r="BB206" s="262">
        <f t="shared" ref="BB206:BF206" si="101">BB182-$B$179</f>
        <v>961</v>
      </c>
      <c r="BC206" s="191">
        <f t="shared" si="101"/>
        <v>1217</v>
      </c>
      <c r="BD206" s="191">
        <f t="shared" si="101"/>
        <v>1473</v>
      </c>
      <c r="BE206" s="191">
        <f t="shared" si="101"/>
        <v>1729</v>
      </c>
      <c r="BF206" s="191">
        <f t="shared" si="101"/>
        <v>1985</v>
      </c>
      <c r="BG206" s="191">
        <f t="shared" si="95"/>
        <v>2241</v>
      </c>
      <c r="BH206" s="191">
        <f t="shared" si="95"/>
        <v>2297</v>
      </c>
    </row>
    <row r="207" spans="1:63" x14ac:dyDescent="0.25">
      <c r="A207" s="41" t="s">
        <v>42</v>
      </c>
      <c r="B207" s="16"/>
      <c r="C207" s="16"/>
      <c r="D207" s="16"/>
      <c r="E207" s="16"/>
      <c r="F207" s="16"/>
      <c r="G207" s="16"/>
      <c r="H207" s="16"/>
      <c r="I207" s="16"/>
      <c r="J207" s="16"/>
      <c r="K207" s="16"/>
      <c r="L207" s="16"/>
      <c r="M207" s="16"/>
      <c r="N207" s="16"/>
      <c r="O207" s="16"/>
      <c r="P207" s="146">
        <v>35</v>
      </c>
      <c r="Q207" s="147">
        <v>68</v>
      </c>
      <c r="R207" s="148">
        <v>124</v>
      </c>
      <c r="S207" s="148">
        <v>221</v>
      </c>
      <c r="T207" s="148">
        <v>541</v>
      </c>
      <c r="U207" s="148">
        <v>1301</v>
      </c>
      <c r="V207" s="148">
        <v>2771</v>
      </c>
      <c r="W207" s="148">
        <v>4604</v>
      </c>
      <c r="X207" s="148">
        <v>9317</v>
      </c>
      <c r="Y207" s="148">
        <v>19551</v>
      </c>
      <c r="Z207" s="148">
        <v>33840</v>
      </c>
      <c r="AA207" s="148">
        <v>68905</v>
      </c>
      <c r="AB207" s="148">
        <v>124788</v>
      </c>
      <c r="AC207" s="148">
        <v>250708</v>
      </c>
      <c r="AD207" s="148">
        <v>539942</v>
      </c>
      <c r="AE207" s="148">
        <v>652474</v>
      </c>
      <c r="AF207" s="148">
        <v>770014</v>
      </c>
      <c r="AG207" s="148">
        <v>886274</v>
      </c>
      <c r="AH207" s="148">
        <v>1010356</v>
      </c>
      <c r="AI207" s="148">
        <v>1292623</v>
      </c>
      <c r="AJ207" s="183">
        <f t="shared" ref="AJ207:AK207" si="102">AJ183</f>
        <v>1536000</v>
      </c>
      <c r="AK207" s="183">
        <f t="shared" si="102"/>
        <v>1792000</v>
      </c>
      <c r="AL207" s="183">
        <f>AL183</f>
        <v>2048000</v>
      </c>
      <c r="AM207" s="183">
        <f t="shared" ref="AM207:AP207" si="103">AH207*2</f>
        <v>2020712</v>
      </c>
      <c r="AN207" s="183">
        <f t="shared" si="103"/>
        <v>2585246</v>
      </c>
      <c r="AO207" s="183">
        <f t="shared" si="103"/>
        <v>3072000</v>
      </c>
      <c r="AP207" s="183">
        <f t="shared" si="103"/>
        <v>3584000</v>
      </c>
      <c r="AQ207" s="183">
        <f>AL207*2</f>
        <v>4096000</v>
      </c>
      <c r="AR207" s="183">
        <f t="shared" ref="AR207:AU207" si="104">AM207*2</f>
        <v>4041424</v>
      </c>
      <c r="AS207" s="183">
        <f t="shared" si="104"/>
        <v>5170492</v>
      </c>
      <c r="AT207" s="183">
        <f t="shared" si="104"/>
        <v>6144000</v>
      </c>
      <c r="AU207" s="183">
        <f t="shared" si="104"/>
        <v>7168000</v>
      </c>
      <c r="AV207" s="183">
        <f>AQ207*2</f>
        <v>8192000</v>
      </c>
      <c r="AW207" s="183">
        <f t="shared" ref="AW207:AZ207" si="105">AR207*2</f>
        <v>8082848</v>
      </c>
      <c r="AX207" s="183">
        <f t="shared" si="105"/>
        <v>10340984</v>
      </c>
      <c r="AY207" s="183">
        <f t="shared" si="105"/>
        <v>12288000</v>
      </c>
      <c r="AZ207" s="183">
        <f t="shared" si="105"/>
        <v>14336000</v>
      </c>
      <c r="BA207" s="183">
        <f>AV207*2</f>
        <v>16384000</v>
      </c>
      <c r="BB207" s="187">
        <f t="shared" ref="BB207" si="106">BA207*2</f>
        <v>32768000</v>
      </c>
      <c r="BC207" s="187">
        <f t="shared" ref="BC207" si="107">BB207*2</f>
        <v>65536000</v>
      </c>
      <c r="BD207" s="187">
        <f t="shared" ref="BD207" si="108">BC207*2</f>
        <v>131072000</v>
      </c>
      <c r="BE207" s="187">
        <f t="shared" ref="BE207" si="109">BD207*2</f>
        <v>262144000</v>
      </c>
      <c r="BF207" s="187">
        <f t="shared" ref="BF207" si="110">BE207*2</f>
        <v>524288000</v>
      </c>
      <c r="BG207" s="187">
        <f>BG183</f>
        <v>330565500</v>
      </c>
      <c r="BH207" s="188">
        <f>BG183</f>
        <v>330565500</v>
      </c>
    </row>
    <row r="208" spans="1:63" x14ac:dyDescent="0.25">
      <c r="A208" s="41" t="s">
        <v>157</v>
      </c>
      <c r="B208" s="16"/>
      <c r="C208" s="16"/>
      <c r="D208" s="16"/>
      <c r="E208" s="16"/>
      <c r="F208" s="16"/>
      <c r="G208" s="16"/>
      <c r="H208" s="16"/>
      <c r="I208" s="16"/>
      <c r="J208" s="16"/>
      <c r="K208" s="16"/>
      <c r="L208" s="16"/>
      <c r="M208" s="16"/>
      <c r="N208" s="16"/>
      <c r="O208" s="16"/>
      <c r="P208" s="194">
        <f>(P182-B179)/(LOG(P207/1)/LOG(2))</f>
        <v>6.0437296787073755</v>
      </c>
      <c r="Q208" s="174">
        <f>(Q182-$P$182)/(LOG(Q207/$P$207)/LOG(2))</f>
        <v>8.3491634837954933</v>
      </c>
      <c r="R208" s="174">
        <f t="shared" ref="R208:BH208" si="111">(R182-$P$182)/(LOG(R207/$P$207)/LOG(2))</f>
        <v>6.0276836381926202</v>
      </c>
      <c r="S208" s="174">
        <f t="shared" si="111"/>
        <v>4.8897556767514709</v>
      </c>
      <c r="T208" s="174">
        <f t="shared" si="111"/>
        <v>4.0504260147273037</v>
      </c>
      <c r="U208" s="174">
        <f t="shared" si="111"/>
        <v>3.6425526786068976</v>
      </c>
      <c r="V208" s="174">
        <f t="shared" si="111"/>
        <v>3.4882386226134869</v>
      </c>
      <c r="W208" s="174">
        <f t="shared" si="111"/>
        <v>3.4093867599891814</v>
      </c>
      <c r="X208" s="174">
        <f t="shared" si="111"/>
        <v>3.2272612172752644</v>
      </c>
      <c r="Y208" s="174">
        <f t="shared" si="111"/>
        <v>3.0682672712732586</v>
      </c>
      <c r="Z208" s="174">
        <f t="shared" si="111"/>
        <v>3.0250599197351313</v>
      </c>
      <c r="AA208" s="174">
        <f t="shared" si="111"/>
        <v>3.0156159459256791</v>
      </c>
      <c r="AB208" s="174">
        <f t="shared" si="111"/>
        <v>3.0508896880563214</v>
      </c>
      <c r="AC208" s="174">
        <f t="shared" si="111"/>
        <v>3.201532865133665</v>
      </c>
      <c r="AD208" s="174">
        <f t="shared" si="111"/>
        <v>3.5937194117521298</v>
      </c>
      <c r="AE208" s="174">
        <f t="shared" si="111"/>
        <v>3.8064952970597021</v>
      </c>
      <c r="AF208" s="174">
        <f t="shared" si="111"/>
        <v>4.020729736229403</v>
      </c>
      <c r="AG208" s="174">
        <f t="shared" si="111"/>
        <v>4.2384148703141689</v>
      </c>
      <c r="AH208" s="174">
        <f t="shared" ref="AH208:AK208" si="112">(AH182-$P$182)/(LOG(AH207/$P$207)/LOG(2))</f>
        <v>4.4542981107309165</v>
      </c>
      <c r="AI208" s="174">
        <f t="shared" si="112"/>
        <v>5.0248516880461835</v>
      </c>
      <c r="AJ208" s="184">
        <f t="shared" si="112"/>
        <v>5.670019481481253</v>
      </c>
      <c r="AK208" s="184">
        <f t="shared" si="112"/>
        <v>5.7530572327062561</v>
      </c>
      <c r="AL208" s="184">
        <f t="shared" si="111"/>
        <v>6.1882355416328014</v>
      </c>
      <c r="AM208" s="184">
        <f t="shared" ref="AM208:AP208" si="113">(AM182-$P$182)/(LOG(AM207/$P$207)/LOG(2))</f>
        <v>7.005054963336975</v>
      </c>
      <c r="AN208" s="184">
        <f t="shared" si="113"/>
        <v>7.6425620147150815</v>
      </c>
      <c r="AO208" s="184">
        <f t="shared" si="113"/>
        <v>8.3062022925239791</v>
      </c>
      <c r="AP208" s="184">
        <f t="shared" si="113"/>
        <v>8.9642687547167839</v>
      </c>
      <c r="AQ208" s="184">
        <f t="shared" si="111"/>
        <v>9.6219515815096521</v>
      </c>
      <c r="AR208" s="184">
        <f t="shared" ref="AR208:AU208" si="114">(AR182-$P$182)/(LOG(AR207/$P$207)/LOG(2))</f>
        <v>12.67753509090236</v>
      </c>
      <c r="AS208" s="184">
        <f t="shared" si="114"/>
        <v>15.396631745608092</v>
      </c>
      <c r="AT208" s="184">
        <f t="shared" si="114"/>
        <v>18.115584556778611</v>
      </c>
      <c r="AU208" s="184">
        <f t="shared" si="114"/>
        <v>20.789106193949667</v>
      </c>
      <c r="AV208" s="184">
        <f t="shared" si="111"/>
        <v>23.435089299522666</v>
      </c>
      <c r="AW208" s="184">
        <f t="shared" ref="AW208:AZ208" si="115">(AW182-$P$182)/(LOG(AW207/$P$207)/LOG(2))</f>
        <v>26.334179103989193</v>
      </c>
      <c r="AX208" s="184">
        <f t="shared" si="115"/>
        <v>28.636539012018329</v>
      </c>
      <c r="AY208" s="184">
        <f t="shared" si="115"/>
        <v>31.0290217533814</v>
      </c>
      <c r="AZ208" s="184">
        <f t="shared" si="115"/>
        <v>33.405106414711533</v>
      </c>
      <c r="BA208" s="184">
        <f t="shared" si="111"/>
        <v>35.781591837075005</v>
      </c>
      <c r="BB208" s="189">
        <f t="shared" ref="BB208" si="116">(BB182-$P$182)/(LOG(BB207/$P$207)/LOG(2))</f>
        <v>46.883267742055239</v>
      </c>
      <c r="BC208" s="189">
        <f t="shared" ref="BC208" si="117">(BC182-$P$182)/(LOG(BC207/$P$207)/LOG(2))</f>
        <v>56.919344796024866</v>
      </c>
      <c r="BD208" s="189">
        <f t="shared" ref="BD208" si="118">(BD182-$P$182)/(LOG(BD207/$P$207)/LOG(2))</f>
        <v>66.036219920076633</v>
      </c>
      <c r="BE208" s="189">
        <f t="shared" ref="BE208" si="119">(BE182-$P$182)/(LOG(BE207/$P$207)/LOG(2))</f>
        <v>74.35464741704466</v>
      </c>
      <c r="BF208" s="189">
        <f t="shared" ref="BF208" si="120">(BF182-$P$182)/(LOG(BF207/$P$207)/LOG(2))</f>
        <v>81.975117826809281</v>
      </c>
      <c r="BG208" s="189">
        <f t="shared" si="111"/>
        <v>95.377522315434575</v>
      </c>
      <c r="BH208" s="190">
        <f t="shared" si="111"/>
        <v>97.794328310757805</v>
      </c>
    </row>
    <row r="209" spans="1:60" x14ac:dyDescent="0.25">
      <c r="A209" s="41" t="s">
        <v>193</v>
      </c>
      <c r="B209" s="16"/>
      <c r="C209" s="16"/>
      <c r="D209" s="16"/>
      <c r="E209" s="16"/>
      <c r="F209" s="16"/>
      <c r="G209" s="16"/>
      <c r="H209" s="16"/>
      <c r="I209" s="16"/>
      <c r="J209" s="16"/>
      <c r="K209" s="16"/>
      <c r="L209" s="16"/>
      <c r="M209" s="16"/>
      <c r="N209" s="16"/>
      <c r="O209" s="16"/>
      <c r="P209" s="266">
        <v>14</v>
      </c>
      <c r="Q209" s="263">
        <v>51</v>
      </c>
      <c r="R209" s="263">
        <v>70</v>
      </c>
      <c r="S209" s="263">
        <v>102</v>
      </c>
      <c r="T209" s="263">
        <v>246</v>
      </c>
      <c r="U209" s="263">
        <v>608</v>
      </c>
      <c r="V209" s="263">
        <v>1390</v>
      </c>
      <c r="W209" s="263">
        <v>2355</v>
      </c>
      <c r="X209" s="263">
        <v>4207</v>
      </c>
      <c r="Y209" s="263">
        <v>8341</v>
      </c>
      <c r="Z209" s="263">
        <v>15608</v>
      </c>
      <c r="AA209" s="263">
        <v>36304</v>
      </c>
      <c r="AB209" s="263">
        <v>71401</v>
      </c>
      <c r="AC209" s="263">
        <v>161932</v>
      </c>
      <c r="AD209" s="263">
        <v>400623</v>
      </c>
      <c r="AE209" s="263">
        <v>505584</v>
      </c>
      <c r="AF209" s="263">
        <v>593640</v>
      </c>
      <c r="AG209" s="263">
        <v>680047</v>
      </c>
      <c r="AH209" s="263">
        <v>763531</v>
      </c>
      <c r="AI209" s="263">
        <v>998445</v>
      </c>
      <c r="AJ209" s="267"/>
      <c r="AK209" s="267"/>
      <c r="AL209" s="267"/>
      <c r="AM209" s="267"/>
      <c r="AN209" s="267"/>
      <c r="AO209" s="267"/>
      <c r="AP209" s="267"/>
      <c r="AQ209" s="267"/>
      <c r="AR209" s="267"/>
      <c r="AS209" s="267"/>
      <c r="AT209" s="267"/>
      <c r="AU209" s="267"/>
      <c r="AV209" s="267"/>
      <c r="AW209" s="267"/>
      <c r="AX209" s="267"/>
      <c r="AY209" s="267"/>
      <c r="AZ209" s="267"/>
      <c r="BA209" s="267"/>
      <c r="BB209" s="189"/>
      <c r="BC209" s="189"/>
      <c r="BD209" s="189"/>
      <c r="BE209" s="189"/>
      <c r="BF209" s="189"/>
      <c r="BG209" s="189"/>
      <c r="BH209" s="190"/>
    </row>
    <row r="210" spans="1:60" x14ac:dyDescent="0.25">
      <c r="A210" s="41" t="s">
        <v>63</v>
      </c>
      <c r="B210" s="16"/>
      <c r="C210" s="16"/>
      <c r="D210" s="16"/>
      <c r="E210" s="16"/>
      <c r="F210" s="16"/>
      <c r="G210" s="16"/>
      <c r="H210" s="16"/>
      <c r="I210" s="16"/>
      <c r="J210" s="16"/>
      <c r="K210" s="16"/>
      <c r="L210" s="16"/>
      <c r="M210" s="16"/>
      <c r="N210" s="16"/>
      <c r="O210" s="16"/>
      <c r="P210" s="233">
        <f>P207-P211-P209</f>
        <v>21</v>
      </c>
      <c r="Q210" s="149">
        <f t="shared" ref="Q210:AE210" si="121">Q207-Q211-Q209</f>
        <v>16</v>
      </c>
      <c r="R210" s="149">
        <f t="shared" si="121"/>
        <v>45</v>
      </c>
      <c r="S210" s="149">
        <f t="shared" si="121"/>
        <v>107</v>
      </c>
      <c r="T210" s="149">
        <f t="shared" si="121"/>
        <v>273</v>
      </c>
      <c r="U210" s="149">
        <f t="shared" si="121"/>
        <v>655</v>
      </c>
      <c r="V210" s="149">
        <f t="shared" si="121"/>
        <v>1323</v>
      </c>
      <c r="W210" s="149">
        <f t="shared" si="121"/>
        <v>2154</v>
      </c>
      <c r="X210" s="149">
        <f t="shared" si="121"/>
        <v>4939</v>
      </c>
      <c r="Y210" s="149">
        <f t="shared" si="121"/>
        <v>10901</v>
      </c>
      <c r="Z210" s="149">
        <f t="shared" si="121"/>
        <v>17723</v>
      </c>
      <c r="AA210" s="149">
        <f t="shared" si="121"/>
        <v>31341</v>
      </c>
      <c r="AB210" s="149">
        <f t="shared" si="121"/>
        <v>50633</v>
      </c>
      <c r="AC210" s="149">
        <f t="shared" si="121"/>
        <v>81200</v>
      </c>
      <c r="AD210" s="149">
        <f t="shared" si="121"/>
        <v>115257</v>
      </c>
      <c r="AE210" s="149">
        <f t="shared" si="121"/>
        <v>114178</v>
      </c>
      <c r="AF210" s="149">
        <f t="shared" ref="AF210:AH210" si="122">AF207-AF211-AF209</f>
        <v>135473</v>
      </c>
      <c r="AG210" s="149">
        <f t="shared" si="122"/>
        <v>155993</v>
      </c>
      <c r="AH210" s="149">
        <f t="shared" si="122"/>
        <v>190030</v>
      </c>
      <c r="AI210" s="149">
        <f t="shared" ref="AI210" si="123">AI207-AI211-AI209</f>
        <v>217250</v>
      </c>
      <c r="AJ210" s="253">
        <v>318027</v>
      </c>
      <c r="AK210" s="253"/>
      <c r="AL210" s="253"/>
      <c r="AM210" s="185"/>
      <c r="AN210" s="185"/>
      <c r="AO210" s="185"/>
      <c r="AP210" s="185"/>
      <c r="AQ210" s="185"/>
      <c r="AR210" s="185"/>
      <c r="AS210" s="185"/>
      <c r="AT210" s="185"/>
      <c r="AU210" s="185"/>
      <c r="AV210" s="185"/>
      <c r="AW210" s="185"/>
      <c r="AX210" s="185"/>
      <c r="AY210" s="185"/>
      <c r="AZ210" s="185"/>
      <c r="BA210" s="185"/>
      <c r="BB210" s="187"/>
      <c r="BC210" s="107"/>
      <c r="BD210" s="107"/>
      <c r="BE210" s="107"/>
      <c r="BF210" s="107"/>
      <c r="BG210" s="107"/>
      <c r="BH210" s="108"/>
    </row>
    <row r="211" spans="1:60" x14ac:dyDescent="0.25">
      <c r="A211" s="49" t="s">
        <v>43</v>
      </c>
      <c r="B211" s="38"/>
      <c r="C211" s="39"/>
      <c r="D211" s="39"/>
      <c r="E211" s="39"/>
      <c r="F211" s="39"/>
      <c r="G211" s="39"/>
      <c r="H211" s="39"/>
      <c r="I211" s="39"/>
      <c r="J211" s="39"/>
      <c r="K211" s="39"/>
      <c r="L211" s="39"/>
      <c r="M211" s="39"/>
      <c r="N211" s="39"/>
      <c r="O211" s="39"/>
      <c r="P211" s="67">
        <v>0</v>
      </c>
      <c r="Q211" s="68">
        <v>1</v>
      </c>
      <c r="R211" s="52">
        <v>9</v>
      </c>
      <c r="S211" s="52">
        <v>12</v>
      </c>
      <c r="T211" s="52">
        <v>22</v>
      </c>
      <c r="U211" s="52">
        <v>38</v>
      </c>
      <c r="V211" s="52">
        <v>58</v>
      </c>
      <c r="W211" s="52">
        <v>95</v>
      </c>
      <c r="X211" s="52">
        <v>171</v>
      </c>
      <c r="Y211" s="52">
        <v>309</v>
      </c>
      <c r="Z211" s="52">
        <v>509</v>
      </c>
      <c r="AA211" s="52">
        <v>1260</v>
      </c>
      <c r="AB211" s="52">
        <v>2754</v>
      </c>
      <c r="AC211" s="52">
        <v>7576</v>
      </c>
      <c r="AD211" s="52">
        <v>24062</v>
      </c>
      <c r="AE211" s="52">
        <v>32712</v>
      </c>
      <c r="AF211" s="52">
        <v>40901</v>
      </c>
      <c r="AG211" s="52">
        <v>50234</v>
      </c>
      <c r="AH211" s="52">
        <v>56795</v>
      </c>
      <c r="AI211" s="52">
        <v>76928</v>
      </c>
      <c r="AJ211" s="254">
        <v>86912</v>
      </c>
      <c r="AK211" s="254"/>
      <c r="AL211" s="254"/>
      <c r="AM211" s="186"/>
      <c r="AN211" s="186"/>
      <c r="AO211" s="186"/>
      <c r="AP211" s="186"/>
      <c r="AQ211" s="186"/>
      <c r="AR211" s="186"/>
      <c r="AS211" s="186"/>
      <c r="AT211" s="186"/>
      <c r="AU211" s="186"/>
      <c r="AV211" s="186"/>
      <c r="AW211" s="186"/>
      <c r="AX211" s="186"/>
      <c r="AY211" s="186"/>
      <c r="AZ211" s="186"/>
      <c r="BA211" s="186"/>
      <c r="BB211" s="187"/>
      <c r="BC211" s="107"/>
      <c r="BD211" s="107"/>
      <c r="BE211" s="107"/>
      <c r="BF211" s="107"/>
      <c r="BG211" s="107"/>
      <c r="BH211" s="108"/>
    </row>
    <row r="212" spans="1:60" x14ac:dyDescent="0.25">
      <c r="B212" s="3"/>
      <c r="P212" s="35"/>
      <c r="Q212" s="35"/>
      <c r="R212" s="35"/>
      <c r="S212" s="35"/>
      <c r="T212" s="35"/>
      <c r="U212" s="35"/>
      <c r="V212" s="35"/>
      <c r="W212" s="35"/>
      <c r="X212" s="35"/>
      <c r="Y212" s="35"/>
      <c r="Z212" s="35"/>
      <c r="AA212" s="35"/>
      <c r="AB212" s="35"/>
      <c r="AC212" s="35"/>
      <c r="AD212" s="35"/>
      <c r="AE212" s="35"/>
      <c r="AF212" s="35"/>
      <c r="AG212" s="35"/>
      <c r="AH212" s="35"/>
      <c r="AI212" s="35"/>
      <c r="AJ212" s="35"/>
      <c r="AK212" s="35"/>
      <c r="AL212" s="35"/>
      <c r="AM212" s="35"/>
      <c r="AN212" s="35"/>
      <c r="AO212" s="35"/>
      <c r="AP212" s="35"/>
      <c r="AQ212" s="35"/>
      <c r="AR212" s="35"/>
      <c r="AS212" s="35"/>
      <c r="AT212" s="35"/>
      <c r="AU212" s="35"/>
    </row>
    <row r="213" spans="1:60" x14ac:dyDescent="0.25">
      <c r="A213" s="74" t="s">
        <v>49</v>
      </c>
      <c r="AQ213" s="16"/>
      <c r="AR213" s="16"/>
      <c r="AS213" s="16"/>
      <c r="AT213" s="16"/>
      <c r="AU213" s="16"/>
    </row>
    <row r="214" spans="1:60" x14ac:dyDescent="0.25">
      <c r="A214" s="4" t="s">
        <v>0</v>
      </c>
      <c r="B214" s="193" t="s">
        <v>118</v>
      </c>
      <c r="C214" s="5" t="s">
        <v>3</v>
      </c>
      <c r="D214" s="193" t="s">
        <v>51</v>
      </c>
      <c r="E214" s="58" t="s">
        <v>2</v>
      </c>
      <c r="F214" s="9" t="s">
        <v>3</v>
      </c>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5"/>
      <c r="BH214" s="47"/>
    </row>
    <row r="215" spans="1:60" x14ac:dyDescent="0.25">
      <c r="A215" s="41" t="s">
        <v>12</v>
      </c>
      <c r="B215" s="13">
        <f>'Population by Age - Wikipedia'!D41</f>
        <v>3.6394890344941602E-2</v>
      </c>
      <c r="C215" s="12">
        <f>$B$167*B215</f>
        <v>12030895.124320794</v>
      </c>
      <c r="D215" s="22">
        <f>'AU Infection Rate by Age'!C4</f>
        <v>2.8847876724601325E-2</v>
      </c>
      <c r="E215" s="5"/>
      <c r="F215" s="16"/>
      <c r="G215" s="16"/>
      <c r="H215" s="16"/>
      <c r="I215" s="16"/>
      <c r="J215" s="16"/>
      <c r="K215" s="16"/>
      <c r="L215" s="16"/>
      <c r="M215" s="16"/>
      <c r="N215" s="16"/>
      <c r="O215" s="16"/>
      <c r="P215" s="18">
        <f t="shared" ref="P215:BG215" si="124">P$183*$D$215</f>
        <v>0.90149614764379138</v>
      </c>
      <c r="Q215" s="19">
        <f t="shared" si="124"/>
        <v>1.8029922952875828</v>
      </c>
      <c r="R215" s="19">
        <f t="shared" si="124"/>
        <v>3.6059845905751655</v>
      </c>
      <c r="S215" s="19">
        <f t="shared" si="124"/>
        <v>7.211969181150331</v>
      </c>
      <c r="T215" s="19">
        <f t="shared" si="124"/>
        <v>14.423938362300662</v>
      </c>
      <c r="U215" s="19">
        <f t="shared" si="124"/>
        <v>28.847876724601324</v>
      </c>
      <c r="V215" s="19">
        <f t="shared" si="124"/>
        <v>57.695753449202648</v>
      </c>
      <c r="W215" s="19">
        <f t="shared" si="124"/>
        <v>115.3915068984053</v>
      </c>
      <c r="X215" s="19">
        <f t="shared" si="124"/>
        <v>230.78301379681059</v>
      </c>
      <c r="Y215" s="19">
        <f t="shared" si="124"/>
        <v>461.56602759362119</v>
      </c>
      <c r="Z215" s="19">
        <f t="shared" si="124"/>
        <v>923.13205518724237</v>
      </c>
      <c r="AA215" s="19">
        <f t="shared" si="124"/>
        <v>1846.2641103744847</v>
      </c>
      <c r="AB215" s="19">
        <f t="shared" si="124"/>
        <v>3692.5282207489695</v>
      </c>
      <c r="AC215" s="19">
        <f t="shared" si="124"/>
        <v>7385.056441497939</v>
      </c>
      <c r="AD215" s="19">
        <f t="shared" si="124"/>
        <v>14770.112882995878</v>
      </c>
      <c r="AE215" s="19">
        <f t="shared" si="124"/>
        <v>18462.641103744849</v>
      </c>
      <c r="AF215" s="19">
        <f t="shared" si="124"/>
        <v>22155.169324493818</v>
      </c>
      <c r="AG215" s="19">
        <f t="shared" si="124"/>
        <v>25847.697545242787</v>
      </c>
      <c r="AH215" s="19">
        <f t="shared" si="124"/>
        <v>29540.225765991756</v>
      </c>
      <c r="AI215" s="19">
        <f t="shared" si="124"/>
        <v>36925.282207489698</v>
      </c>
      <c r="AJ215" s="19">
        <f t="shared" si="124"/>
        <v>44310.338648987636</v>
      </c>
      <c r="AK215" s="19">
        <f t="shared" si="124"/>
        <v>51695.395090485574</v>
      </c>
      <c r="AL215" s="19">
        <f t="shared" si="124"/>
        <v>59080.451531983512</v>
      </c>
      <c r="AM215" s="19">
        <f t="shared" si="124"/>
        <v>70896.541838380217</v>
      </c>
      <c r="AN215" s="19">
        <f t="shared" si="124"/>
        <v>82712.632144776915</v>
      </c>
      <c r="AO215" s="19">
        <f t="shared" si="124"/>
        <v>94528.722451173628</v>
      </c>
      <c r="AP215" s="19">
        <f t="shared" si="124"/>
        <v>106344.81275757033</v>
      </c>
      <c r="AQ215" s="19">
        <f t="shared" si="124"/>
        <v>118160.90306396702</v>
      </c>
      <c r="AR215" s="19">
        <f t="shared" si="124"/>
        <v>141793.08367676043</v>
      </c>
      <c r="AS215" s="19">
        <f t="shared" si="124"/>
        <v>165425.26428955383</v>
      </c>
      <c r="AT215" s="19">
        <f t="shared" si="124"/>
        <v>189057.44490234726</v>
      </c>
      <c r="AU215" s="19">
        <f t="shared" si="124"/>
        <v>212689.62551514065</v>
      </c>
      <c r="AV215" s="19">
        <f t="shared" si="124"/>
        <v>236321.80612793405</v>
      </c>
      <c r="AW215" s="19">
        <f t="shared" si="124"/>
        <v>283586.16735352087</v>
      </c>
      <c r="AX215" s="19">
        <f t="shared" si="124"/>
        <v>330850.52857910766</v>
      </c>
      <c r="AY215" s="19">
        <f t="shared" si="124"/>
        <v>378114.88980469451</v>
      </c>
      <c r="AZ215" s="19">
        <f t="shared" si="124"/>
        <v>425379.2510302813</v>
      </c>
      <c r="BA215" s="19">
        <f t="shared" si="124"/>
        <v>472643.61225586809</v>
      </c>
      <c r="BB215" s="18">
        <f t="shared" si="124"/>
        <v>945287.22451173619</v>
      </c>
      <c r="BC215" s="19">
        <f t="shared" si="124"/>
        <v>1890574.4490234724</v>
      </c>
      <c r="BD215" s="19">
        <f t="shared" si="124"/>
        <v>3781148.8980469448</v>
      </c>
      <c r="BE215" s="19">
        <f t="shared" si="124"/>
        <v>7562297.7960938895</v>
      </c>
      <c r="BF215" s="19">
        <f t="shared" si="124"/>
        <v>9536112.7934061997</v>
      </c>
      <c r="BG215" s="60">
        <f t="shared" si="124"/>
        <v>9536112.7934061997</v>
      </c>
      <c r="BH215" s="45"/>
    </row>
    <row r="216" spans="1:60" x14ac:dyDescent="0.25">
      <c r="A216" s="41"/>
      <c r="B216" s="6"/>
      <c r="C216" s="10"/>
      <c r="D216" s="8"/>
      <c r="E216" s="27">
        <v>0.14799999999999999</v>
      </c>
      <c r="F216" s="10"/>
      <c r="G216" s="10"/>
      <c r="H216" s="10"/>
      <c r="I216" s="10"/>
      <c r="J216" s="10"/>
      <c r="K216" s="10"/>
      <c r="L216" s="10"/>
      <c r="M216" s="10"/>
      <c r="N216" s="10"/>
      <c r="O216" s="10"/>
      <c r="P216" s="29">
        <f t="shared" ref="P216:BG216" si="125">P$183*$D$215*$E$216</f>
        <v>0.13342142985128111</v>
      </c>
      <c r="Q216" s="30">
        <f t="shared" si="125"/>
        <v>0.26684285970256222</v>
      </c>
      <c r="R216" s="30">
        <f t="shared" si="125"/>
        <v>0.53368571940512444</v>
      </c>
      <c r="S216" s="30">
        <f t="shared" si="125"/>
        <v>1.0673714388102489</v>
      </c>
      <c r="T216" s="30">
        <f t="shared" si="125"/>
        <v>2.1347428776204977</v>
      </c>
      <c r="U216" s="30">
        <f t="shared" si="125"/>
        <v>4.2694857552409955</v>
      </c>
      <c r="V216" s="30">
        <f t="shared" si="125"/>
        <v>8.538971510481991</v>
      </c>
      <c r="W216" s="30">
        <f t="shared" si="125"/>
        <v>17.077943020963982</v>
      </c>
      <c r="X216" s="30">
        <f t="shared" si="125"/>
        <v>34.155886041927964</v>
      </c>
      <c r="Y216" s="30">
        <f t="shared" si="125"/>
        <v>68.311772083855928</v>
      </c>
      <c r="Z216" s="30">
        <f t="shared" si="125"/>
        <v>136.62354416771186</v>
      </c>
      <c r="AA216" s="30">
        <f t="shared" si="125"/>
        <v>273.24708833542371</v>
      </c>
      <c r="AB216" s="30">
        <f t="shared" si="125"/>
        <v>546.49417667084742</v>
      </c>
      <c r="AC216" s="30">
        <f t="shared" si="125"/>
        <v>1092.9883533416948</v>
      </c>
      <c r="AD216" s="30">
        <f t="shared" si="125"/>
        <v>2185.9767066833897</v>
      </c>
      <c r="AE216" s="30">
        <f t="shared" si="125"/>
        <v>2732.4708833542377</v>
      </c>
      <c r="AF216" s="30">
        <f t="shared" si="125"/>
        <v>3278.9650600250848</v>
      </c>
      <c r="AG216" s="30">
        <f t="shared" si="125"/>
        <v>3825.4592366959323</v>
      </c>
      <c r="AH216" s="30">
        <f t="shared" si="125"/>
        <v>4371.9534133667794</v>
      </c>
      <c r="AI216" s="30">
        <f t="shared" si="125"/>
        <v>5464.9417667084754</v>
      </c>
      <c r="AJ216" s="30">
        <f t="shared" si="125"/>
        <v>6557.9301200501695</v>
      </c>
      <c r="AK216" s="30">
        <f t="shared" si="125"/>
        <v>7650.9184733918646</v>
      </c>
      <c r="AL216" s="30">
        <f t="shared" si="125"/>
        <v>8743.9068267335588</v>
      </c>
      <c r="AM216" s="30">
        <f t="shared" si="125"/>
        <v>10492.688192080272</v>
      </c>
      <c r="AN216" s="30">
        <f t="shared" si="125"/>
        <v>12241.469557426983</v>
      </c>
      <c r="AO216" s="30">
        <f t="shared" si="125"/>
        <v>13990.250922773695</v>
      </c>
      <c r="AP216" s="30">
        <f t="shared" si="125"/>
        <v>15739.032288120407</v>
      </c>
      <c r="AQ216" s="30">
        <f t="shared" si="125"/>
        <v>17487.813653467118</v>
      </c>
      <c r="AR216" s="30">
        <f t="shared" si="125"/>
        <v>20985.376384160543</v>
      </c>
      <c r="AS216" s="30">
        <f t="shared" si="125"/>
        <v>24482.939114853965</v>
      </c>
      <c r="AT216" s="30">
        <f t="shared" si="125"/>
        <v>27980.501845547391</v>
      </c>
      <c r="AU216" s="30">
        <f t="shared" si="125"/>
        <v>31478.064576240813</v>
      </c>
      <c r="AV216" s="30">
        <f t="shared" si="125"/>
        <v>34975.627306934235</v>
      </c>
      <c r="AW216" s="30">
        <f t="shared" si="125"/>
        <v>41970.752768321086</v>
      </c>
      <c r="AX216" s="30">
        <f t="shared" si="125"/>
        <v>48965.878229707931</v>
      </c>
      <c r="AY216" s="30">
        <f t="shared" si="125"/>
        <v>55961.003691094782</v>
      </c>
      <c r="AZ216" s="30">
        <f t="shared" si="125"/>
        <v>62956.129152481626</v>
      </c>
      <c r="BA216" s="30">
        <f t="shared" si="125"/>
        <v>69951.25461386847</v>
      </c>
      <c r="BB216" s="29">
        <f t="shared" si="125"/>
        <v>139902.50922773694</v>
      </c>
      <c r="BC216" s="30">
        <f t="shared" si="125"/>
        <v>279805.01845547388</v>
      </c>
      <c r="BD216" s="30">
        <f t="shared" si="125"/>
        <v>559610.03691094776</v>
      </c>
      <c r="BE216" s="30">
        <f t="shared" si="125"/>
        <v>1119220.0738218955</v>
      </c>
      <c r="BF216" s="30">
        <f t="shared" si="125"/>
        <v>1411344.6934241175</v>
      </c>
      <c r="BG216" s="71">
        <f t="shared" si="125"/>
        <v>1411344.6934241175</v>
      </c>
      <c r="BH216" s="45"/>
    </row>
    <row r="217" spans="1:60" x14ac:dyDescent="0.25">
      <c r="A217" s="41" t="s">
        <v>13</v>
      </c>
      <c r="B217" s="6">
        <f>'Population by Age - Wikipedia'!D37</f>
        <v>5.3752877231864643E-2</v>
      </c>
      <c r="C217" s="10">
        <f t="shared" ref="C217:C231" si="126">$B$167*B217</f>
        <v>17768846.73858995</v>
      </c>
      <c r="D217" s="23">
        <f>'AU Infection Rate by Age'!C5</f>
        <v>0.10661171833004837</v>
      </c>
      <c r="E217" s="17"/>
      <c r="F217" s="16"/>
      <c r="G217" s="16"/>
      <c r="H217" s="16"/>
      <c r="I217" s="16"/>
      <c r="J217" s="16"/>
      <c r="K217" s="16"/>
      <c r="L217" s="16"/>
      <c r="M217" s="16"/>
      <c r="N217" s="16"/>
      <c r="O217" s="16"/>
      <c r="P217" s="20">
        <f t="shared" ref="P217:BG217" si="127">P$183*$D$217</f>
        <v>3.3316161978140117</v>
      </c>
      <c r="Q217" s="21">
        <f t="shared" si="127"/>
        <v>6.6632323956280235</v>
      </c>
      <c r="R217" s="21">
        <f t="shared" si="127"/>
        <v>13.326464791256047</v>
      </c>
      <c r="S217" s="21">
        <f t="shared" si="127"/>
        <v>26.652929582512094</v>
      </c>
      <c r="T217" s="21">
        <f t="shared" si="127"/>
        <v>53.305859165024188</v>
      </c>
      <c r="U217" s="21">
        <f t="shared" si="127"/>
        <v>106.61171833004838</v>
      </c>
      <c r="V217" s="21">
        <f t="shared" si="127"/>
        <v>213.22343666009675</v>
      </c>
      <c r="W217" s="21">
        <f t="shared" si="127"/>
        <v>426.4468733201935</v>
      </c>
      <c r="X217" s="21">
        <f t="shared" si="127"/>
        <v>852.89374664038701</v>
      </c>
      <c r="Y217" s="21">
        <f t="shared" si="127"/>
        <v>1705.787493280774</v>
      </c>
      <c r="Z217" s="21">
        <f t="shared" si="127"/>
        <v>3411.574986561548</v>
      </c>
      <c r="AA217" s="21">
        <f t="shared" si="127"/>
        <v>6823.1499731230961</v>
      </c>
      <c r="AB217" s="21">
        <f t="shared" si="127"/>
        <v>13646.299946246192</v>
      </c>
      <c r="AC217" s="21">
        <f t="shared" si="127"/>
        <v>27292.599892492384</v>
      </c>
      <c r="AD217" s="21">
        <f t="shared" si="127"/>
        <v>54585.199784984768</v>
      </c>
      <c r="AE217" s="21">
        <f t="shared" si="127"/>
        <v>68231.499731230957</v>
      </c>
      <c r="AF217" s="21">
        <f t="shared" si="127"/>
        <v>81877.799677477145</v>
      </c>
      <c r="AG217" s="21">
        <f t="shared" si="127"/>
        <v>95524.099623723334</v>
      </c>
      <c r="AH217" s="21">
        <f t="shared" si="127"/>
        <v>109170.39956996954</v>
      </c>
      <c r="AI217" s="21">
        <f t="shared" si="127"/>
        <v>136462.99946246191</v>
      </c>
      <c r="AJ217" s="21">
        <f t="shared" si="127"/>
        <v>163755.59935495429</v>
      </c>
      <c r="AK217" s="21">
        <f t="shared" si="127"/>
        <v>191048.19924744667</v>
      </c>
      <c r="AL217" s="21">
        <f t="shared" si="127"/>
        <v>218340.79913993907</v>
      </c>
      <c r="AM217" s="21">
        <f t="shared" si="127"/>
        <v>262008.95896792688</v>
      </c>
      <c r="AN217" s="21">
        <f t="shared" si="127"/>
        <v>305677.11879591469</v>
      </c>
      <c r="AO217" s="21">
        <f t="shared" si="127"/>
        <v>349345.27862390253</v>
      </c>
      <c r="AP217" s="21">
        <f t="shared" si="127"/>
        <v>393013.43845189031</v>
      </c>
      <c r="AQ217" s="21">
        <f t="shared" si="127"/>
        <v>436681.59827987815</v>
      </c>
      <c r="AR217" s="21">
        <f t="shared" si="127"/>
        <v>524017.91793585377</v>
      </c>
      <c r="AS217" s="21">
        <f t="shared" si="127"/>
        <v>611354.23759182938</v>
      </c>
      <c r="AT217" s="21">
        <f t="shared" si="127"/>
        <v>698690.55724780506</v>
      </c>
      <c r="AU217" s="21">
        <f t="shared" si="127"/>
        <v>786026.87690378062</v>
      </c>
      <c r="AV217" s="21">
        <f t="shared" si="127"/>
        <v>873363.1965597563</v>
      </c>
      <c r="AW217" s="21">
        <f t="shared" si="127"/>
        <v>1048035.8358717075</v>
      </c>
      <c r="AX217" s="21">
        <f t="shared" si="127"/>
        <v>1222708.4751836588</v>
      </c>
      <c r="AY217" s="21">
        <f t="shared" si="127"/>
        <v>1397381.1144956101</v>
      </c>
      <c r="AZ217" s="21">
        <f t="shared" si="127"/>
        <v>1572053.7538075612</v>
      </c>
      <c r="BA217" s="21">
        <f t="shared" si="127"/>
        <v>1746726.3931195126</v>
      </c>
      <c r="BB217" s="20">
        <f t="shared" si="127"/>
        <v>3493452.7862390252</v>
      </c>
      <c r="BC217" s="21">
        <f t="shared" si="127"/>
        <v>6986905.5724780504</v>
      </c>
      <c r="BD217" s="21">
        <f t="shared" si="127"/>
        <v>13973811.144956101</v>
      </c>
      <c r="BE217" s="21">
        <f t="shared" si="127"/>
        <v>27947622.289912201</v>
      </c>
      <c r="BF217" s="21">
        <f t="shared" si="127"/>
        <v>35242155.975631602</v>
      </c>
      <c r="BG217" s="72">
        <f t="shared" si="127"/>
        <v>35242155.975631602</v>
      </c>
      <c r="BH217" s="45"/>
    </row>
    <row r="218" spans="1:60" x14ac:dyDescent="0.25">
      <c r="A218" s="41"/>
      <c r="B218" s="6"/>
      <c r="C218" s="10"/>
      <c r="D218" s="8"/>
      <c r="E218" s="27">
        <v>0.08</v>
      </c>
      <c r="F218" s="10"/>
      <c r="G218" s="10"/>
      <c r="H218" s="10"/>
      <c r="I218" s="10"/>
      <c r="J218" s="10"/>
      <c r="K218" s="10"/>
      <c r="L218" s="10"/>
      <c r="M218" s="10"/>
      <c r="N218" s="10"/>
      <c r="O218" s="10"/>
      <c r="P218" s="29">
        <f t="shared" ref="P218:BG218" si="128">P$183*$D$217*$E$218</f>
        <v>0.26652929582512097</v>
      </c>
      <c r="Q218" s="30">
        <f t="shared" si="128"/>
        <v>0.53305859165024194</v>
      </c>
      <c r="R218" s="30">
        <f t="shared" si="128"/>
        <v>1.0661171833004839</v>
      </c>
      <c r="S218" s="30">
        <f t="shared" si="128"/>
        <v>2.1322343666009678</v>
      </c>
      <c r="T218" s="30">
        <f t="shared" si="128"/>
        <v>4.2644687332019355</v>
      </c>
      <c r="U218" s="30">
        <f t="shared" si="128"/>
        <v>8.5289374664038711</v>
      </c>
      <c r="V218" s="30">
        <f t="shared" si="128"/>
        <v>17.057874932807742</v>
      </c>
      <c r="W218" s="30">
        <f t="shared" si="128"/>
        <v>34.115749865615484</v>
      </c>
      <c r="X218" s="30">
        <f t="shared" si="128"/>
        <v>68.231499731230969</v>
      </c>
      <c r="Y218" s="30">
        <f t="shared" si="128"/>
        <v>136.46299946246194</v>
      </c>
      <c r="Z218" s="30">
        <f t="shared" si="128"/>
        <v>272.92599892492387</v>
      </c>
      <c r="AA218" s="30">
        <f t="shared" si="128"/>
        <v>545.85199784984775</v>
      </c>
      <c r="AB218" s="30">
        <f t="shared" si="128"/>
        <v>1091.7039956996955</v>
      </c>
      <c r="AC218" s="30">
        <f t="shared" si="128"/>
        <v>2183.407991399391</v>
      </c>
      <c r="AD218" s="30">
        <f t="shared" si="128"/>
        <v>4366.815982798782</v>
      </c>
      <c r="AE218" s="30">
        <f t="shared" si="128"/>
        <v>5458.519978498477</v>
      </c>
      <c r="AF218" s="30">
        <f t="shared" si="128"/>
        <v>6550.2239741981721</v>
      </c>
      <c r="AG218" s="30">
        <f t="shared" si="128"/>
        <v>7641.9279698978671</v>
      </c>
      <c r="AH218" s="30">
        <f t="shared" si="128"/>
        <v>8733.631965597564</v>
      </c>
      <c r="AI218" s="30">
        <f t="shared" si="128"/>
        <v>10917.039956996954</v>
      </c>
      <c r="AJ218" s="30">
        <f t="shared" si="128"/>
        <v>13100.447948396344</v>
      </c>
      <c r="AK218" s="30">
        <f t="shared" si="128"/>
        <v>15283.855939795734</v>
      </c>
      <c r="AL218" s="30">
        <f t="shared" si="128"/>
        <v>17467.263931195128</v>
      </c>
      <c r="AM218" s="30">
        <f t="shared" si="128"/>
        <v>20960.716717434152</v>
      </c>
      <c r="AN218" s="30">
        <f t="shared" si="128"/>
        <v>24454.169503673176</v>
      </c>
      <c r="AO218" s="30">
        <f t="shared" si="128"/>
        <v>27947.622289912204</v>
      </c>
      <c r="AP218" s="30">
        <f t="shared" si="128"/>
        <v>31441.075076151224</v>
      </c>
      <c r="AQ218" s="30">
        <f t="shared" si="128"/>
        <v>34934.527862390256</v>
      </c>
      <c r="AR218" s="30">
        <f t="shared" si="128"/>
        <v>41921.433434868304</v>
      </c>
      <c r="AS218" s="30">
        <f t="shared" si="128"/>
        <v>48908.339007346352</v>
      </c>
      <c r="AT218" s="30">
        <f t="shared" si="128"/>
        <v>55895.244579824408</v>
      </c>
      <c r="AU218" s="30">
        <f t="shared" si="128"/>
        <v>62882.150152302449</v>
      </c>
      <c r="AV218" s="30">
        <f t="shared" si="128"/>
        <v>69869.055724780512</v>
      </c>
      <c r="AW218" s="30">
        <f t="shared" si="128"/>
        <v>83842.866869736608</v>
      </c>
      <c r="AX218" s="30">
        <f t="shared" si="128"/>
        <v>97816.678014692705</v>
      </c>
      <c r="AY218" s="30">
        <f t="shared" si="128"/>
        <v>111790.48915964882</v>
      </c>
      <c r="AZ218" s="30">
        <f t="shared" si="128"/>
        <v>125764.3003046049</v>
      </c>
      <c r="BA218" s="30">
        <f t="shared" si="128"/>
        <v>139738.11144956102</v>
      </c>
      <c r="BB218" s="29">
        <f t="shared" si="128"/>
        <v>279476.22289912205</v>
      </c>
      <c r="BC218" s="30">
        <f t="shared" si="128"/>
        <v>558952.44579824409</v>
      </c>
      <c r="BD218" s="30">
        <f t="shared" si="128"/>
        <v>1117904.8915964882</v>
      </c>
      <c r="BE218" s="30">
        <f t="shared" si="128"/>
        <v>2235809.7831929764</v>
      </c>
      <c r="BF218" s="30">
        <f t="shared" si="128"/>
        <v>2819372.4780505281</v>
      </c>
      <c r="BG218" s="71">
        <f t="shared" si="128"/>
        <v>2819372.4780505281</v>
      </c>
      <c r="BH218" s="45"/>
    </row>
    <row r="219" spans="1:60" x14ac:dyDescent="0.25">
      <c r="A219" s="41" t="s">
        <v>14</v>
      </c>
      <c r="B219" s="6">
        <f>'Population by Age - Wikipedia'!D33</f>
        <v>9.4748533661399834E-2</v>
      </c>
      <c r="C219" s="10">
        <f t="shared" si="126"/>
        <v>31320596.404047467</v>
      </c>
      <c r="D219" s="23">
        <f>'AU Infection Rate by Age'!C6</f>
        <v>0.16735352087439526</v>
      </c>
      <c r="E219" s="17"/>
      <c r="F219" s="10"/>
      <c r="G219" s="10"/>
      <c r="H219" s="10"/>
      <c r="I219" s="10"/>
      <c r="J219" s="10"/>
      <c r="K219" s="10"/>
      <c r="L219" s="10"/>
      <c r="M219" s="10"/>
      <c r="N219" s="10"/>
      <c r="O219" s="10"/>
      <c r="P219" s="20">
        <f t="shared" ref="P219:BG219" si="129">P$183*$D$219</f>
        <v>5.2297975273248518</v>
      </c>
      <c r="Q219" s="21">
        <f t="shared" si="129"/>
        <v>10.459595054649704</v>
      </c>
      <c r="R219" s="21">
        <f t="shared" si="129"/>
        <v>20.919190109299407</v>
      </c>
      <c r="S219" s="21">
        <f t="shared" si="129"/>
        <v>41.838380218598815</v>
      </c>
      <c r="T219" s="21">
        <f t="shared" si="129"/>
        <v>83.676760437197629</v>
      </c>
      <c r="U219" s="21">
        <f t="shared" si="129"/>
        <v>167.35352087439526</v>
      </c>
      <c r="V219" s="21">
        <f t="shared" si="129"/>
        <v>334.70704174879052</v>
      </c>
      <c r="W219" s="21">
        <f t="shared" si="129"/>
        <v>669.41408349758103</v>
      </c>
      <c r="X219" s="21">
        <f t="shared" si="129"/>
        <v>1338.8281669951621</v>
      </c>
      <c r="Y219" s="21">
        <f t="shared" si="129"/>
        <v>2677.6563339903241</v>
      </c>
      <c r="Z219" s="21">
        <f t="shared" si="129"/>
        <v>5355.3126679806483</v>
      </c>
      <c r="AA219" s="21">
        <f t="shared" si="129"/>
        <v>10710.625335961297</v>
      </c>
      <c r="AB219" s="21">
        <f t="shared" si="129"/>
        <v>21421.250671922593</v>
      </c>
      <c r="AC219" s="21">
        <f t="shared" si="129"/>
        <v>42842.501343845186</v>
      </c>
      <c r="AD219" s="21">
        <f t="shared" si="129"/>
        <v>85685.002687690372</v>
      </c>
      <c r="AE219" s="21">
        <f t="shared" si="129"/>
        <v>107106.25335961297</v>
      </c>
      <c r="AF219" s="21">
        <f t="shared" si="129"/>
        <v>128527.50403153556</v>
      </c>
      <c r="AG219" s="21">
        <f t="shared" si="129"/>
        <v>149948.75470345814</v>
      </c>
      <c r="AH219" s="21">
        <f t="shared" si="129"/>
        <v>171370.00537538074</v>
      </c>
      <c r="AI219" s="21">
        <f t="shared" si="129"/>
        <v>214212.50671922593</v>
      </c>
      <c r="AJ219" s="21">
        <f t="shared" si="129"/>
        <v>257055.00806307112</v>
      </c>
      <c r="AK219" s="21">
        <f t="shared" si="129"/>
        <v>299897.50940691627</v>
      </c>
      <c r="AL219" s="21">
        <f t="shared" si="129"/>
        <v>342740.01075076149</v>
      </c>
      <c r="AM219" s="21">
        <f t="shared" si="129"/>
        <v>411288.01290091377</v>
      </c>
      <c r="AN219" s="21">
        <f t="shared" si="129"/>
        <v>479836.01505106606</v>
      </c>
      <c r="AO219" s="21">
        <f t="shared" si="129"/>
        <v>548384.0172012184</v>
      </c>
      <c r="AP219" s="21">
        <f t="shared" si="129"/>
        <v>616932.01935137063</v>
      </c>
      <c r="AQ219" s="21">
        <f t="shared" si="129"/>
        <v>685480.02150152298</v>
      </c>
      <c r="AR219" s="21">
        <f t="shared" si="129"/>
        <v>822576.02580182755</v>
      </c>
      <c r="AS219" s="21">
        <f t="shared" si="129"/>
        <v>959672.03010213212</v>
      </c>
      <c r="AT219" s="21">
        <f t="shared" si="129"/>
        <v>1096768.0344024368</v>
      </c>
      <c r="AU219" s="21">
        <f t="shared" si="129"/>
        <v>1233864.0387027413</v>
      </c>
      <c r="AV219" s="21">
        <f t="shared" si="129"/>
        <v>1370960.043003046</v>
      </c>
      <c r="AW219" s="21">
        <f t="shared" si="129"/>
        <v>1645152.0516036551</v>
      </c>
      <c r="AX219" s="21">
        <f t="shared" si="129"/>
        <v>1919344.0602042642</v>
      </c>
      <c r="AY219" s="21">
        <f t="shared" si="129"/>
        <v>2193536.0688048736</v>
      </c>
      <c r="AZ219" s="21">
        <f t="shared" si="129"/>
        <v>2467728.0774054825</v>
      </c>
      <c r="BA219" s="21">
        <f t="shared" si="129"/>
        <v>2741920.0860060919</v>
      </c>
      <c r="BB219" s="20">
        <f t="shared" si="129"/>
        <v>5483840.1720121838</v>
      </c>
      <c r="BC219" s="21">
        <f t="shared" si="129"/>
        <v>10967680.344024368</v>
      </c>
      <c r="BD219" s="21">
        <f t="shared" si="129"/>
        <v>21935360.688048735</v>
      </c>
      <c r="BE219" s="21">
        <f t="shared" si="129"/>
        <v>43870721.376097471</v>
      </c>
      <c r="BF219" s="21">
        <f t="shared" si="129"/>
        <v>55321300.304604903</v>
      </c>
      <c r="BG219" s="72">
        <f t="shared" si="129"/>
        <v>55321300.304604903</v>
      </c>
      <c r="BH219" s="45"/>
    </row>
    <row r="220" spans="1:60" x14ac:dyDescent="0.25">
      <c r="A220" s="41"/>
      <c r="B220" s="6"/>
      <c r="C220" s="10"/>
      <c r="D220" s="8"/>
      <c r="E220" s="27">
        <v>3.5999999999999997E-2</v>
      </c>
      <c r="F220" s="10"/>
      <c r="G220" s="10"/>
      <c r="H220" s="10"/>
      <c r="I220" s="10"/>
      <c r="J220" s="10"/>
      <c r="K220" s="10"/>
      <c r="L220" s="10"/>
      <c r="M220" s="10"/>
      <c r="N220" s="10"/>
      <c r="O220" s="10"/>
      <c r="P220" s="29">
        <f t="shared" ref="P220:BG220" si="130">P$183*$D$219*$E$220</f>
        <v>0.18827271098369466</v>
      </c>
      <c r="Q220" s="30">
        <f t="shared" si="130"/>
        <v>0.37654542196738933</v>
      </c>
      <c r="R220" s="30">
        <f t="shared" si="130"/>
        <v>0.75309084393477865</v>
      </c>
      <c r="S220" s="30">
        <f t="shared" si="130"/>
        <v>1.5061816878695573</v>
      </c>
      <c r="T220" s="30">
        <f t="shared" si="130"/>
        <v>3.0123633757391146</v>
      </c>
      <c r="U220" s="30">
        <f t="shared" si="130"/>
        <v>6.0247267514782292</v>
      </c>
      <c r="V220" s="30">
        <f t="shared" si="130"/>
        <v>12.049453502956458</v>
      </c>
      <c r="W220" s="30">
        <f t="shared" si="130"/>
        <v>24.098907005912917</v>
      </c>
      <c r="X220" s="30">
        <f t="shared" si="130"/>
        <v>48.197814011825834</v>
      </c>
      <c r="Y220" s="30">
        <f t="shared" si="130"/>
        <v>96.395628023651668</v>
      </c>
      <c r="Z220" s="30">
        <f t="shared" si="130"/>
        <v>192.79125604730334</v>
      </c>
      <c r="AA220" s="30">
        <f t="shared" si="130"/>
        <v>385.58251209460667</v>
      </c>
      <c r="AB220" s="30">
        <f t="shared" si="130"/>
        <v>771.16502418921334</v>
      </c>
      <c r="AC220" s="30">
        <f t="shared" si="130"/>
        <v>1542.3300483784267</v>
      </c>
      <c r="AD220" s="30">
        <f t="shared" si="130"/>
        <v>3084.6600967568534</v>
      </c>
      <c r="AE220" s="30">
        <f t="shared" si="130"/>
        <v>3855.8251209460664</v>
      </c>
      <c r="AF220" s="30">
        <f t="shared" si="130"/>
        <v>4626.9901451352798</v>
      </c>
      <c r="AG220" s="30">
        <f t="shared" si="130"/>
        <v>5398.1551693244928</v>
      </c>
      <c r="AH220" s="30">
        <f t="shared" si="130"/>
        <v>6169.3201935137067</v>
      </c>
      <c r="AI220" s="30">
        <f t="shared" si="130"/>
        <v>7711.6502418921327</v>
      </c>
      <c r="AJ220" s="30">
        <f t="shared" si="130"/>
        <v>9253.9802902705596</v>
      </c>
      <c r="AK220" s="30">
        <f t="shared" si="130"/>
        <v>10796.310338648986</v>
      </c>
      <c r="AL220" s="30">
        <f t="shared" si="130"/>
        <v>12338.640387027413</v>
      </c>
      <c r="AM220" s="30">
        <f t="shared" si="130"/>
        <v>14806.368464432895</v>
      </c>
      <c r="AN220" s="30">
        <f t="shared" si="130"/>
        <v>17274.096541838378</v>
      </c>
      <c r="AO220" s="30">
        <f t="shared" si="130"/>
        <v>19741.82461924386</v>
      </c>
      <c r="AP220" s="30">
        <f t="shared" si="130"/>
        <v>22209.552696649342</v>
      </c>
      <c r="AQ220" s="30">
        <f t="shared" si="130"/>
        <v>24677.280774054827</v>
      </c>
      <c r="AR220" s="30">
        <f t="shared" si="130"/>
        <v>29612.73692886579</v>
      </c>
      <c r="AS220" s="30">
        <f t="shared" si="130"/>
        <v>34548.193083676757</v>
      </c>
      <c r="AT220" s="30">
        <f t="shared" si="130"/>
        <v>39483.64923848772</v>
      </c>
      <c r="AU220" s="30">
        <f t="shared" si="130"/>
        <v>44419.105393298683</v>
      </c>
      <c r="AV220" s="30">
        <f t="shared" si="130"/>
        <v>49354.561548109654</v>
      </c>
      <c r="AW220" s="30">
        <f t="shared" si="130"/>
        <v>59225.47385773158</v>
      </c>
      <c r="AX220" s="30">
        <f t="shared" si="130"/>
        <v>69096.386167353514</v>
      </c>
      <c r="AY220" s="30">
        <f t="shared" si="130"/>
        <v>78967.29847697544</v>
      </c>
      <c r="AZ220" s="30">
        <f t="shared" si="130"/>
        <v>88838.210786597367</v>
      </c>
      <c r="BA220" s="30">
        <f t="shared" si="130"/>
        <v>98709.123096219308</v>
      </c>
      <c r="BB220" s="29">
        <f t="shared" si="130"/>
        <v>197418.24619243862</v>
      </c>
      <c r="BC220" s="30">
        <f t="shared" si="130"/>
        <v>394836.49238487723</v>
      </c>
      <c r="BD220" s="30">
        <f t="shared" si="130"/>
        <v>789672.98476975446</v>
      </c>
      <c r="BE220" s="30">
        <f t="shared" si="130"/>
        <v>1579345.9695395089</v>
      </c>
      <c r="BF220" s="30">
        <f t="shared" si="130"/>
        <v>1991566.8109657764</v>
      </c>
      <c r="BG220" s="71">
        <f t="shared" si="130"/>
        <v>1991566.8109657764</v>
      </c>
      <c r="BH220" s="45"/>
    </row>
    <row r="221" spans="1:60" x14ac:dyDescent="0.25">
      <c r="A221" s="41" t="s">
        <v>15</v>
      </c>
      <c r="B221" s="6">
        <f>'Population by Age - Wikipedia'!D29</f>
        <v>0.13591428809571979</v>
      </c>
      <c r="C221" s="10">
        <f t="shared" si="126"/>
        <v>44928574.60150566</v>
      </c>
      <c r="D221" s="23">
        <f>'AU Infection Rate by Age'!C7</f>
        <v>0.15534850385235621</v>
      </c>
      <c r="E221" s="17"/>
      <c r="F221" s="10"/>
      <c r="G221" s="10"/>
      <c r="H221" s="10"/>
      <c r="I221" s="10"/>
      <c r="J221" s="10"/>
      <c r="K221" s="10"/>
      <c r="L221" s="10"/>
      <c r="M221" s="10"/>
      <c r="N221" s="10"/>
      <c r="O221" s="10"/>
      <c r="P221" s="20">
        <f t="shared" ref="P221:BG221" si="131">P$183*$D$221</f>
        <v>4.8546407453861313</v>
      </c>
      <c r="Q221" s="21">
        <f t="shared" si="131"/>
        <v>9.7092814907722627</v>
      </c>
      <c r="R221" s="21">
        <f t="shared" si="131"/>
        <v>19.418562981544525</v>
      </c>
      <c r="S221" s="21">
        <f t="shared" si="131"/>
        <v>38.837125963089051</v>
      </c>
      <c r="T221" s="21">
        <f t="shared" si="131"/>
        <v>77.674251926178101</v>
      </c>
      <c r="U221" s="21">
        <f t="shared" si="131"/>
        <v>155.3485038523562</v>
      </c>
      <c r="V221" s="21">
        <f t="shared" si="131"/>
        <v>310.69700770471241</v>
      </c>
      <c r="W221" s="21">
        <f t="shared" si="131"/>
        <v>621.39401540942481</v>
      </c>
      <c r="X221" s="21">
        <f t="shared" si="131"/>
        <v>1242.7880308188496</v>
      </c>
      <c r="Y221" s="21">
        <f t="shared" si="131"/>
        <v>2485.5760616376992</v>
      </c>
      <c r="Z221" s="21">
        <f t="shared" si="131"/>
        <v>4971.1521232753985</v>
      </c>
      <c r="AA221" s="21">
        <f t="shared" si="131"/>
        <v>9942.304246550797</v>
      </c>
      <c r="AB221" s="21">
        <f t="shared" si="131"/>
        <v>19884.608493101594</v>
      </c>
      <c r="AC221" s="21">
        <f t="shared" si="131"/>
        <v>39769.216986203188</v>
      </c>
      <c r="AD221" s="21">
        <f t="shared" si="131"/>
        <v>79538.433972406376</v>
      </c>
      <c r="AE221" s="21">
        <f t="shared" si="131"/>
        <v>99423.04246550797</v>
      </c>
      <c r="AF221" s="21">
        <f t="shared" si="131"/>
        <v>119307.65095860958</v>
      </c>
      <c r="AG221" s="21">
        <f t="shared" si="131"/>
        <v>139192.25945171117</v>
      </c>
      <c r="AH221" s="21">
        <f t="shared" si="131"/>
        <v>159076.86794481275</v>
      </c>
      <c r="AI221" s="21">
        <f t="shared" si="131"/>
        <v>198846.08493101594</v>
      </c>
      <c r="AJ221" s="21">
        <f t="shared" si="131"/>
        <v>238615.30191721916</v>
      </c>
      <c r="AK221" s="21">
        <f t="shared" si="131"/>
        <v>278384.51890342234</v>
      </c>
      <c r="AL221" s="21">
        <f t="shared" si="131"/>
        <v>318153.7358896255</v>
      </c>
      <c r="AM221" s="21">
        <f t="shared" si="131"/>
        <v>381784.48306755064</v>
      </c>
      <c r="AN221" s="21">
        <f t="shared" si="131"/>
        <v>445415.23024547572</v>
      </c>
      <c r="AO221" s="21">
        <f t="shared" si="131"/>
        <v>509045.97742340085</v>
      </c>
      <c r="AP221" s="21">
        <f t="shared" si="131"/>
        <v>572676.72460132593</v>
      </c>
      <c r="AQ221" s="21">
        <f t="shared" si="131"/>
        <v>636307.47177925101</v>
      </c>
      <c r="AR221" s="21">
        <f t="shared" si="131"/>
        <v>763568.96613510128</v>
      </c>
      <c r="AS221" s="21">
        <f t="shared" si="131"/>
        <v>890830.46049095143</v>
      </c>
      <c r="AT221" s="21">
        <f t="shared" si="131"/>
        <v>1018091.9548468017</v>
      </c>
      <c r="AU221" s="21">
        <f t="shared" si="131"/>
        <v>1145353.4492026519</v>
      </c>
      <c r="AV221" s="21">
        <f t="shared" si="131"/>
        <v>1272614.943558502</v>
      </c>
      <c r="AW221" s="21">
        <f t="shared" si="131"/>
        <v>1527137.9322702026</v>
      </c>
      <c r="AX221" s="21">
        <f t="shared" si="131"/>
        <v>1781660.9209819029</v>
      </c>
      <c r="AY221" s="21">
        <f t="shared" si="131"/>
        <v>2036183.9096936034</v>
      </c>
      <c r="AZ221" s="21">
        <f t="shared" si="131"/>
        <v>2290706.8984053037</v>
      </c>
      <c r="BA221" s="21">
        <f t="shared" si="131"/>
        <v>2545229.887117004</v>
      </c>
      <c r="BB221" s="20">
        <f t="shared" si="131"/>
        <v>5090459.774234008</v>
      </c>
      <c r="BC221" s="21">
        <f t="shared" si="131"/>
        <v>10180919.548468016</v>
      </c>
      <c r="BD221" s="21">
        <f t="shared" si="131"/>
        <v>20361839.096936032</v>
      </c>
      <c r="BE221" s="21">
        <f t="shared" si="131"/>
        <v>40723678.193872064</v>
      </c>
      <c r="BF221" s="21">
        <f t="shared" si="131"/>
        <v>51352855.850206055</v>
      </c>
      <c r="BG221" s="72">
        <f t="shared" si="131"/>
        <v>51352855.850206055</v>
      </c>
      <c r="BH221" s="45"/>
    </row>
    <row r="222" spans="1:60" x14ac:dyDescent="0.25">
      <c r="A222" s="41"/>
      <c r="B222" s="6"/>
      <c r="C222" s="10"/>
      <c r="D222" s="8"/>
      <c r="E222" s="27">
        <v>1.2999999999999999E-2</v>
      </c>
      <c r="F222" s="10"/>
      <c r="G222" s="10"/>
      <c r="H222" s="10"/>
      <c r="I222" s="10"/>
      <c r="J222" s="10"/>
      <c r="K222" s="10"/>
      <c r="L222" s="10"/>
      <c r="M222" s="10"/>
      <c r="N222" s="10"/>
      <c r="O222" s="10"/>
      <c r="P222" s="29">
        <f t="shared" ref="P222:BG222" si="132">P$183*$D$221*$E$222</f>
        <v>6.3110329690019701E-2</v>
      </c>
      <c r="Q222" s="30">
        <f t="shared" si="132"/>
        <v>0.1262206593800394</v>
      </c>
      <c r="R222" s="30">
        <f t="shared" si="132"/>
        <v>0.2524413187600788</v>
      </c>
      <c r="S222" s="30">
        <f t="shared" si="132"/>
        <v>0.50488263752015761</v>
      </c>
      <c r="T222" s="30">
        <f t="shared" si="132"/>
        <v>1.0097652750403152</v>
      </c>
      <c r="U222" s="30">
        <f t="shared" si="132"/>
        <v>2.0195305500806304</v>
      </c>
      <c r="V222" s="30">
        <f t="shared" si="132"/>
        <v>4.0390611001612609</v>
      </c>
      <c r="W222" s="30">
        <f t="shared" si="132"/>
        <v>8.0781222003225217</v>
      </c>
      <c r="X222" s="30">
        <f t="shared" si="132"/>
        <v>16.156244400645043</v>
      </c>
      <c r="Y222" s="30">
        <f t="shared" si="132"/>
        <v>32.312488801290087</v>
      </c>
      <c r="Z222" s="30">
        <f t="shared" si="132"/>
        <v>64.624977602580174</v>
      </c>
      <c r="AA222" s="30">
        <f t="shared" si="132"/>
        <v>129.24995520516035</v>
      </c>
      <c r="AB222" s="30">
        <f t="shared" si="132"/>
        <v>258.49991041032069</v>
      </c>
      <c r="AC222" s="30">
        <f t="shared" si="132"/>
        <v>516.99982082064139</v>
      </c>
      <c r="AD222" s="30">
        <f t="shared" si="132"/>
        <v>1033.9996416412828</v>
      </c>
      <c r="AE222" s="30">
        <f t="shared" si="132"/>
        <v>1292.4995520516036</v>
      </c>
      <c r="AF222" s="30">
        <f t="shared" si="132"/>
        <v>1550.9994624619244</v>
      </c>
      <c r="AG222" s="30">
        <f t="shared" si="132"/>
        <v>1809.4993728722452</v>
      </c>
      <c r="AH222" s="30">
        <f t="shared" si="132"/>
        <v>2067.9992832825656</v>
      </c>
      <c r="AI222" s="30">
        <f t="shared" si="132"/>
        <v>2584.9991041032072</v>
      </c>
      <c r="AJ222" s="30">
        <f t="shared" si="132"/>
        <v>3101.9989249238488</v>
      </c>
      <c r="AK222" s="30">
        <f t="shared" si="132"/>
        <v>3618.9987457444904</v>
      </c>
      <c r="AL222" s="30">
        <f t="shared" si="132"/>
        <v>4135.9985665651311</v>
      </c>
      <c r="AM222" s="30">
        <f t="shared" si="132"/>
        <v>4963.1982798781582</v>
      </c>
      <c r="AN222" s="30">
        <f t="shared" si="132"/>
        <v>5790.3979931911845</v>
      </c>
      <c r="AO222" s="30">
        <f t="shared" si="132"/>
        <v>6617.5977065042107</v>
      </c>
      <c r="AP222" s="30">
        <f t="shared" si="132"/>
        <v>7444.7974198172369</v>
      </c>
      <c r="AQ222" s="30">
        <f t="shared" si="132"/>
        <v>8271.9971331302622</v>
      </c>
      <c r="AR222" s="30">
        <f t="shared" si="132"/>
        <v>9926.3965597563165</v>
      </c>
      <c r="AS222" s="30">
        <f t="shared" si="132"/>
        <v>11580.795986382369</v>
      </c>
      <c r="AT222" s="30">
        <f t="shared" si="132"/>
        <v>13235.195413008421</v>
      </c>
      <c r="AU222" s="30">
        <f t="shared" si="132"/>
        <v>14889.594839634474</v>
      </c>
      <c r="AV222" s="30">
        <f t="shared" si="132"/>
        <v>16543.994266260524</v>
      </c>
      <c r="AW222" s="30">
        <f t="shared" si="132"/>
        <v>19852.793119512633</v>
      </c>
      <c r="AX222" s="30">
        <f t="shared" si="132"/>
        <v>23161.591972764738</v>
      </c>
      <c r="AY222" s="30">
        <f t="shared" si="132"/>
        <v>26470.390826016843</v>
      </c>
      <c r="AZ222" s="30">
        <f t="shared" si="132"/>
        <v>29779.189679268948</v>
      </c>
      <c r="BA222" s="30">
        <f t="shared" si="132"/>
        <v>33087.988532521049</v>
      </c>
      <c r="BB222" s="29">
        <f t="shared" si="132"/>
        <v>66175.977065042098</v>
      </c>
      <c r="BC222" s="30">
        <f t="shared" si="132"/>
        <v>132351.9541300842</v>
      </c>
      <c r="BD222" s="30">
        <f t="shared" si="132"/>
        <v>264703.90826016839</v>
      </c>
      <c r="BE222" s="30">
        <f t="shared" si="132"/>
        <v>529407.81652033678</v>
      </c>
      <c r="BF222" s="30">
        <f t="shared" si="132"/>
        <v>667587.12605267868</v>
      </c>
      <c r="BG222" s="71">
        <f t="shared" si="132"/>
        <v>667587.12605267868</v>
      </c>
      <c r="BH222" s="45"/>
    </row>
    <row r="223" spans="1:60" x14ac:dyDescent="0.25">
      <c r="A223" s="41" t="s">
        <v>16</v>
      </c>
      <c r="B223" s="6">
        <f>'Population by Age - Wikipedia'!D25</f>
        <v>0.14121517441978385</v>
      </c>
      <c r="C223" s="10">
        <f t="shared" si="126"/>
        <v>46680864.739663057</v>
      </c>
      <c r="D223" s="23">
        <f>'AU Infection Rate by Age'!C8</f>
        <v>0.12972585558143701</v>
      </c>
      <c r="E223" s="17"/>
      <c r="F223" s="10"/>
      <c r="G223" s="10"/>
      <c r="H223" s="10"/>
      <c r="I223" s="10"/>
      <c r="J223" s="10"/>
      <c r="K223" s="10"/>
      <c r="L223" s="10"/>
      <c r="M223" s="10"/>
      <c r="N223" s="10"/>
      <c r="O223" s="10"/>
      <c r="P223" s="20">
        <f t="shared" ref="P223:BG223" si="133">P$183*$D$223</f>
        <v>4.0539329869199063</v>
      </c>
      <c r="Q223" s="21">
        <f t="shared" si="133"/>
        <v>8.1078659738398127</v>
      </c>
      <c r="R223" s="21">
        <f t="shared" si="133"/>
        <v>16.215731947679625</v>
      </c>
      <c r="S223" s="21">
        <f t="shared" si="133"/>
        <v>32.431463895359251</v>
      </c>
      <c r="T223" s="21">
        <f t="shared" si="133"/>
        <v>64.862927790718501</v>
      </c>
      <c r="U223" s="21">
        <f t="shared" si="133"/>
        <v>129.725855581437</v>
      </c>
      <c r="V223" s="21">
        <f t="shared" si="133"/>
        <v>259.45171116287401</v>
      </c>
      <c r="W223" s="21">
        <f t="shared" si="133"/>
        <v>518.90342232574801</v>
      </c>
      <c r="X223" s="21">
        <f t="shared" si="133"/>
        <v>1037.806844651496</v>
      </c>
      <c r="Y223" s="21">
        <f t="shared" si="133"/>
        <v>2075.613689302992</v>
      </c>
      <c r="Z223" s="21">
        <f t="shared" si="133"/>
        <v>4151.2273786059841</v>
      </c>
      <c r="AA223" s="21">
        <f t="shared" si="133"/>
        <v>8302.4547572119682</v>
      </c>
      <c r="AB223" s="21">
        <f t="shared" si="133"/>
        <v>16604.909514423936</v>
      </c>
      <c r="AC223" s="21">
        <f t="shared" si="133"/>
        <v>33209.819028847873</v>
      </c>
      <c r="AD223" s="21">
        <f t="shared" si="133"/>
        <v>66419.638057695745</v>
      </c>
      <c r="AE223" s="21">
        <f t="shared" si="133"/>
        <v>83024.547572119685</v>
      </c>
      <c r="AF223" s="21">
        <f t="shared" si="133"/>
        <v>99629.457086543625</v>
      </c>
      <c r="AG223" s="21">
        <f t="shared" si="133"/>
        <v>116234.36660096757</v>
      </c>
      <c r="AH223" s="21">
        <f t="shared" si="133"/>
        <v>132839.27611539149</v>
      </c>
      <c r="AI223" s="21">
        <f t="shared" si="133"/>
        <v>166049.09514423937</v>
      </c>
      <c r="AJ223" s="21">
        <f t="shared" si="133"/>
        <v>199258.91417308725</v>
      </c>
      <c r="AK223" s="21">
        <f t="shared" si="133"/>
        <v>232468.73320193513</v>
      </c>
      <c r="AL223" s="21">
        <f t="shared" si="133"/>
        <v>265678.55223078298</v>
      </c>
      <c r="AM223" s="21">
        <f t="shared" si="133"/>
        <v>318814.2626769396</v>
      </c>
      <c r="AN223" s="21">
        <f t="shared" si="133"/>
        <v>371949.97312309622</v>
      </c>
      <c r="AO223" s="21">
        <f t="shared" si="133"/>
        <v>425085.68356925278</v>
      </c>
      <c r="AP223" s="21">
        <f t="shared" si="133"/>
        <v>478221.3940154094</v>
      </c>
      <c r="AQ223" s="21">
        <f t="shared" si="133"/>
        <v>531357.10446156596</v>
      </c>
      <c r="AR223" s="21">
        <f t="shared" si="133"/>
        <v>637628.5253538792</v>
      </c>
      <c r="AS223" s="21">
        <f t="shared" si="133"/>
        <v>743899.94624619244</v>
      </c>
      <c r="AT223" s="21">
        <f t="shared" si="133"/>
        <v>850171.36713850556</v>
      </c>
      <c r="AU223" s="21">
        <f t="shared" si="133"/>
        <v>956442.7880308188</v>
      </c>
      <c r="AV223" s="21">
        <f t="shared" si="133"/>
        <v>1062714.2089231319</v>
      </c>
      <c r="AW223" s="21">
        <f t="shared" si="133"/>
        <v>1275257.0507077584</v>
      </c>
      <c r="AX223" s="21">
        <f t="shared" si="133"/>
        <v>1487799.8924923849</v>
      </c>
      <c r="AY223" s="21">
        <f t="shared" si="133"/>
        <v>1700342.7342770111</v>
      </c>
      <c r="AZ223" s="21">
        <f t="shared" si="133"/>
        <v>1912885.5760616376</v>
      </c>
      <c r="BA223" s="21">
        <f t="shared" si="133"/>
        <v>2125428.4178462639</v>
      </c>
      <c r="BB223" s="20">
        <f t="shared" si="133"/>
        <v>4250856.8356925277</v>
      </c>
      <c r="BC223" s="21">
        <f t="shared" si="133"/>
        <v>8501713.6713850554</v>
      </c>
      <c r="BD223" s="21">
        <f t="shared" si="133"/>
        <v>17003427.342770111</v>
      </c>
      <c r="BE223" s="21">
        <f t="shared" si="133"/>
        <v>34006854.685540222</v>
      </c>
      <c r="BF223" s="21">
        <f t="shared" si="133"/>
        <v>42882892.313205518</v>
      </c>
      <c r="BG223" s="72">
        <f t="shared" si="133"/>
        <v>42882892.313205518</v>
      </c>
      <c r="BH223" s="45"/>
    </row>
    <row r="224" spans="1:60" x14ac:dyDescent="0.25">
      <c r="A224" s="41"/>
      <c r="B224" s="6"/>
      <c r="C224" s="10"/>
      <c r="D224" s="8"/>
      <c r="E224" s="27">
        <v>4.0000000000000001E-3</v>
      </c>
      <c r="F224" s="10"/>
      <c r="G224" s="10"/>
      <c r="H224" s="10"/>
      <c r="I224" s="10"/>
      <c r="J224" s="10"/>
      <c r="K224" s="10"/>
      <c r="L224" s="10"/>
      <c r="M224" s="10"/>
      <c r="N224" s="10"/>
      <c r="O224" s="10"/>
      <c r="P224" s="29">
        <f t="shared" ref="P224:BG224" si="134">P$183*$D$223*$E$224</f>
        <v>1.6215731947679626E-2</v>
      </c>
      <c r="Q224" s="30">
        <f t="shared" si="134"/>
        <v>3.2431463895359253E-2</v>
      </c>
      <c r="R224" s="30">
        <f t="shared" si="134"/>
        <v>6.4862927790718505E-2</v>
      </c>
      <c r="S224" s="30">
        <f t="shared" si="134"/>
        <v>0.12972585558143701</v>
      </c>
      <c r="T224" s="30">
        <f t="shared" si="134"/>
        <v>0.25945171116287402</v>
      </c>
      <c r="U224" s="30">
        <f t="shared" si="134"/>
        <v>0.51890342232574804</v>
      </c>
      <c r="V224" s="30">
        <f t="shared" si="134"/>
        <v>1.0378068446514961</v>
      </c>
      <c r="W224" s="30">
        <f t="shared" si="134"/>
        <v>2.0756136893029922</v>
      </c>
      <c r="X224" s="30">
        <f t="shared" si="134"/>
        <v>4.1512273786059843</v>
      </c>
      <c r="Y224" s="30">
        <f t="shared" si="134"/>
        <v>8.3024547572119687</v>
      </c>
      <c r="Z224" s="30">
        <f t="shared" si="134"/>
        <v>16.604909514423937</v>
      </c>
      <c r="AA224" s="30">
        <f t="shared" si="134"/>
        <v>33.209819028847875</v>
      </c>
      <c r="AB224" s="30">
        <f t="shared" si="134"/>
        <v>66.419638057695749</v>
      </c>
      <c r="AC224" s="30">
        <f t="shared" si="134"/>
        <v>132.8392761153915</v>
      </c>
      <c r="AD224" s="30">
        <f t="shared" si="134"/>
        <v>265.678552230783</v>
      </c>
      <c r="AE224" s="30">
        <f t="shared" si="134"/>
        <v>332.09819028847875</v>
      </c>
      <c r="AF224" s="30">
        <f t="shared" si="134"/>
        <v>398.5178283461745</v>
      </c>
      <c r="AG224" s="30">
        <f t="shared" si="134"/>
        <v>464.93746640387025</v>
      </c>
      <c r="AH224" s="30">
        <f t="shared" si="134"/>
        <v>531.357104461566</v>
      </c>
      <c r="AI224" s="30">
        <f t="shared" si="134"/>
        <v>664.19638057695749</v>
      </c>
      <c r="AJ224" s="30">
        <f t="shared" si="134"/>
        <v>797.03565669234899</v>
      </c>
      <c r="AK224" s="30">
        <f t="shared" si="134"/>
        <v>929.87493280774049</v>
      </c>
      <c r="AL224" s="30">
        <f t="shared" si="134"/>
        <v>1062.714208923132</v>
      </c>
      <c r="AM224" s="30">
        <f t="shared" si="134"/>
        <v>1275.2570507077585</v>
      </c>
      <c r="AN224" s="30">
        <f t="shared" si="134"/>
        <v>1487.799892492385</v>
      </c>
      <c r="AO224" s="30">
        <f t="shared" si="134"/>
        <v>1700.3427342770112</v>
      </c>
      <c r="AP224" s="30">
        <f t="shared" si="134"/>
        <v>1912.8855760616377</v>
      </c>
      <c r="AQ224" s="30">
        <f t="shared" si="134"/>
        <v>2125.428417846264</v>
      </c>
      <c r="AR224" s="30">
        <f t="shared" si="134"/>
        <v>2550.514101415517</v>
      </c>
      <c r="AS224" s="30">
        <f t="shared" si="134"/>
        <v>2975.5997849847699</v>
      </c>
      <c r="AT224" s="30">
        <f t="shared" si="134"/>
        <v>3400.6854685540225</v>
      </c>
      <c r="AU224" s="30">
        <f t="shared" si="134"/>
        <v>3825.7711521232754</v>
      </c>
      <c r="AV224" s="30">
        <f t="shared" si="134"/>
        <v>4250.856835692528</v>
      </c>
      <c r="AW224" s="30">
        <f t="shared" si="134"/>
        <v>5101.0282028310339</v>
      </c>
      <c r="AX224" s="30">
        <f t="shared" si="134"/>
        <v>5951.1995699695399</v>
      </c>
      <c r="AY224" s="30">
        <f t="shared" si="134"/>
        <v>6801.3709371080449</v>
      </c>
      <c r="AZ224" s="30">
        <f t="shared" si="134"/>
        <v>7651.5423042465509</v>
      </c>
      <c r="BA224" s="30">
        <f t="shared" si="134"/>
        <v>8501.7136713850559</v>
      </c>
      <c r="BB224" s="29">
        <f t="shared" si="134"/>
        <v>17003.427342770112</v>
      </c>
      <c r="BC224" s="30">
        <f t="shared" si="134"/>
        <v>34006.854685540224</v>
      </c>
      <c r="BD224" s="30">
        <f t="shared" si="134"/>
        <v>68013.709371080447</v>
      </c>
      <c r="BE224" s="30">
        <f t="shared" si="134"/>
        <v>136027.41874216089</v>
      </c>
      <c r="BF224" s="30">
        <f t="shared" si="134"/>
        <v>171531.56925282208</v>
      </c>
      <c r="BG224" s="71">
        <f t="shared" si="134"/>
        <v>171531.56925282208</v>
      </c>
      <c r="BH224" s="45"/>
    </row>
    <row r="225" spans="1:60" x14ac:dyDescent="0.25">
      <c r="A225" s="41" t="s">
        <v>17</v>
      </c>
      <c r="B225" s="6">
        <f>'Population by Age - Wikipedia'!D21</f>
        <v>0.13001561499489589</v>
      </c>
      <c r="C225" s="10">
        <f t="shared" si="126"/>
        <v>42978676.778595254</v>
      </c>
      <c r="D225" s="23">
        <f>'AU Infection Rate by Age'!C9</f>
        <v>0.15731947679627306</v>
      </c>
      <c r="E225" s="17"/>
      <c r="F225" s="10"/>
      <c r="G225" s="14"/>
      <c r="H225" s="14"/>
      <c r="I225" s="14"/>
      <c r="J225" s="14"/>
      <c r="K225" s="14"/>
      <c r="L225" s="14"/>
      <c r="M225" s="14"/>
      <c r="N225" s="10"/>
      <c r="O225" s="10"/>
      <c r="P225" s="20">
        <f t="shared" ref="P225:BG225" si="135">P$183*$D$225</f>
        <v>4.9162336498835328</v>
      </c>
      <c r="Q225" s="21">
        <f t="shared" si="135"/>
        <v>9.8324672997670657</v>
      </c>
      <c r="R225" s="21">
        <f t="shared" si="135"/>
        <v>19.664934599534131</v>
      </c>
      <c r="S225" s="21">
        <f t="shared" si="135"/>
        <v>39.329869199068263</v>
      </c>
      <c r="T225" s="21">
        <f t="shared" si="135"/>
        <v>78.659738398136525</v>
      </c>
      <c r="U225" s="21">
        <f t="shared" si="135"/>
        <v>157.31947679627305</v>
      </c>
      <c r="V225" s="21">
        <f t="shared" si="135"/>
        <v>314.6389535925461</v>
      </c>
      <c r="W225" s="21">
        <f t="shared" si="135"/>
        <v>629.2779071850922</v>
      </c>
      <c r="X225" s="21">
        <f t="shared" si="135"/>
        <v>1258.5558143701844</v>
      </c>
      <c r="Y225" s="21">
        <f t="shared" si="135"/>
        <v>2517.1116287403688</v>
      </c>
      <c r="Z225" s="21">
        <f t="shared" si="135"/>
        <v>5034.2232574807376</v>
      </c>
      <c r="AA225" s="21">
        <f t="shared" si="135"/>
        <v>10068.446514961475</v>
      </c>
      <c r="AB225" s="21">
        <f t="shared" si="135"/>
        <v>20136.893029922951</v>
      </c>
      <c r="AC225" s="21">
        <f t="shared" si="135"/>
        <v>40273.786059845901</v>
      </c>
      <c r="AD225" s="21">
        <f t="shared" si="135"/>
        <v>80547.572119691802</v>
      </c>
      <c r="AE225" s="21">
        <f t="shared" si="135"/>
        <v>100684.46514961476</v>
      </c>
      <c r="AF225" s="21">
        <f t="shared" si="135"/>
        <v>120821.35817953771</v>
      </c>
      <c r="AG225" s="21">
        <f t="shared" si="135"/>
        <v>140958.25120946066</v>
      </c>
      <c r="AH225" s="21">
        <f t="shared" si="135"/>
        <v>161095.1442393836</v>
      </c>
      <c r="AI225" s="21">
        <f t="shared" si="135"/>
        <v>201368.93029922951</v>
      </c>
      <c r="AJ225" s="21">
        <f t="shared" si="135"/>
        <v>241642.71635907542</v>
      </c>
      <c r="AK225" s="21">
        <f t="shared" si="135"/>
        <v>281916.50241892133</v>
      </c>
      <c r="AL225" s="21">
        <f t="shared" si="135"/>
        <v>322190.28847876721</v>
      </c>
      <c r="AM225" s="21">
        <f t="shared" si="135"/>
        <v>386628.34617452067</v>
      </c>
      <c r="AN225" s="21">
        <f t="shared" si="135"/>
        <v>451066.40387027414</v>
      </c>
      <c r="AO225" s="21">
        <f t="shared" si="135"/>
        <v>515504.46156602754</v>
      </c>
      <c r="AP225" s="21">
        <f t="shared" si="135"/>
        <v>579942.51926178101</v>
      </c>
      <c r="AQ225" s="21">
        <f t="shared" si="135"/>
        <v>644380.57695753442</v>
      </c>
      <c r="AR225" s="21">
        <f t="shared" si="135"/>
        <v>773256.69234904135</v>
      </c>
      <c r="AS225" s="21">
        <f t="shared" si="135"/>
        <v>902132.80774054828</v>
      </c>
      <c r="AT225" s="21">
        <f t="shared" si="135"/>
        <v>1031008.9231320551</v>
      </c>
      <c r="AU225" s="21">
        <f t="shared" si="135"/>
        <v>1159885.038523562</v>
      </c>
      <c r="AV225" s="21">
        <f t="shared" si="135"/>
        <v>1288761.1539150688</v>
      </c>
      <c r="AW225" s="21">
        <f t="shared" si="135"/>
        <v>1546513.3846980827</v>
      </c>
      <c r="AX225" s="21">
        <f t="shared" si="135"/>
        <v>1804265.6154810966</v>
      </c>
      <c r="AY225" s="21">
        <f t="shared" si="135"/>
        <v>2062017.8462641102</v>
      </c>
      <c r="AZ225" s="21">
        <f t="shared" si="135"/>
        <v>2319770.077047124</v>
      </c>
      <c r="BA225" s="21">
        <f t="shared" si="135"/>
        <v>2577522.3078301377</v>
      </c>
      <c r="BB225" s="20">
        <f t="shared" si="135"/>
        <v>5155044.6156602753</v>
      </c>
      <c r="BC225" s="21">
        <f t="shared" si="135"/>
        <v>10310089.231320551</v>
      </c>
      <c r="BD225" s="21">
        <f t="shared" si="135"/>
        <v>20620178.462641101</v>
      </c>
      <c r="BE225" s="21">
        <f t="shared" si="135"/>
        <v>41240356.925282203</v>
      </c>
      <c r="BF225" s="21">
        <f t="shared" si="135"/>
        <v>52004391.506898403</v>
      </c>
      <c r="BG225" s="72">
        <f t="shared" si="135"/>
        <v>52004391.506898403</v>
      </c>
      <c r="BH225" s="45"/>
    </row>
    <row r="226" spans="1:60" x14ac:dyDescent="0.25">
      <c r="A226" s="41"/>
      <c r="B226" s="6"/>
      <c r="C226" s="10"/>
      <c r="D226" s="8"/>
      <c r="E226" s="27">
        <v>2E-3</v>
      </c>
      <c r="F226" s="10"/>
      <c r="G226" s="10"/>
      <c r="H226" s="10"/>
      <c r="I226" s="10"/>
      <c r="J226" s="10"/>
      <c r="K226" s="10"/>
      <c r="L226" s="10"/>
      <c r="M226" s="10"/>
      <c r="N226" s="10"/>
      <c r="O226" s="10"/>
      <c r="P226" s="29">
        <f t="shared" ref="P226:BG226" si="136">P$183*$D$225*$E$226</f>
        <v>9.8324672997670663E-3</v>
      </c>
      <c r="Q226" s="30">
        <f t="shared" si="136"/>
        <v>1.9664934599534133E-2</v>
      </c>
      <c r="R226" s="30">
        <f t="shared" si="136"/>
        <v>3.9329869199068265E-2</v>
      </c>
      <c r="S226" s="30">
        <f t="shared" si="136"/>
        <v>7.8659738398136531E-2</v>
      </c>
      <c r="T226" s="30">
        <f t="shared" si="136"/>
        <v>0.15731947679627306</v>
      </c>
      <c r="U226" s="30">
        <f t="shared" si="136"/>
        <v>0.31463895359254612</v>
      </c>
      <c r="V226" s="30">
        <f t="shared" si="136"/>
        <v>0.62927790718509224</v>
      </c>
      <c r="W226" s="30">
        <f t="shared" si="136"/>
        <v>1.2585558143701845</v>
      </c>
      <c r="X226" s="30">
        <f t="shared" si="136"/>
        <v>2.517111628740369</v>
      </c>
      <c r="Y226" s="30">
        <f t="shared" si="136"/>
        <v>5.034223257480738</v>
      </c>
      <c r="Z226" s="30">
        <f t="shared" si="136"/>
        <v>10.068446514961476</v>
      </c>
      <c r="AA226" s="30">
        <f t="shared" si="136"/>
        <v>20.136893029922952</v>
      </c>
      <c r="AB226" s="30">
        <f t="shared" si="136"/>
        <v>40.273786059845904</v>
      </c>
      <c r="AC226" s="30">
        <f t="shared" si="136"/>
        <v>80.547572119691807</v>
      </c>
      <c r="AD226" s="30">
        <f t="shared" si="136"/>
        <v>161.09514423938361</v>
      </c>
      <c r="AE226" s="30">
        <f t="shared" si="136"/>
        <v>201.3689302992295</v>
      </c>
      <c r="AF226" s="30">
        <f t="shared" si="136"/>
        <v>241.64271635907542</v>
      </c>
      <c r="AG226" s="30">
        <f t="shared" si="136"/>
        <v>281.91650241892131</v>
      </c>
      <c r="AH226" s="30">
        <f t="shared" si="136"/>
        <v>322.19028847876723</v>
      </c>
      <c r="AI226" s="30">
        <f t="shared" si="136"/>
        <v>402.73786059845901</v>
      </c>
      <c r="AJ226" s="30">
        <f t="shared" si="136"/>
        <v>483.28543271815084</v>
      </c>
      <c r="AK226" s="30">
        <f t="shared" si="136"/>
        <v>563.83300483784262</v>
      </c>
      <c r="AL226" s="30">
        <f t="shared" si="136"/>
        <v>644.38057695753446</v>
      </c>
      <c r="AM226" s="30">
        <f t="shared" si="136"/>
        <v>773.25669234904137</v>
      </c>
      <c r="AN226" s="30">
        <f t="shared" si="136"/>
        <v>902.13280774054829</v>
      </c>
      <c r="AO226" s="30">
        <f t="shared" si="136"/>
        <v>1031.0089231320551</v>
      </c>
      <c r="AP226" s="30">
        <f t="shared" si="136"/>
        <v>1159.8850385235621</v>
      </c>
      <c r="AQ226" s="30">
        <f t="shared" si="136"/>
        <v>1288.7611539150689</v>
      </c>
      <c r="AR226" s="30">
        <f t="shared" si="136"/>
        <v>1546.5133846980827</v>
      </c>
      <c r="AS226" s="30">
        <f t="shared" si="136"/>
        <v>1804.2656154810966</v>
      </c>
      <c r="AT226" s="30">
        <f t="shared" si="136"/>
        <v>2062.0178462641102</v>
      </c>
      <c r="AU226" s="30">
        <f t="shared" si="136"/>
        <v>2319.7700770471242</v>
      </c>
      <c r="AV226" s="30">
        <f t="shared" si="136"/>
        <v>2577.5223078301378</v>
      </c>
      <c r="AW226" s="30">
        <f t="shared" si="136"/>
        <v>3093.0267693961655</v>
      </c>
      <c r="AX226" s="30">
        <f t="shared" si="136"/>
        <v>3608.5312309621931</v>
      </c>
      <c r="AY226" s="30">
        <f t="shared" si="136"/>
        <v>4124.0356925282204</v>
      </c>
      <c r="AZ226" s="30">
        <f t="shared" si="136"/>
        <v>4639.5401540942485</v>
      </c>
      <c r="BA226" s="30">
        <f t="shared" si="136"/>
        <v>5155.0446156602757</v>
      </c>
      <c r="BB226" s="29">
        <f t="shared" si="136"/>
        <v>10310.089231320551</v>
      </c>
      <c r="BC226" s="30">
        <f t="shared" si="136"/>
        <v>20620.178462641103</v>
      </c>
      <c r="BD226" s="30">
        <f t="shared" si="136"/>
        <v>41240.356925282205</v>
      </c>
      <c r="BE226" s="30">
        <f t="shared" si="136"/>
        <v>82480.713850564411</v>
      </c>
      <c r="BF226" s="30">
        <f t="shared" si="136"/>
        <v>104008.78301379681</v>
      </c>
      <c r="BG226" s="71">
        <f t="shared" si="136"/>
        <v>104008.78301379681</v>
      </c>
      <c r="BH226" s="45"/>
    </row>
    <row r="227" spans="1:60" x14ac:dyDescent="0.25">
      <c r="A227" s="41" t="s">
        <v>18</v>
      </c>
      <c r="B227" s="6">
        <f>'Population by Age - Wikipedia'!D17</f>
        <v>0.13826223457843137</v>
      </c>
      <c r="C227" s="10">
        <f t="shared" si="126"/>
        <v>45704724.704536453</v>
      </c>
      <c r="D227" s="23">
        <f>'AU Infection Rate by Age'!C10</f>
        <v>0.2160903063967031</v>
      </c>
      <c r="E227" s="17"/>
      <c r="F227" s="10"/>
      <c r="G227" s="10"/>
      <c r="H227" s="10"/>
      <c r="I227" s="10"/>
      <c r="J227" s="10"/>
      <c r="K227" s="10"/>
      <c r="L227" s="10"/>
      <c r="M227" s="10"/>
      <c r="N227" s="10"/>
      <c r="O227" s="10"/>
      <c r="P227" s="20">
        <f t="shared" ref="P227:BG227" si="137">P$183*$D$227</f>
        <v>6.7528220748969714</v>
      </c>
      <c r="Q227" s="21">
        <f t="shared" si="137"/>
        <v>13.505644149793943</v>
      </c>
      <c r="R227" s="21">
        <f t="shared" si="137"/>
        <v>27.011288299587886</v>
      </c>
      <c r="S227" s="21">
        <f t="shared" si="137"/>
        <v>54.022576599175771</v>
      </c>
      <c r="T227" s="21">
        <f t="shared" si="137"/>
        <v>108.04515319835154</v>
      </c>
      <c r="U227" s="21">
        <f t="shared" si="137"/>
        <v>216.09030639670308</v>
      </c>
      <c r="V227" s="21">
        <f t="shared" si="137"/>
        <v>432.18061279340617</v>
      </c>
      <c r="W227" s="21">
        <f t="shared" si="137"/>
        <v>864.36122558681234</v>
      </c>
      <c r="X227" s="21">
        <f t="shared" si="137"/>
        <v>1728.7224511736247</v>
      </c>
      <c r="Y227" s="21">
        <f t="shared" si="137"/>
        <v>3457.4449023472494</v>
      </c>
      <c r="Z227" s="21">
        <f t="shared" si="137"/>
        <v>6914.8898046944987</v>
      </c>
      <c r="AA227" s="21">
        <f t="shared" si="137"/>
        <v>13829.779609388997</v>
      </c>
      <c r="AB227" s="21">
        <f t="shared" si="137"/>
        <v>27659.559218777995</v>
      </c>
      <c r="AC227" s="21">
        <f t="shared" si="137"/>
        <v>55319.11843755599</v>
      </c>
      <c r="AD227" s="21">
        <f t="shared" si="137"/>
        <v>110638.23687511198</v>
      </c>
      <c r="AE227" s="21">
        <f t="shared" si="137"/>
        <v>138297.79609388998</v>
      </c>
      <c r="AF227" s="21">
        <f t="shared" si="137"/>
        <v>165957.35531266799</v>
      </c>
      <c r="AG227" s="21">
        <f t="shared" si="137"/>
        <v>193616.91453144597</v>
      </c>
      <c r="AH227" s="21">
        <f t="shared" si="137"/>
        <v>221276.47375022396</v>
      </c>
      <c r="AI227" s="21">
        <f t="shared" si="137"/>
        <v>276595.59218777996</v>
      </c>
      <c r="AJ227" s="21">
        <f t="shared" si="137"/>
        <v>331914.71062533598</v>
      </c>
      <c r="AK227" s="21">
        <f t="shared" si="137"/>
        <v>387233.82906289195</v>
      </c>
      <c r="AL227" s="21">
        <f t="shared" si="137"/>
        <v>442552.94750044792</v>
      </c>
      <c r="AM227" s="21">
        <f t="shared" si="137"/>
        <v>531063.5370005375</v>
      </c>
      <c r="AN227" s="21">
        <f t="shared" si="137"/>
        <v>619574.12650062714</v>
      </c>
      <c r="AO227" s="21">
        <f t="shared" si="137"/>
        <v>708084.71600071667</v>
      </c>
      <c r="AP227" s="21">
        <f t="shared" si="137"/>
        <v>796595.30550080631</v>
      </c>
      <c r="AQ227" s="21">
        <f t="shared" si="137"/>
        <v>885105.89500089583</v>
      </c>
      <c r="AR227" s="21">
        <f t="shared" si="137"/>
        <v>1062127.074001075</v>
      </c>
      <c r="AS227" s="21">
        <f t="shared" si="137"/>
        <v>1239148.2530012543</v>
      </c>
      <c r="AT227" s="21">
        <f t="shared" si="137"/>
        <v>1416169.4320014333</v>
      </c>
      <c r="AU227" s="21">
        <f t="shared" si="137"/>
        <v>1593190.6110016126</v>
      </c>
      <c r="AV227" s="21">
        <f t="shared" si="137"/>
        <v>1770211.7900017917</v>
      </c>
      <c r="AW227" s="21">
        <f t="shared" si="137"/>
        <v>2124254.14800215</v>
      </c>
      <c r="AX227" s="21">
        <f t="shared" si="137"/>
        <v>2478296.5060025086</v>
      </c>
      <c r="AY227" s="21">
        <f t="shared" si="137"/>
        <v>2832338.8640028667</v>
      </c>
      <c r="AZ227" s="21">
        <f t="shared" si="137"/>
        <v>3186381.2220032252</v>
      </c>
      <c r="BA227" s="21">
        <f t="shared" si="137"/>
        <v>3540423.5800035833</v>
      </c>
      <c r="BB227" s="20">
        <f t="shared" si="137"/>
        <v>7080847.1600071667</v>
      </c>
      <c r="BC227" s="21">
        <f t="shared" si="137"/>
        <v>14161694.320014333</v>
      </c>
      <c r="BD227" s="21">
        <f t="shared" si="137"/>
        <v>28323388.640028667</v>
      </c>
      <c r="BE227" s="21">
        <f t="shared" si="137"/>
        <v>56646777.280057333</v>
      </c>
      <c r="BF227" s="21">
        <f t="shared" si="137"/>
        <v>71432000.179179356</v>
      </c>
      <c r="BG227" s="72">
        <f t="shared" si="137"/>
        <v>71432000.179179356</v>
      </c>
      <c r="BH227" s="45"/>
    </row>
    <row r="228" spans="1:60" x14ac:dyDescent="0.25">
      <c r="A228" s="41"/>
      <c r="B228" s="6"/>
      <c r="C228" s="10"/>
      <c r="D228" s="8"/>
      <c r="E228" s="27">
        <v>2E-3</v>
      </c>
      <c r="F228" s="10"/>
      <c r="G228" s="10"/>
      <c r="H228" s="10"/>
      <c r="I228" s="10"/>
      <c r="J228" s="10"/>
      <c r="K228" s="10"/>
      <c r="L228" s="10"/>
      <c r="M228" s="10"/>
      <c r="N228" s="10"/>
      <c r="O228" s="10"/>
      <c r="P228" s="29">
        <f t="shared" ref="P228:BG228" si="138">P$183*$D$227*$E$228</f>
        <v>1.3505644149793944E-2</v>
      </c>
      <c r="Q228" s="30">
        <f t="shared" si="138"/>
        <v>2.7011288299587887E-2</v>
      </c>
      <c r="R228" s="30">
        <f t="shared" si="138"/>
        <v>5.4022576599175774E-2</v>
      </c>
      <c r="S228" s="30">
        <f t="shared" si="138"/>
        <v>0.10804515319835155</v>
      </c>
      <c r="T228" s="30">
        <f t="shared" si="138"/>
        <v>0.2160903063967031</v>
      </c>
      <c r="U228" s="30">
        <f t="shared" si="138"/>
        <v>0.43218061279340619</v>
      </c>
      <c r="V228" s="30">
        <f t="shared" si="138"/>
        <v>0.86436122558681239</v>
      </c>
      <c r="W228" s="30">
        <f t="shared" si="138"/>
        <v>1.7287224511736248</v>
      </c>
      <c r="X228" s="30">
        <f t="shared" si="138"/>
        <v>3.4574449023472495</v>
      </c>
      <c r="Y228" s="30">
        <f t="shared" si="138"/>
        <v>6.9148898046944991</v>
      </c>
      <c r="Z228" s="30">
        <f t="shared" si="138"/>
        <v>13.829779609388998</v>
      </c>
      <c r="AA228" s="30">
        <f t="shared" si="138"/>
        <v>27.659559218777996</v>
      </c>
      <c r="AB228" s="30">
        <f t="shared" si="138"/>
        <v>55.319118437555993</v>
      </c>
      <c r="AC228" s="30">
        <f t="shared" si="138"/>
        <v>110.63823687511199</v>
      </c>
      <c r="AD228" s="30">
        <f t="shared" si="138"/>
        <v>221.27647375022397</v>
      </c>
      <c r="AE228" s="30">
        <f t="shared" si="138"/>
        <v>276.59559218777997</v>
      </c>
      <c r="AF228" s="30">
        <f t="shared" si="138"/>
        <v>331.914710625336</v>
      </c>
      <c r="AG228" s="30">
        <f t="shared" si="138"/>
        <v>387.23382906289197</v>
      </c>
      <c r="AH228" s="30">
        <f t="shared" si="138"/>
        <v>442.55294750044794</v>
      </c>
      <c r="AI228" s="30">
        <f t="shared" si="138"/>
        <v>553.19118437555994</v>
      </c>
      <c r="AJ228" s="30">
        <f t="shared" si="138"/>
        <v>663.829421250672</v>
      </c>
      <c r="AK228" s="30">
        <f t="shared" si="138"/>
        <v>774.46765812578394</v>
      </c>
      <c r="AL228" s="30">
        <f t="shared" si="138"/>
        <v>885.10589500089588</v>
      </c>
      <c r="AM228" s="30">
        <f t="shared" si="138"/>
        <v>1062.127074001075</v>
      </c>
      <c r="AN228" s="30">
        <f t="shared" si="138"/>
        <v>1239.1482530012543</v>
      </c>
      <c r="AO228" s="30">
        <f t="shared" si="138"/>
        <v>1416.1694320014333</v>
      </c>
      <c r="AP228" s="30">
        <f t="shared" si="138"/>
        <v>1593.1906110016128</v>
      </c>
      <c r="AQ228" s="30">
        <f t="shared" si="138"/>
        <v>1770.2117900017918</v>
      </c>
      <c r="AR228" s="30">
        <f t="shared" si="138"/>
        <v>2124.25414800215</v>
      </c>
      <c r="AS228" s="30">
        <f t="shared" si="138"/>
        <v>2478.2965060025085</v>
      </c>
      <c r="AT228" s="30">
        <f t="shared" si="138"/>
        <v>2832.3388640028666</v>
      </c>
      <c r="AU228" s="30">
        <f t="shared" si="138"/>
        <v>3186.3812220032255</v>
      </c>
      <c r="AV228" s="30">
        <f t="shared" si="138"/>
        <v>3540.4235800035835</v>
      </c>
      <c r="AW228" s="30">
        <f t="shared" si="138"/>
        <v>4248.5082960043001</v>
      </c>
      <c r="AX228" s="30">
        <f t="shared" si="138"/>
        <v>4956.593012005017</v>
      </c>
      <c r="AY228" s="30">
        <f t="shared" si="138"/>
        <v>5664.6777280057331</v>
      </c>
      <c r="AZ228" s="30">
        <f t="shared" si="138"/>
        <v>6372.762444006451</v>
      </c>
      <c r="BA228" s="30">
        <f t="shared" si="138"/>
        <v>7080.8471600071671</v>
      </c>
      <c r="BB228" s="29">
        <f t="shared" si="138"/>
        <v>14161.694320014334</v>
      </c>
      <c r="BC228" s="30">
        <f t="shared" si="138"/>
        <v>28323.388640028668</v>
      </c>
      <c r="BD228" s="30">
        <f t="shared" si="138"/>
        <v>56646.777280057337</v>
      </c>
      <c r="BE228" s="30">
        <f t="shared" si="138"/>
        <v>113293.55456011467</v>
      </c>
      <c r="BF228" s="30">
        <f t="shared" si="138"/>
        <v>142864.00035835872</v>
      </c>
      <c r="BG228" s="71">
        <f t="shared" si="138"/>
        <v>142864.00035835872</v>
      </c>
      <c r="BH228" s="45"/>
    </row>
    <row r="229" spans="1:60" x14ac:dyDescent="0.25">
      <c r="A229" s="42" t="s">
        <v>19</v>
      </c>
      <c r="B229" s="6">
        <f>'Population by Age - Wikipedia'!D13</f>
        <v>0.13835839467257338</v>
      </c>
      <c r="C229" s="10">
        <f t="shared" si="126"/>
        <v>45736511.914136559</v>
      </c>
      <c r="D229" s="23">
        <f>'AU Infection Rate by Age'!C11</f>
        <v>2.8847876724601325E-2</v>
      </c>
      <c r="E229" s="17"/>
      <c r="F229" s="10"/>
      <c r="G229" s="10"/>
      <c r="H229" s="10"/>
      <c r="I229" s="10"/>
      <c r="J229" s="10"/>
      <c r="K229" s="10"/>
      <c r="L229" s="10"/>
      <c r="M229" s="10"/>
      <c r="N229" s="10"/>
      <c r="O229" s="10"/>
      <c r="P229" s="20">
        <f t="shared" ref="P229:BG229" si="139">P$183*$D$229</f>
        <v>0.90149614764379138</v>
      </c>
      <c r="Q229" s="21">
        <f t="shared" si="139"/>
        <v>1.8029922952875828</v>
      </c>
      <c r="R229" s="21">
        <f t="shared" si="139"/>
        <v>3.6059845905751655</v>
      </c>
      <c r="S229" s="21">
        <f t="shared" si="139"/>
        <v>7.211969181150331</v>
      </c>
      <c r="T229" s="21">
        <f t="shared" si="139"/>
        <v>14.423938362300662</v>
      </c>
      <c r="U229" s="21">
        <f t="shared" si="139"/>
        <v>28.847876724601324</v>
      </c>
      <c r="V229" s="21">
        <f t="shared" si="139"/>
        <v>57.695753449202648</v>
      </c>
      <c r="W229" s="21">
        <f t="shared" si="139"/>
        <v>115.3915068984053</v>
      </c>
      <c r="X229" s="21">
        <f t="shared" si="139"/>
        <v>230.78301379681059</v>
      </c>
      <c r="Y229" s="21">
        <f t="shared" si="139"/>
        <v>461.56602759362119</v>
      </c>
      <c r="Z229" s="21">
        <f t="shared" si="139"/>
        <v>923.13205518724237</v>
      </c>
      <c r="AA229" s="21">
        <f t="shared" si="139"/>
        <v>1846.2641103744847</v>
      </c>
      <c r="AB229" s="21">
        <f t="shared" si="139"/>
        <v>3692.5282207489695</v>
      </c>
      <c r="AC229" s="21">
        <f t="shared" si="139"/>
        <v>7385.056441497939</v>
      </c>
      <c r="AD229" s="21">
        <f t="shared" si="139"/>
        <v>14770.112882995878</v>
      </c>
      <c r="AE229" s="21">
        <f t="shared" si="139"/>
        <v>18462.641103744849</v>
      </c>
      <c r="AF229" s="21">
        <f t="shared" si="139"/>
        <v>22155.169324493818</v>
      </c>
      <c r="AG229" s="21">
        <f t="shared" si="139"/>
        <v>25847.697545242787</v>
      </c>
      <c r="AH229" s="21">
        <f t="shared" si="139"/>
        <v>29540.225765991756</v>
      </c>
      <c r="AI229" s="21">
        <f t="shared" si="139"/>
        <v>36925.282207489698</v>
      </c>
      <c r="AJ229" s="21">
        <f t="shared" si="139"/>
        <v>44310.338648987636</v>
      </c>
      <c r="AK229" s="21">
        <f t="shared" si="139"/>
        <v>51695.395090485574</v>
      </c>
      <c r="AL229" s="21">
        <f t="shared" si="139"/>
        <v>59080.451531983512</v>
      </c>
      <c r="AM229" s="21">
        <f t="shared" si="139"/>
        <v>70896.541838380217</v>
      </c>
      <c r="AN229" s="21">
        <f t="shared" si="139"/>
        <v>82712.632144776915</v>
      </c>
      <c r="AO229" s="21">
        <f t="shared" si="139"/>
        <v>94528.722451173628</v>
      </c>
      <c r="AP229" s="21">
        <f t="shared" si="139"/>
        <v>106344.81275757033</v>
      </c>
      <c r="AQ229" s="21">
        <f t="shared" si="139"/>
        <v>118160.90306396702</v>
      </c>
      <c r="AR229" s="21">
        <f t="shared" si="139"/>
        <v>141793.08367676043</v>
      </c>
      <c r="AS229" s="21">
        <f t="shared" si="139"/>
        <v>165425.26428955383</v>
      </c>
      <c r="AT229" s="21">
        <f t="shared" si="139"/>
        <v>189057.44490234726</v>
      </c>
      <c r="AU229" s="21">
        <f t="shared" si="139"/>
        <v>212689.62551514065</v>
      </c>
      <c r="AV229" s="21">
        <f t="shared" si="139"/>
        <v>236321.80612793405</v>
      </c>
      <c r="AW229" s="21">
        <f t="shared" si="139"/>
        <v>283586.16735352087</v>
      </c>
      <c r="AX229" s="21">
        <f t="shared" si="139"/>
        <v>330850.52857910766</v>
      </c>
      <c r="AY229" s="21">
        <f t="shared" si="139"/>
        <v>378114.88980469451</v>
      </c>
      <c r="AZ229" s="21">
        <f t="shared" si="139"/>
        <v>425379.2510302813</v>
      </c>
      <c r="BA229" s="21">
        <f t="shared" si="139"/>
        <v>472643.61225586809</v>
      </c>
      <c r="BB229" s="20">
        <f t="shared" si="139"/>
        <v>945287.22451173619</v>
      </c>
      <c r="BC229" s="21">
        <f t="shared" si="139"/>
        <v>1890574.4490234724</v>
      </c>
      <c r="BD229" s="21">
        <f t="shared" si="139"/>
        <v>3781148.8980469448</v>
      </c>
      <c r="BE229" s="21">
        <f t="shared" si="139"/>
        <v>7562297.7960938895</v>
      </c>
      <c r="BF229" s="21">
        <f t="shared" si="139"/>
        <v>9536112.7934061997</v>
      </c>
      <c r="BG229" s="72">
        <f t="shared" si="139"/>
        <v>9536112.7934061997</v>
      </c>
      <c r="BH229" s="45"/>
    </row>
    <row r="230" spans="1:60" x14ac:dyDescent="0.25">
      <c r="A230" s="42"/>
      <c r="B230" s="6"/>
      <c r="C230" s="10"/>
      <c r="D230" s="8"/>
      <c r="E230" s="27">
        <v>2E-3</v>
      </c>
      <c r="F230" s="10"/>
      <c r="G230" s="10"/>
      <c r="H230" s="10"/>
      <c r="I230" s="10"/>
      <c r="J230" s="10"/>
      <c r="K230" s="10"/>
      <c r="L230" s="10"/>
      <c r="M230" s="10"/>
      <c r="N230" s="10"/>
      <c r="O230" s="10"/>
      <c r="P230" s="29">
        <f t="shared" ref="P230:BG230" si="140">P$183*$D$229*$E$230</f>
        <v>1.8029922952875828E-3</v>
      </c>
      <c r="Q230" s="30">
        <f t="shared" si="140"/>
        <v>3.6059845905751656E-3</v>
      </c>
      <c r="R230" s="30">
        <f t="shared" si="140"/>
        <v>7.2119691811503312E-3</v>
      </c>
      <c r="S230" s="30">
        <f t="shared" si="140"/>
        <v>1.4423938362300662E-2</v>
      </c>
      <c r="T230" s="30">
        <f t="shared" si="140"/>
        <v>2.8847876724601325E-2</v>
      </c>
      <c r="U230" s="30">
        <f t="shared" si="140"/>
        <v>5.769575344920265E-2</v>
      </c>
      <c r="V230" s="30">
        <f t="shared" si="140"/>
        <v>0.1153915068984053</v>
      </c>
      <c r="W230" s="30">
        <f t="shared" si="140"/>
        <v>0.2307830137968106</v>
      </c>
      <c r="X230" s="30">
        <f t="shared" si="140"/>
        <v>0.4615660275936212</v>
      </c>
      <c r="Y230" s="30">
        <f t="shared" si="140"/>
        <v>0.9231320551872424</v>
      </c>
      <c r="Z230" s="30">
        <f t="shared" si="140"/>
        <v>1.8462641103744848</v>
      </c>
      <c r="AA230" s="30">
        <f t="shared" si="140"/>
        <v>3.6925282207489696</v>
      </c>
      <c r="AB230" s="30">
        <f t="shared" si="140"/>
        <v>7.3850564414979392</v>
      </c>
      <c r="AC230" s="30">
        <f t="shared" si="140"/>
        <v>14.770112882995878</v>
      </c>
      <c r="AD230" s="30">
        <f t="shared" si="140"/>
        <v>29.540225765991757</v>
      </c>
      <c r="AE230" s="30">
        <f t="shared" si="140"/>
        <v>36.925282207489701</v>
      </c>
      <c r="AF230" s="30">
        <f t="shared" si="140"/>
        <v>44.310338648987639</v>
      </c>
      <c r="AG230" s="30">
        <f t="shared" si="140"/>
        <v>51.695395090485576</v>
      </c>
      <c r="AH230" s="30">
        <f t="shared" si="140"/>
        <v>59.080451531983513</v>
      </c>
      <c r="AI230" s="30">
        <f t="shared" si="140"/>
        <v>73.850564414979402</v>
      </c>
      <c r="AJ230" s="30">
        <f t="shared" si="140"/>
        <v>88.620677297975277</v>
      </c>
      <c r="AK230" s="30">
        <f t="shared" si="140"/>
        <v>103.39079018097115</v>
      </c>
      <c r="AL230" s="30">
        <f t="shared" si="140"/>
        <v>118.16090306396703</v>
      </c>
      <c r="AM230" s="30">
        <f t="shared" si="140"/>
        <v>141.79308367676043</v>
      </c>
      <c r="AN230" s="30">
        <f t="shared" si="140"/>
        <v>165.42526428955384</v>
      </c>
      <c r="AO230" s="30">
        <f t="shared" si="140"/>
        <v>189.05744490234727</v>
      </c>
      <c r="AP230" s="30">
        <f t="shared" si="140"/>
        <v>212.68962551514065</v>
      </c>
      <c r="AQ230" s="30">
        <f t="shared" si="140"/>
        <v>236.32180612793405</v>
      </c>
      <c r="AR230" s="30">
        <f t="shared" si="140"/>
        <v>283.58616735352086</v>
      </c>
      <c r="AS230" s="30">
        <f t="shared" si="140"/>
        <v>330.85052857910767</v>
      </c>
      <c r="AT230" s="30">
        <f t="shared" si="140"/>
        <v>378.11488980469454</v>
      </c>
      <c r="AU230" s="30">
        <f t="shared" si="140"/>
        <v>425.3792510302813</v>
      </c>
      <c r="AV230" s="30">
        <f t="shared" si="140"/>
        <v>472.64361225586811</v>
      </c>
      <c r="AW230" s="30">
        <f t="shared" si="140"/>
        <v>567.17233470704173</v>
      </c>
      <c r="AX230" s="30">
        <f t="shared" si="140"/>
        <v>661.70105715821535</v>
      </c>
      <c r="AY230" s="30">
        <f t="shared" si="140"/>
        <v>756.22977960938908</v>
      </c>
      <c r="AZ230" s="30">
        <f t="shared" si="140"/>
        <v>850.75850206056259</v>
      </c>
      <c r="BA230" s="30">
        <f t="shared" si="140"/>
        <v>945.28722451173621</v>
      </c>
      <c r="BB230" s="29">
        <f t="shared" si="140"/>
        <v>1890.5744490234724</v>
      </c>
      <c r="BC230" s="30">
        <f t="shared" si="140"/>
        <v>3781.1488980469449</v>
      </c>
      <c r="BD230" s="30">
        <f t="shared" si="140"/>
        <v>7562.2977960938897</v>
      </c>
      <c r="BE230" s="30">
        <f t="shared" si="140"/>
        <v>15124.595592187779</v>
      </c>
      <c r="BF230" s="30">
        <f t="shared" si="140"/>
        <v>19072.225586812401</v>
      </c>
      <c r="BG230" s="71">
        <f t="shared" si="140"/>
        <v>19072.225586812401</v>
      </c>
      <c r="BH230" s="45"/>
    </row>
    <row r="231" spans="1:60" x14ac:dyDescent="0.25">
      <c r="A231" s="42" t="s">
        <v>20</v>
      </c>
      <c r="B231" s="6">
        <f>'Population by Age - Wikipedia'!D9</f>
        <v>0.13133799200038965</v>
      </c>
      <c r="C231" s="10">
        <f t="shared" si="126"/>
        <v>43415808.994604804</v>
      </c>
      <c r="D231" s="23">
        <f>'AU Infection Rate by Age'!C12</f>
        <v>9.8548647195843032E-3</v>
      </c>
      <c r="E231" s="17"/>
      <c r="F231" s="10"/>
      <c r="G231" s="10"/>
      <c r="H231" s="10"/>
      <c r="I231" s="10"/>
      <c r="J231" s="10"/>
      <c r="K231" s="10"/>
      <c r="L231" s="10"/>
      <c r="M231" s="10"/>
      <c r="N231" s="10"/>
      <c r="O231" s="10"/>
      <c r="P231" s="20">
        <f t="shared" ref="P231:BG231" si="141">P$183*$D$231</f>
        <v>0.30796452248700945</v>
      </c>
      <c r="Q231" s="21">
        <f t="shared" si="141"/>
        <v>0.6159290449740189</v>
      </c>
      <c r="R231" s="21">
        <f t="shared" si="141"/>
        <v>1.2318580899480378</v>
      </c>
      <c r="S231" s="21">
        <f t="shared" si="141"/>
        <v>2.4637161798960756</v>
      </c>
      <c r="T231" s="21">
        <f t="shared" si="141"/>
        <v>4.9274323597921512</v>
      </c>
      <c r="U231" s="21">
        <f t="shared" si="141"/>
        <v>9.8548647195843024</v>
      </c>
      <c r="V231" s="21">
        <f t="shared" si="141"/>
        <v>19.709729439168605</v>
      </c>
      <c r="W231" s="21">
        <f t="shared" si="141"/>
        <v>39.41945887833721</v>
      </c>
      <c r="X231" s="21">
        <f t="shared" si="141"/>
        <v>78.838917756674419</v>
      </c>
      <c r="Y231" s="21">
        <f t="shared" si="141"/>
        <v>157.67783551334884</v>
      </c>
      <c r="Z231" s="21">
        <f t="shared" si="141"/>
        <v>315.35567102669768</v>
      </c>
      <c r="AA231" s="21">
        <f t="shared" si="141"/>
        <v>630.71134205339536</v>
      </c>
      <c r="AB231" s="21">
        <f t="shared" si="141"/>
        <v>1261.4226841067907</v>
      </c>
      <c r="AC231" s="21">
        <f t="shared" si="141"/>
        <v>2522.8453682135814</v>
      </c>
      <c r="AD231" s="21">
        <f t="shared" si="141"/>
        <v>5045.6907364271628</v>
      </c>
      <c r="AE231" s="21">
        <f t="shared" si="141"/>
        <v>6307.113420533954</v>
      </c>
      <c r="AF231" s="21">
        <f t="shared" si="141"/>
        <v>7568.5361046407452</v>
      </c>
      <c r="AG231" s="21">
        <f t="shared" si="141"/>
        <v>8829.9587887475354</v>
      </c>
      <c r="AH231" s="21">
        <f t="shared" si="141"/>
        <v>10091.381472854326</v>
      </c>
      <c r="AI231" s="21">
        <f t="shared" si="141"/>
        <v>12614.226841067908</v>
      </c>
      <c r="AJ231" s="21">
        <f t="shared" si="141"/>
        <v>15137.07220928149</v>
      </c>
      <c r="AK231" s="21">
        <f t="shared" si="141"/>
        <v>17659.917577495071</v>
      </c>
      <c r="AL231" s="21">
        <f t="shared" si="141"/>
        <v>20182.762945708651</v>
      </c>
      <c r="AM231" s="21">
        <f t="shared" si="141"/>
        <v>24219.315534850382</v>
      </c>
      <c r="AN231" s="21">
        <f t="shared" si="141"/>
        <v>28255.868123992113</v>
      </c>
      <c r="AO231" s="21">
        <f t="shared" si="141"/>
        <v>32292.420713133844</v>
      </c>
      <c r="AP231" s="21">
        <f t="shared" si="141"/>
        <v>36328.973302275575</v>
      </c>
      <c r="AQ231" s="21">
        <f t="shared" si="141"/>
        <v>40365.525891417303</v>
      </c>
      <c r="AR231" s="21">
        <f t="shared" si="141"/>
        <v>48438.631069700765</v>
      </c>
      <c r="AS231" s="21">
        <f t="shared" si="141"/>
        <v>56511.736247984227</v>
      </c>
      <c r="AT231" s="21">
        <f t="shared" si="141"/>
        <v>64584.841426267689</v>
      </c>
      <c r="AU231" s="21">
        <f t="shared" si="141"/>
        <v>72657.946604551151</v>
      </c>
      <c r="AV231" s="21">
        <f t="shared" si="141"/>
        <v>80731.051782834606</v>
      </c>
      <c r="AW231" s="21">
        <f t="shared" si="141"/>
        <v>96877.26213940153</v>
      </c>
      <c r="AX231" s="21">
        <f t="shared" si="141"/>
        <v>113023.47249596845</v>
      </c>
      <c r="AY231" s="21">
        <f t="shared" si="141"/>
        <v>129169.68285253538</v>
      </c>
      <c r="AZ231" s="21">
        <f t="shared" si="141"/>
        <v>145315.8932091023</v>
      </c>
      <c r="BA231" s="21">
        <f t="shared" si="141"/>
        <v>161462.10356566921</v>
      </c>
      <c r="BB231" s="20">
        <f t="shared" si="141"/>
        <v>322924.20713133842</v>
      </c>
      <c r="BC231" s="21">
        <f t="shared" si="141"/>
        <v>645848.41426267684</v>
      </c>
      <c r="BD231" s="21">
        <f t="shared" si="141"/>
        <v>1291696.8285253537</v>
      </c>
      <c r="BE231" s="21">
        <f t="shared" si="141"/>
        <v>2583393.6570507074</v>
      </c>
      <c r="BF231" s="21">
        <f t="shared" si="141"/>
        <v>3257678.2834617449</v>
      </c>
      <c r="BG231" s="72">
        <f t="shared" si="141"/>
        <v>3257678.2834617449</v>
      </c>
      <c r="BH231" s="45"/>
    </row>
    <row r="232" spans="1:60" x14ac:dyDescent="0.25">
      <c r="A232" s="42"/>
      <c r="B232" s="7"/>
      <c r="C232" s="11"/>
      <c r="D232" s="26"/>
      <c r="E232" s="28">
        <v>0</v>
      </c>
      <c r="F232" s="10"/>
      <c r="G232" s="10"/>
      <c r="H232" s="10"/>
      <c r="I232" s="10"/>
      <c r="J232" s="10"/>
      <c r="K232" s="10"/>
      <c r="L232" s="10"/>
      <c r="M232" s="10"/>
      <c r="N232" s="10"/>
      <c r="O232" s="10"/>
      <c r="P232" s="31">
        <f t="shared" ref="P232:BG232" si="142">P$183*$D$231*$E$232</f>
        <v>0</v>
      </c>
      <c r="Q232" s="32">
        <f t="shared" si="142"/>
        <v>0</v>
      </c>
      <c r="R232" s="32">
        <f t="shared" si="142"/>
        <v>0</v>
      </c>
      <c r="S232" s="32">
        <f t="shared" si="142"/>
        <v>0</v>
      </c>
      <c r="T232" s="32">
        <f t="shared" si="142"/>
        <v>0</v>
      </c>
      <c r="U232" s="32">
        <f t="shared" si="142"/>
        <v>0</v>
      </c>
      <c r="V232" s="32">
        <f t="shared" si="142"/>
        <v>0</v>
      </c>
      <c r="W232" s="32">
        <f t="shared" si="142"/>
        <v>0</v>
      </c>
      <c r="X232" s="32">
        <f t="shared" si="142"/>
        <v>0</v>
      </c>
      <c r="Y232" s="32">
        <f t="shared" si="142"/>
        <v>0</v>
      </c>
      <c r="Z232" s="32">
        <f t="shared" si="142"/>
        <v>0</v>
      </c>
      <c r="AA232" s="32">
        <f t="shared" si="142"/>
        <v>0</v>
      </c>
      <c r="AB232" s="32">
        <f t="shared" si="142"/>
        <v>0</v>
      </c>
      <c r="AC232" s="32">
        <f t="shared" si="142"/>
        <v>0</v>
      </c>
      <c r="AD232" s="32">
        <f t="shared" si="142"/>
        <v>0</v>
      </c>
      <c r="AE232" s="32">
        <f t="shared" si="142"/>
        <v>0</v>
      </c>
      <c r="AF232" s="32">
        <f t="shared" si="142"/>
        <v>0</v>
      </c>
      <c r="AG232" s="32">
        <f t="shared" si="142"/>
        <v>0</v>
      </c>
      <c r="AH232" s="32">
        <f t="shared" si="142"/>
        <v>0</v>
      </c>
      <c r="AI232" s="32">
        <f t="shared" si="142"/>
        <v>0</v>
      </c>
      <c r="AJ232" s="32">
        <f t="shared" si="142"/>
        <v>0</v>
      </c>
      <c r="AK232" s="32">
        <f t="shared" si="142"/>
        <v>0</v>
      </c>
      <c r="AL232" s="32">
        <f t="shared" si="142"/>
        <v>0</v>
      </c>
      <c r="AM232" s="32">
        <f t="shared" si="142"/>
        <v>0</v>
      </c>
      <c r="AN232" s="32">
        <f t="shared" si="142"/>
        <v>0</v>
      </c>
      <c r="AO232" s="32">
        <f t="shared" si="142"/>
        <v>0</v>
      </c>
      <c r="AP232" s="32">
        <f t="shared" si="142"/>
        <v>0</v>
      </c>
      <c r="AQ232" s="32">
        <f t="shared" si="142"/>
        <v>0</v>
      </c>
      <c r="AR232" s="32">
        <f t="shared" si="142"/>
        <v>0</v>
      </c>
      <c r="AS232" s="32">
        <f t="shared" si="142"/>
        <v>0</v>
      </c>
      <c r="AT232" s="32">
        <f t="shared" si="142"/>
        <v>0</v>
      </c>
      <c r="AU232" s="32">
        <f t="shared" si="142"/>
        <v>0</v>
      </c>
      <c r="AV232" s="32">
        <f t="shared" si="142"/>
        <v>0</v>
      </c>
      <c r="AW232" s="32">
        <f t="shared" si="142"/>
        <v>0</v>
      </c>
      <c r="AX232" s="32">
        <f t="shared" si="142"/>
        <v>0</v>
      </c>
      <c r="AY232" s="32">
        <f t="shared" si="142"/>
        <v>0</v>
      </c>
      <c r="AZ232" s="32">
        <f t="shared" si="142"/>
        <v>0</v>
      </c>
      <c r="BA232" s="32">
        <f t="shared" si="142"/>
        <v>0</v>
      </c>
      <c r="BB232" s="29">
        <f t="shared" si="142"/>
        <v>0</v>
      </c>
      <c r="BC232" s="30">
        <f t="shared" si="142"/>
        <v>0</v>
      </c>
      <c r="BD232" s="30">
        <f t="shared" si="142"/>
        <v>0</v>
      </c>
      <c r="BE232" s="30">
        <f t="shared" si="142"/>
        <v>0</v>
      </c>
      <c r="BF232" s="30">
        <f t="shared" si="142"/>
        <v>0</v>
      </c>
      <c r="BG232" s="71">
        <f t="shared" si="142"/>
        <v>0</v>
      </c>
      <c r="BH232" s="45"/>
    </row>
    <row r="233" spans="1:60" x14ac:dyDescent="0.25">
      <c r="A233" s="41" t="s">
        <v>39</v>
      </c>
      <c r="B233" s="14"/>
      <c r="C233" s="10"/>
      <c r="D233" s="10"/>
      <c r="E233" s="15"/>
      <c r="F233" s="10"/>
      <c r="G233" s="10"/>
      <c r="H233" s="10"/>
      <c r="I233" s="10"/>
      <c r="J233" s="10"/>
      <c r="K233" s="10"/>
      <c r="L233" s="10"/>
      <c r="M233" s="10"/>
      <c r="N233" s="10"/>
      <c r="O233" s="10"/>
      <c r="P233" s="18">
        <f t="shared" ref="P233:AP233" si="143">SUM(P215,P217,P219,P221,P223,P225,P227,P229,P231)</f>
        <v>31.249999999999996</v>
      </c>
      <c r="Q233" s="19">
        <f t="shared" si="143"/>
        <v>62.499999999999993</v>
      </c>
      <c r="R233" s="19">
        <f t="shared" si="143"/>
        <v>124.99999999999999</v>
      </c>
      <c r="S233" s="19">
        <f t="shared" si="143"/>
        <v>249.99999999999997</v>
      </c>
      <c r="T233" s="19">
        <f t="shared" si="143"/>
        <v>499.99999999999994</v>
      </c>
      <c r="U233" s="19">
        <f>SUM(U215,U217,U219,U221,U223,U225,U227,U229,U231)</f>
        <v>999.99999999999989</v>
      </c>
      <c r="V233" s="19">
        <f t="shared" si="143"/>
        <v>1999.9999999999998</v>
      </c>
      <c r="W233" s="19">
        <f t="shared" si="143"/>
        <v>3999.9999999999995</v>
      </c>
      <c r="X233" s="19">
        <f t="shared" si="143"/>
        <v>7999.9999999999991</v>
      </c>
      <c r="Y233" s="19">
        <f t="shared" si="143"/>
        <v>15999.999999999998</v>
      </c>
      <c r="Z233" s="19">
        <f t="shared" si="143"/>
        <v>31999.999999999996</v>
      </c>
      <c r="AA233" s="19">
        <f t="shared" si="143"/>
        <v>63999.999999999993</v>
      </c>
      <c r="AB233" s="19">
        <f t="shared" si="143"/>
        <v>127999.99999999999</v>
      </c>
      <c r="AC233" s="19">
        <f t="shared" si="143"/>
        <v>255999.99999999997</v>
      </c>
      <c r="AD233" s="19">
        <f t="shared" si="143"/>
        <v>511999.99999999994</v>
      </c>
      <c r="AE233" s="19">
        <f t="shared" ref="AE233:AG233" si="144">SUM(AE215,AE217,AE219,AE221,AE223,AE225,AE227,AE229,AE231)</f>
        <v>640000</v>
      </c>
      <c r="AF233" s="19">
        <f t="shared" si="144"/>
        <v>768000</v>
      </c>
      <c r="AG233" s="19">
        <f t="shared" si="144"/>
        <v>895999.99999999988</v>
      </c>
      <c r="AH233" s="19">
        <f t="shared" si="143"/>
        <v>1023999.9999999999</v>
      </c>
      <c r="AI233" s="19">
        <f t="shared" ref="AI233:AK233" si="145">SUM(AI215,AI217,AI219,AI221,AI223,AI225,AI227,AI229,AI231)</f>
        <v>1280000</v>
      </c>
      <c r="AJ233" s="19">
        <f t="shared" si="145"/>
        <v>1536000</v>
      </c>
      <c r="AK233" s="19">
        <f t="shared" si="145"/>
        <v>1791999.9999999998</v>
      </c>
      <c r="AL233" s="19">
        <f t="shared" si="143"/>
        <v>2047999.9999999998</v>
      </c>
      <c r="AM233" s="19">
        <f t="shared" si="143"/>
        <v>2457600</v>
      </c>
      <c r="AN233" s="19">
        <f t="shared" si="143"/>
        <v>2867200</v>
      </c>
      <c r="AO233" s="19">
        <f t="shared" si="143"/>
        <v>3276799.9999999995</v>
      </c>
      <c r="AP233" s="19">
        <f t="shared" si="143"/>
        <v>3686400</v>
      </c>
      <c r="AQ233" s="19">
        <f t="shared" ref="AQ233:BA234" si="146">SUM(AQ215,AQ217,AQ219,AQ221,AQ223,AQ225,AQ227,AQ229,AQ231)</f>
        <v>4095999.9999999995</v>
      </c>
      <c r="AR233" s="19">
        <f t="shared" ref="AR233:AU233" si="147">SUM(AR215,AR217,AR219,AR221,AR223,AR225,AR227,AR229,AR231)</f>
        <v>4915200</v>
      </c>
      <c r="AS233" s="19">
        <f t="shared" si="147"/>
        <v>5734400</v>
      </c>
      <c r="AT233" s="19">
        <f t="shared" si="147"/>
        <v>6553599.9999999991</v>
      </c>
      <c r="AU233" s="19">
        <f t="shared" si="147"/>
        <v>7372800</v>
      </c>
      <c r="AV233" s="19">
        <f t="shared" si="146"/>
        <v>8191999.9999999991</v>
      </c>
      <c r="AW233" s="19">
        <f t="shared" ref="AW233:AZ233" si="148">SUM(AW215,AW217,AW219,AW221,AW223,AW225,AW227,AW229,AW231)</f>
        <v>9830400</v>
      </c>
      <c r="AX233" s="19">
        <f t="shared" si="148"/>
        <v>11468800</v>
      </c>
      <c r="AY233" s="19">
        <f t="shared" si="148"/>
        <v>13107199.999999998</v>
      </c>
      <c r="AZ233" s="19">
        <f t="shared" si="148"/>
        <v>14745600</v>
      </c>
      <c r="BA233" s="19">
        <f t="shared" si="146"/>
        <v>16383999.999999998</v>
      </c>
      <c r="BB233" s="18">
        <f t="shared" ref="BB233:BG233" si="149">SUM(BB215,BB217,BB219,BB221,BB223,BB225,BB227,BB229,BB231)</f>
        <v>32767999.999999996</v>
      </c>
      <c r="BC233" s="19">
        <f t="shared" si="149"/>
        <v>65535999.999999993</v>
      </c>
      <c r="BD233" s="19">
        <f t="shared" si="149"/>
        <v>131071999.99999999</v>
      </c>
      <c r="BE233" s="19">
        <f t="shared" si="149"/>
        <v>262143999.99999997</v>
      </c>
      <c r="BF233" s="19">
        <f t="shared" si="149"/>
        <v>330565499.99999994</v>
      </c>
      <c r="BG233" s="60">
        <f t="shared" si="149"/>
        <v>330565499.99999994</v>
      </c>
      <c r="BH233" s="45"/>
    </row>
    <row r="234" spans="1:60" x14ac:dyDescent="0.25">
      <c r="A234" s="43" t="s">
        <v>38</v>
      </c>
      <c r="B234" s="44"/>
      <c r="C234" s="11"/>
      <c r="D234" s="11"/>
      <c r="E234" s="38"/>
      <c r="F234" s="11"/>
      <c r="G234" s="11"/>
      <c r="H234" s="11"/>
      <c r="I234" s="11"/>
      <c r="J234" s="11"/>
      <c r="K234" s="11"/>
      <c r="L234" s="11"/>
      <c r="M234" s="11"/>
      <c r="N234" s="11"/>
      <c r="O234" s="11"/>
      <c r="P234" s="31">
        <f>SUM(P216,P218,P220,P222,P224,P226,P228,P230,P232)</f>
        <v>0.69269060204264477</v>
      </c>
      <c r="Q234" s="32">
        <f>SUM(Q216,Q218,Q220,Q222,Q224,Q226,Q228,Q230,Q232)</f>
        <v>1.3853812040852895</v>
      </c>
      <c r="R234" s="32">
        <f t="shared" ref="R234:AP234" si="150">SUM(R216,R218,R220,R222,R224,R226,R228,R230,R232)</f>
        <v>2.7707624081705791</v>
      </c>
      <c r="S234" s="32">
        <f t="shared" si="150"/>
        <v>5.5415248163411581</v>
      </c>
      <c r="T234" s="32">
        <f t="shared" si="150"/>
        <v>11.083049632682316</v>
      </c>
      <c r="U234" s="32">
        <f t="shared" si="150"/>
        <v>22.166099265364632</v>
      </c>
      <c r="V234" s="32">
        <f t="shared" si="150"/>
        <v>44.332198530729265</v>
      </c>
      <c r="W234" s="32">
        <f t="shared" si="150"/>
        <v>88.66439706145853</v>
      </c>
      <c r="X234" s="32">
        <f t="shared" si="150"/>
        <v>177.32879412291706</v>
      </c>
      <c r="Y234" s="32">
        <f t="shared" si="150"/>
        <v>354.65758824583412</v>
      </c>
      <c r="Z234" s="32">
        <f t="shared" si="150"/>
        <v>709.31517649166824</v>
      </c>
      <c r="AA234" s="32">
        <f t="shared" si="150"/>
        <v>1418.6303529833365</v>
      </c>
      <c r="AB234" s="32">
        <f t="shared" si="150"/>
        <v>2837.260705966673</v>
      </c>
      <c r="AC234" s="32">
        <f t="shared" si="150"/>
        <v>5674.5214119333459</v>
      </c>
      <c r="AD234" s="32">
        <f t="shared" si="150"/>
        <v>11349.042823866692</v>
      </c>
      <c r="AE234" s="32">
        <f t="shared" ref="AE234:AG234" si="151">SUM(AE216,AE218,AE220,AE222,AE224,AE226,AE228,AE230,AE232)</f>
        <v>14186.303529833365</v>
      </c>
      <c r="AF234" s="32">
        <f t="shared" si="151"/>
        <v>17023.564235800037</v>
      </c>
      <c r="AG234" s="32">
        <f t="shared" si="151"/>
        <v>19860.824941766703</v>
      </c>
      <c r="AH234" s="32">
        <f t="shared" si="150"/>
        <v>22698.085647733384</v>
      </c>
      <c r="AI234" s="32">
        <f t="shared" ref="AI234:AK234" si="152">SUM(AI216,AI218,AI220,AI222,AI224,AI226,AI228,AI230,AI232)</f>
        <v>28372.60705966673</v>
      </c>
      <c r="AJ234" s="32">
        <f t="shared" si="152"/>
        <v>34047.128471600074</v>
      </c>
      <c r="AK234" s="32">
        <f t="shared" si="152"/>
        <v>39721.649883533406</v>
      </c>
      <c r="AL234" s="32">
        <f t="shared" si="150"/>
        <v>45396.171295466767</v>
      </c>
      <c r="AM234" s="32">
        <f t="shared" si="150"/>
        <v>54475.405554560122</v>
      </c>
      <c r="AN234" s="32">
        <f t="shared" si="150"/>
        <v>63554.639813653455</v>
      </c>
      <c r="AO234" s="32">
        <f t="shared" si="150"/>
        <v>72633.874072746825</v>
      </c>
      <c r="AP234" s="32">
        <f t="shared" si="150"/>
        <v>81713.108331840151</v>
      </c>
      <c r="AQ234" s="32">
        <f t="shared" si="146"/>
        <v>90792.342590933535</v>
      </c>
      <c r="AR234" s="32">
        <f t="shared" ref="AR234:AU234" si="153">SUM(AR216,AR218,AR220,AR222,AR224,AR226,AR228,AR230,AR232)</f>
        <v>108950.81110912024</v>
      </c>
      <c r="AS234" s="32">
        <f t="shared" si="153"/>
        <v>127109.27962730691</v>
      </c>
      <c r="AT234" s="32">
        <f t="shared" si="153"/>
        <v>145267.74814549365</v>
      </c>
      <c r="AU234" s="32">
        <f t="shared" si="153"/>
        <v>163426.2166636803</v>
      </c>
      <c r="AV234" s="32">
        <f t="shared" si="146"/>
        <v>181584.68518186707</v>
      </c>
      <c r="AW234" s="32">
        <f t="shared" ref="AW234:AZ234" si="154">SUM(AW216,AW218,AW220,AW222,AW224,AW226,AW228,AW230,AW232)</f>
        <v>217901.62221824049</v>
      </c>
      <c r="AX234" s="32">
        <f t="shared" si="154"/>
        <v>254218.55925461382</v>
      </c>
      <c r="AY234" s="32">
        <f t="shared" si="154"/>
        <v>290535.4962909873</v>
      </c>
      <c r="AZ234" s="32">
        <f t="shared" si="154"/>
        <v>326852.4333273606</v>
      </c>
      <c r="BA234" s="32">
        <f t="shared" si="146"/>
        <v>363169.37036373414</v>
      </c>
      <c r="BB234" s="31">
        <f t="shared" ref="BB234:BG234" si="155">SUM(BB216,BB218,BB220,BB222,BB224,BB226,BB228,BB230,BB232)</f>
        <v>726338.74072746828</v>
      </c>
      <c r="BC234" s="32">
        <f t="shared" si="155"/>
        <v>1452677.4814549366</v>
      </c>
      <c r="BD234" s="32">
        <f t="shared" si="155"/>
        <v>2905354.9629098731</v>
      </c>
      <c r="BE234" s="32">
        <f t="shared" si="155"/>
        <v>5810709.9258197462</v>
      </c>
      <c r="BF234" s="32">
        <f t="shared" si="155"/>
        <v>7327347.6867048908</v>
      </c>
      <c r="BG234" s="73">
        <f t="shared" si="155"/>
        <v>7327347.6867048908</v>
      </c>
      <c r="BH234" s="45"/>
    </row>
    <row r="235" spans="1:60" x14ac:dyDescent="0.25">
      <c r="A235" s="42"/>
      <c r="B235" s="14"/>
      <c r="C235" s="10"/>
      <c r="D235" s="10"/>
      <c r="E235" s="15"/>
      <c r="F235" s="10"/>
      <c r="G235" s="10"/>
      <c r="H235" s="10"/>
      <c r="I235" s="10"/>
      <c r="J235" s="10"/>
      <c r="K235" s="10"/>
      <c r="L235" s="10"/>
      <c r="M235" s="10"/>
      <c r="N235" s="10"/>
      <c r="O235" s="10"/>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row>
    <row r="236" spans="1:60" x14ac:dyDescent="0.25">
      <c r="A236" s="54" t="s">
        <v>50</v>
      </c>
      <c r="B236" s="14"/>
      <c r="C236" s="10"/>
      <c r="D236" s="10"/>
      <c r="E236" s="15"/>
      <c r="F236" s="10"/>
      <c r="G236" s="10"/>
      <c r="H236" s="10"/>
      <c r="I236" s="10"/>
      <c r="J236" s="10"/>
      <c r="K236" s="10"/>
      <c r="L236" s="10"/>
      <c r="M236" s="10"/>
      <c r="N236" s="10"/>
      <c r="O236" s="10"/>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row>
    <row r="237" spans="1:60" x14ac:dyDescent="0.25">
      <c r="A237" s="4"/>
      <c r="B237" s="9" t="s">
        <v>5</v>
      </c>
      <c r="C237" s="9" t="s">
        <v>3</v>
      </c>
      <c r="D237" s="9"/>
      <c r="E237" s="59" t="s">
        <v>2</v>
      </c>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5"/>
      <c r="BH237" s="47"/>
    </row>
    <row r="238" spans="1:60" x14ac:dyDescent="0.25">
      <c r="A238" s="48" t="s">
        <v>1</v>
      </c>
      <c r="B238" s="24">
        <v>0.36799999999999999</v>
      </c>
      <c r="C238" s="10">
        <f>$B$167 * B238</f>
        <v>121648104</v>
      </c>
      <c r="D238" s="16"/>
      <c r="E238" s="16"/>
      <c r="F238" s="16"/>
      <c r="G238" s="16"/>
      <c r="H238" s="16"/>
      <c r="I238" s="16"/>
      <c r="J238" s="16"/>
      <c r="K238" s="16"/>
      <c r="L238" s="16"/>
      <c r="M238" s="16"/>
      <c r="N238" s="16"/>
      <c r="O238" s="16"/>
      <c r="P238" s="18">
        <f t="shared" ref="P238:BG238" si="156">P$183*$B$238</f>
        <v>11.5</v>
      </c>
      <c r="Q238" s="19">
        <f t="shared" si="156"/>
        <v>23</v>
      </c>
      <c r="R238" s="19">
        <f t="shared" si="156"/>
        <v>46</v>
      </c>
      <c r="S238" s="19">
        <f t="shared" si="156"/>
        <v>92</v>
      </c>
      <c r="T238" s="19">
        <f t="shared" si="156"/>
        <v>184</v>
      </c>
      <c r="U238" s="19">
        <f t="shared" si="156"/>
        <v>368</v>
      </c>
      <c r="V238" s="19">
        <f t="shared" si="156"/>
        <v>736</v>
      </c>
      <c r="W238" s="19">
        <f t="shared" si="156"/>
        <v>1472</v>
      </c>
      <c r="X238" s="19">
        <f t="shared" si="156"/>
        <v>2944</v>
      </c>
      <c r="Y238" s="19">
        <f t="shared" si="156"/>
        <v>5888</v>
      </c>
      <c r="Z238" s="19">
        <f t="shared" si="156"/>
        <v>11776</v>
      </c>
      <c r="AA238" s="19">
        <f t="shared" si="156"/>
        <v>23552</v>
      </c>
      <c r="AB238" s="19">
        <f t="shared" si="156"/>
        <v>47104</v>
      </c>
      <c r="AC238" s="19">
        <f t="shared" si="156"/>
        <v>94208</v>
      </c>
      <c r="AD238" s="19">
        <f t="shared" si="156"/>
        <v>188416</v>
      </c>
      <c r="AE238" s="19">
        <f t="shared" si="156"/>
        <v>235520</v>
      </c>
      <c r="AF238" s="19">
        <f t="shared" si="156"/>
        <v>282624</v>
      </c>
      <c r="AG238" s="19">
        <f t="shared" si="156"/>
        <v>329728</v>
      </c>
      <c r="AH238" s="19">
        <f t="shared" si="156"/>
        <v>376832</v>
      </c>
      <c r="AI238" s="19">
        <f t="shared" si="156"/>
        <v>471040</v>
      </c>
      <c r="AJ238" s="19">
        <f t="shared" si="156"/>
        <v>565248</v>
      </c>
      <c r="AK238" s="19">
        <f t="shared" si="156"/>
        <v>659456</v>
      </c>
      <c r="AL238" s="19">
        <f t="shared" si="156"/>
        <v>753664</v>
      </c>
      <c r="AM238" s="19">
        <f t="shared" si="156"/>
        <v>904396.79999999993</v>
      </c>
      <c r="AN238" s="19">
        <f t="shared" si="156"/>
        <v>1055129.6000000001</v>
      </c>
      <c r="AO238" s="19">
        <f t="shared" si="156"/>
        <v>1205862.3999999999</v>
      </c>
      <c r="AP238" s="19">
        <f t="shared" si="156"/>
        <v>1356595.2</v>
      </c>
      <c r="AQ238" s="19">
        <f t="shared" si="156"/>
        <v>1507328</v>
      </c>
      <c r="AR238" s="19">
        <f t="shared" si="156"/>
        <v>1808793.5999999999</v>
      </c>
      <c r="AS238" s="19">
        <f t="shared" si="156"/>
        <v>2110259.2000000002</v>
      </c>
      <c r="AT238" s="19">
        <f t="shared" si="156"/>
        <v>2411724.7999999998</v>
      </c>
      <c r="AU238" s="19">
        <f t="shared" si="156"/>
        <v>2713190.3999999999</v>
      </c>
      <c r="AV238" s="19">
        <f t="shared" si="156"/>
        <v>3014656</v>
      </c>
      <c r="AW238" s="19">
        <f t="shared" si="156"/>
        <v>3617587.1999999997</v>
      </c>
      <c r="AX238" s="19">
        <f t="shared" si="156"/>
        <v>4220518.4000000004</v>
      </c>
      <c r="AY238" s="19">
        <f t="shared" si="156"/>
        <v>4823449.5999999996</v>
      </c>
      <c r="AZ238" s="19">
        <f t="shared" si="156"/>
        <v>5426380.7999999998</v>
      </c>
      <c r="BA238" s="19">
        <f t="shared" si="156"/>
        <v>6029312</v>
      </c>
      <c r="BB238" s="18">
        <f t="shared" si="156"/>
        <v>12058624</v>
      </c>
      <c r="BC238" s="19">
        <f t="shared" si="156"/>
        <v>24117248</v>
      </c>
      <c r="BD238" s="19">
        <f t="shared" si="156"/>
        <v>48234496</v>
      </c>
      <c r="BE238" s="19">
        <f t="shared" si="156"/>
        <v>96468992</v>
      </c>
      <c r="BF238" s="19">
        <f t="shared" si="156"/>
        <v>121648104</v>
      </c>
      <c r="BG238" s="60">
        <f t="shared" si="156"/>
        <v>121648104</v>
      </c>
      <c r="BH238" s="45"/>
    </row>
    <row r="239" spans="1:60" x14ac:dyDescent="0.25">
      <c r="A239" s="48"/>
      <c r="B239" s="16"/>
      <c r="C239" s="16"/>
      <c r="D239" s="25"/>
      <c r="E239" s="46">
        <v>0.105</v>
      </c>
      <c r="F239" s="16"/>
      <c r="G239" s="16"/>
      <c r="H239" s="16"/>
      <c r="I239" s="16"/>
      <c r="J239" s="16"/>
      <c r="K239" s="16"/>
      <c r="L239" s="16"/>
      <c r="M239" s="16"/>
      <c r="N239" s="16"/>
      <c r="O239" s="16"/>
      <c r="P239" s="29">
        <f>P238*$E$239</f>
        <v>1.2075</v>
      </c>
      <c r="Q239" s="30">
        <f t="shared" ref="Q239:AP239" si="157">Q238*$E$239</f>
        <v>2.415</v>
      </c>
      <c r="R239" s="30">
        <f t="shared" si="157"/>
        <v>4.83</v>
      </c>
      <c r="S239" s="30">
        <f t="shared" si="157"/>
        <v>9.66</v>
      </c>
      <c r="T239" s="30">
        <f t="shared" si="157"/>
        <v>19.32</v>
      </c>
      <c r="U239" s="30">
        <f t="shared" si="157"/>
        <v>38.64</v>
      </c>
      <c r="V239" s="30">
        <f t="shared" si="157"/>
        <v>77.28</v>
      </c>
      <c r="W239" s="30">
        <f t="shared" si="157"/>
        <v>154.56</v>
      </c>
      <c r="X239" s="30">
        <f t="shared" si="157"/>
        <v>309.12</v>
      </c>
      <c r="Y239" s="30">
        <f t="shared" si="157"/>
        <v>618.24</v>
      </c>
      <c r="Z239" s="30">
        <f t="shared" si="157"/>
        <v>1236.48</v>
      </c>
      <c r="AA239" s="30">
        <f t="shared" si="157"/>
        <v>2472.96</v>
      </c>
      <c r="AB239" s="30">
        <f t="shared" si="157"/>
        <v>4945.92</v>
      </c>
      <c r="AC239" s="30">
        <f t="shared" si="157"/>
        <v>9891.84</v>
      </c>
      <c r="AD239" s="30">
        <f t="shared" si="157"/>
        <v>19783.68</v>
      </c>
      <c r="AE239" s="30">
        <f t="shared" ref="AE239:AG239" si="158">AE238*$E$239</f>
        <v>24729.599999999999</v>
      </c>
      <c r="AF239" s="30">
        <f t="shared" si="158"/>
        <v>29675.52</v>
      </c>
      <c r="AG239" s="30">
        <f t="shared" si="158"/>
        <v>34621.440000000002</v>
      </c>
      <c r="AH239" s="30">
        <f t="shared" si="157"/>
        <v>39567.360000000001</v>
      </c>
      <c r="AI239" s="30">
        <f t="shared" ref="AI239:AK239" si="159">AI238*$E$239</f>
        <v>49459.199999999997</v>
      </c>
      <c r="AJ239" s="30">
        <f t="shared" si="159"/>
        <v>59351.040000000001</v>
      </c>
      <c r="AK239" s="30">
        <f t="shared" si="159"/>
        <v>69242.880000000005</v>
      </c>
      <c r="AL239" s="30">
        <f t="shared" si="157"/>
        <v>79134.720000000001</v>
      </c>
      <c r="AM239" s="30">
        <f t="shared" si="157"/>
        <v>94961.66399999999</v>
      </c>
      <c r="AN239" s="30">
        <f t="shared" si="157"/>
        <v>110788.60800000001</v>
      </c>
      <c r="AO239" s="30">
        <f t="shared" si="157"/>
        <v>126615.55199999998</v>
      </c>
      <c r="AP239" s="30">
        <f t="shared" si="157"/>
        <v>142442.49599999998</v>
      </c>
      <c r="AQ239" s="30">
        <f>AQ238*$E$239</f>
        <v>158269.44</v>
      </c>
      <c r="AR239" s="30">
        <f t="shared" ref="AR239:AU239" si="160">AR238*$E$239</f>
        <v>189923.32799999998</v>
      </c>
      <c r="AS239" s="30">
        <f t="shared" si="160"/>
        <v>221577.21600000001</v>
      </c>
      <c r="AT239" s="30">
        <f t="shared" si="160"/>
        <v>253231.10399999996</v>
      </c>
      <c r="AU239" s="30">
        <f t="shared" si="160"/>
        <v>284884.99199999997</v>
      </c>
      <c r="AV239" s="30">
        <f>AV238*$E$239</f>
        <v>316538.88</v>
      </c>
      <c r="AW239" s="30">
        <f t="shared" ref="AW239:AZ239" si="161">AW238*$E$239</f>
        <v>379846.65599999996</v>
      </c>
      <c r="AX239" s="30">
        <f t="shared" si="161"/>
        <v>443154.43200000003</v>
      </c>
      <c r="AY239" s="30">
        <f t="shared" si="161"/>
        <v>506462.20799999993</v>
      </c>
      <c r="AZ239" s="30">
        <f t="shared" si="161"/>
        <v>569769.98399999994</v>
      </c>
      <c r="BA239" s="30">
        <f>BA238*$E$239</f>
        <v>633077.76000000001</v>
      </c>
      <c r="BB239" s="29">
        <f t="shared" ref="BB239:BG239" si="162">BB238*$E$239</f>
        <v>1266155.52</v>
      </c>
      <c r="BC239" s="30">
        <f t="shared" si="162"/>
        <v>2532311.04</v>
      </c>
      <c r="BD239" s="30">
        <f t="shared" si="162"/>
        <v>5064622.0800000001</v>
      </c>
      <c r="BE239" s="30">
        <f t="shared" si="162"/>
        <v>10129244.16</v>
      </c>
      <c r="BF239" s="30">
        <f t="shared" si="162"/>
        <v>12773050.92</v>
      </c>
      <c r="BG239" s="71">
        <f t="shared" si="162"/>
        <v>12773050.92</v>
      </c>
      <c r="BH239" s="45"/>
    </row>
    <row r="240" spans="1:60" x14ac:dyDescent="0.25">
      <c r="A240" s="48" t="s">
        <v>4</v>
      </c>
      <c r="B240" s="24">
        <v>9.8000000000000004E-2</v>
      </c>
      <c r="C240" s="10">
        <f>$B$167 * B240</f>
        <v>32395419</v>
      </c>
      <c r="D240" s="47"/>
      <c r="E240" s="16"/>
      <c r="F240" s="16"/>
      <c r="G240" s="16"/>
      <c r="H240" s="16"/>
      <c r="I240" s="16"/>
      <c r="J240" s="16"/>
      <c r="K240" s="16"/>
      <c r="L240" s="16"/>
      <c r="M240" s="16"/>
      <c r="N240" s="16"/>
      <c r="O240" s="16"/>
      <c r="P240" s="20">
        <f t="shared" ref="P240:BG240" si="163">P$183*$B$240</f>
        <v>3.0625</v>
      </c>
      <c r="Q240" s="21">
        <f t="shared" si="163"/>
        <v>6.125</v>
      </c>
      <c r="R240" s="21">
        <f t="shared" si="163"/>
        <v>12.25</v>
      </c>
      <c r="S240" s="21">
        <f t="shared" si="163"/>
        <v>24.5</v>
      </c>
      <c r="T240" s="21">
        <f t="shared" si="163"/>
        <v>49</v>
      </c>
      <c r="U240" s="21">
        <f t="shared" si="163"/>
        <v>98</v>
      </c>
      <c r="V240" s="21">
        <f t="shared" si="163"/>
        <v>196</v>
      </c>
      <c r="W240" s="21">
        <f t="shared" si="163"/>
        <v>392</v>
      </c>
      <c r="X240" s="21">
        <f t="shared" si="163"/>
        <v>784</v>
      </c>
      <c r="Y240" s="21">
        <f t="shared" si="163"/>
        <v>1568</v>
      </c>
      <c r="Z240" s="21">
        <f t="shared" si="163"/>
        <v>3136</v>
      </c>
      <c r="AA240" s="21">
        <f t="shared" si="163"/>
        <v>6272</v>
      </c>
      <c r="AB240" s="21">
        <f t="shared" si="163"/>
        <v>12544</v>
      </c>
      <c r="AC240" s="21">
        <f t="shared" si="163"/>
        <v>25088</v>
      </c>
      <c r="AD240" s="21">
        <f t="shared" si="163"/>
        <v>50176</v>
      </c>
      <c r="AE240" s="21">
        <f t="shared" si="163"/>
        <v>62720</v>
      </c>
      <c r="AF240" s="21">
        <f t="shared" si="163"/>
        <v>75264</v>
      </c>
      <c r="AG240" s="21">
        <f t="shared" si="163"/>
        <v>87808</v>
      </c>
      <c r="AH240" s="21">
        <f t="shared" si="163"/>
        <v>100352</v>
      </c>
      <c r="AI240" s="21">
        <f t="shared" si="163"/>
        <v>125440</v>
      </c>
      <c r="AJ240" s="21">
        <f t="shared" si="163"/>
        <v>150528</v>
      </c>
      <c r="AK240" s="21">
        <f t="shared" si="163"/>
        <v>175616</v>
      </c>
      <c r="AL240" s="21">
        <f t="shared" si="163"/>
        <v>200704</v>
      </c>
      <c r="AM240" s="21">
        <f t="shared" si="163"/>
        <v>240844.80000000002</v>
      </c>
      <c r="AN240" s="21">
        <f t="shared" si="163"/>
        <v>280985.60000000003</v>
      </c>
      <c r="AO240" s="21">
        <f t="shared" si="163"/>
        <v>321126.40000000002</v>
      </c>
      <c r="AP240" s="21">
        <f t="shared" si="163"/>
        <v>361267.20000000001</v>
      </c>
      <c r="AQ240" s="21">
        <f t="shared" si="163"/>
        <v>401408</v>
      </c>
      <c r="AR240" s="21">
        <f t="shared" si="163"/>
        <v>481689.60000000003</v>
      </c>
      <c r="AS240" s="21">
        <f t="shared" si="163"/>
        <v>561971.20000000007</v>
      </c>
      <c r="AT240" s="21">
        <f t="shared" si="163"/>
        <v>642252.80000000005</v>
      </c>
      <c r="AU240" s="21">
        <f t="shared" si="163"/>
        <v>722534.40000000002</v>
      </c>
      <c r="AV240" s="21">
        <f t="shared" si="163"/>
        <v>802816</v>
      </c>
      <c r="AW240" s="21">
        <f t="shared" si="163"/>
        <v>963379.20000000007</v>
      </c>
      <c r="AX240" s="21">
        <f t="shared" si="163"/>
        <v>1123942.4000000001</v>
      </c>
      <c r="AY240" s="21">
        <f t="shared" si="163"/>
        <v>1284505.6000000001</v>
      </c>
      <c r="AZ240" s="21">
        <f t="shared" si="163"/>
        <v>1445068.8</v>
      </c>
      <c r="BA240" s="21">
        <f t="shared" si="163"/>
        <v>1605632</v>
      </c>
      <c r="BB240" s="20">
        <f t="shared" si="163"/>
        <v>3211264</v>
      </c>
      <c r="BC240" s="21">
        <f t="shared" si="163"/>
        <v>6422528</v>
      </c>
      <c r="BD240" s="21">
        <f t="shared" si="163"/>
        <v>12845056</v>
      </c>
      <c r="BE240" s="21">
        <f t="shared" si="163"/>
        <v>25690112</v>
      </c>
      <c r="BF240" s="21">
        <f t="shared" si="163"/>
        <v>32395419</v>
      </c>
      <c r="BG240" s="72">
        <f t="shared" si="163"/>
        <v>32395419</v>
      </c>
      <c r="BH240" s="45"/>
    </row>
    <row r="241" spans="1:60" x14ac:dyDescent="0.25">
      <c r="A241" s="48"/>
      <c r="B241" s="16"/>
      <c r="C241" s="16"/>
      <c r="D241" s="25"/>
      <c r="E241" s="46">
        <v>7.2999999999999995E-2</v>
      </c>
      <c r="F241" s="16"/>
      <c r="G241" s="16"/>
      <c r="H241" s="16"/>
      <c r="I241" s="16"/>
      <c r="J241" s="16"/>
      <c r="K241" s="16"/>
      <c r="L241" s="16"/>
      <c r="M241" s="16"/>
      <c r="N241" s="16"/>
      <c r="O241" s="16"/>
      <c r="P241" s="29">
        <f t="shared" ref="P241:AP241" si="164">P240*$E$241</f>
        <v>0.2235625</v>
      </c>
      <c r="Q241" s="30">
        <f t="shared" si="164"/>
        <v>0.44712499999999999</v>
      </c>
      <c r="R241" s="30">
        <f t="shared" si="164"/>
        <v>0.89424999999999999</v>
      </c>
      <c r="S241" s="30">
        <f t="shared" si="164"/>
        <v>1.7885</v>
      </c>
      <c r="T241" s="30">
        <f t="shared" si="164"/>
        <v>3.577</v>
      </c>
      <c r="U241" s="30">
        <f t="shared" si="164"/>
        <v>7.1539999999999999</v>
      </c>
      <c r="V241" s="30">
        <f t="shared" si="164"/>
        <v>14.308</v>
      </c>
      <c r="W241" s="30">
        <f t="shared" si="164"/>
        <v>28.616</v>
      </c>
      <c r="X241" s="30">
        <f t="shared" si="164"/>
        <v>57.231999999999999</v>
      </c>
      <c r="Y241" s="30">
        <f t="shared" si="164"/>
        <v>114.464</v>
      </c>
      <c r="Z241" s="30">
        <f t="shared" si="164"/>
        <v>228.928</v>
      </c>
      <c r="AA241" s="30">
        <f t="shared" si="164"/>
        <v>457.85599999999999</v>
      </c>
      <c r="AB241" s="30">
        <f t="shared" si="164"/>
        <v>915.71199999999999</v>
      </c>
      <c r="AC241" s="30">
        <f t="shared" si="164"/>
        <v>1831.424</v>
      </c>
      <c r="AD241" s="30">
        <f t="shared" si="164"/>
        <v>3662.848</v>
      </c>
      <c r="AE241" s="30">
        <f t="shared" ref="AE241:AG241" si="165">AE240*$E$241</f>
        <v>4578.5599999999995</v>
      </c>
      <c r="AF241" s="30">
        <f t="shared" si="165"/>
        <v>5494.2719999999999</v>
      </c>
      <c r="AG241" s="30">
        <f t="shared" si="165"/>
        <v>6409.9839999999995</v>
      </c>
      <c r="AH241" s="30">
        <f t="shared" si="164"/>
        <v>7325.6959999999999</v>
      </c>
      <c r="AI241" s="30">
        <f t="shared" ref="AI241:AK241" si="166">AI240*$E$241</f>
        <v>9157.119999999999</v>
      </c>
      <c r="AJ241" s="30">
        <f t="shared" si="166"/>
        <v>10988.544</v>
      </c>
      <c r="AK241" s="30">
        <f t="shared" si="166"/>
        <v>12819.967999999999</v>
      </c>
      <c r="AL241" s="30">
        <f t="shared" si="164"/>
        <v>14651.392</v>
      </c>
      <c r="AM241" s="30">
        <f t="shared" si="164"/>
        <v>17581.670399999999</v>
      </c>
      <c r="AN241" s="30">
        <f t="shared" si="164"/>
        <v>20511.948800000002</v>
      </c>
      <c r="AO241" s="30">
        <f t="shared" si="164"/>
        <v>23442.227200000001</v>
      </c>
      <c r="AP241" s="30">
        <f t="shared" si="164"/>
        <v>26372.5056</v>
      </c>
      <c r="AQ241" s="30">
        <f>AQ240*$E$241</f>
        <v>29302.784</v>
      </c>
      <c r="AR241" s="30">
        <f t="shared" ref="AR241:AU241" si="167">AR240*$E$241</f>
        <v>35163.340799999998</v>
      </c>
      <c r="AS241" s="30">
        <f t="shared" si="167"/>
        <v>41023.897600000004</v>
      </c>
      <c r="AT241" s="30">
        <f t="shared" si="167"/>
        <v>46884.454400000002</v>
      </c>
      <c r="AU241" s="30">
        <f t="shared" si="167"/>
        <v>52745.011200000001</v>
      </c>
      <c r="AV241" s="30">
        <f>AV240*$E$241</f>
        <v>58605.567999999999</v>
      </c>
      <c r="AW241" s="30">
        <f t="shared" ref="AW241:AZ241" si="168">AW240*$E$241</f>
        <v>70326.681599999996</v>
      </c>
      <c r="AX241" s="30">
        <f t="shared" si="168"/>
        <v>82047.795200000008</v>
      </c>
      <c r="AY241" s="30">
        <f t="shared" si="168"/>
        <v>93768.908800000005</v>
      </c>
      <c r="AZ241" s="30">
        <f t="shared" si="168"/>
        <v>105490.0224</v>
      </c>
      <c r="BA241" s="30">
        <f>BA240*$E$241</f>
        <v>117211.136</v>
      </c>
      <c r="BB241" s="29">
        <f t="shared" ref="BB241:BG241" si="169">BB240*$E$241</f>
        <v>234422.272</v>
      </c>
      <c r="BC241" s="30">
        <f t="shared" si="169"/>
        <v>468844.54399999999</v>
      </c>
      <c r="BD241" s="30">
        <f t="shared" si="169"/>
        <v>937689.08799999999</v>
      </c>
      <c r="BE241" s="30">
        <f t="shared" si="169"/>
        <v>1875378.176</v>
      </c>
      <c r="BF241" s="30">
        <f t="shared" si="169"/>
        <v>2364865.5869999998</v>
      </c>
      <c r="BG241" s="71">
        <f t="shared" si="169"/>
        <v>2364865.5869999998</v>
      </c>
      <c r="BH241" s="45"/>
    </row>
    <row r="242" spans="1:60" x14ac:dyDescent="0.25">
      <c r="A242" s="48" t="s">
        <v>6</v>
      </c>
      <c r="B242" s="24">
        <v>0.13400000000000001</v>
      </c>
      <c r="C242" s="10">
        <f>$B$167 * B242</f>
        <v>44295777</v>
      </c>
      <c r="D242" s="47"/>
      <c r="E242" s="16"/>
      <c r="F242" s="16"/>
      <c r="G242" s="16"/>
      <c r="H242" s="16"/>
      <c r="I242" s="16"/>
      <c r="J242" s="16"/>
      <c r="K242" s="16"/>
      <c r="L242" s="16"/>
      <c r="M242" s="16"/>
      <c r="N242" s="16"/>
      <c r="O242" s="16"/>
      <c r="P242" s="20">
        <f t="shared" ref="P242:BG242" si="170">P$183*$B$242</f>
        <v>4.1875</v>
      </c>
      <c r="Q242" s="21">
        <f t="shared" si="170"/>
        <v>8.375</v>
      </c>
      <c r="R242" s="21">
        <f t="shared" si="170"/>
        <v>16.75</v>
      </c>
      <c r="S242" s="21">
        <f t="shared" si="170"/>
        <v>33.5</v>
      </c>
      <c r="T242" s="21">
        <f t="shared" si="170"/>
        <v>67</v>
      </c>
      <c r="U242" s="21">
        <f t="shared" si="170"/>
        <v>134</v>
      </c>
      <c r="V242" s="21">
        <f t="shared" si="170"/>
        <v>268</v>
      </c>
      <c r="W242" s="21">
        <f t="shared" si="170"/>
        <v>536</v>
      </c>
      <c r="X242" s="21">
        <f t="shared" si="170"/>
        <v>1072</v>
      </c>
      <c r="Y242" s="21">
        <f t="shared" si="170"/>
        <v>2144</v>
      </c>
      <c r="Z242" s="21">
        <f t="shared" si="170"/>
        <v>4288</v>
      </c>
      <c r="AA242" s="21">
        <f t="shared" si="170"/>
        <v>8576</v>
      </c>
      <c r="AB242" s="21">
        <f t="shared" si="170"/>
        <v>17152</v>
      </c>
      <c r="AC242" s="21">
        <f t="shared" si="170"/>
        <v>34304</v>
      </c>
      <c r="AD242" s="21">
        <f t="shared" si="170"/>
        <v>68608</v>
      </c>
      <c r="AE242" s="21">
        <f t="shared" si="170"/>
        <v>85760</v>
      </c>
      <c r="AF242" s="21">
        <f t="shared" si="170"/>
        <v>102912</v>
      </c>
      <c r="AG242" s="21">
        <f t="shared" si="170"/>
        <v>120064</v>
      </c>
      <c r="AH242" s="21">
        <f t="shared" si="170"/>
        <v>137216</v>
      </c>
      <c r="AI242" s="21">
        <f t="shared" si="170"/>
        <v>171520</v>
      </c>
      <c r="AJ242" s="21">
        <f t="shared" si="170"/>
        <v>205824</v>
      </c>
      <c r="AK242" s="21">
        <f t="shared" si="170"/>
        <v>240128</v>
      </c>
      <c r="AL242" s="21">
        <f t="shared" si="170"/>
        <v>274432</v>
      </c>
      <c r="AM242" s="21">
        <f t="shared" si="170"/>
        <v>329318.40000000002</v>
      </c>
      <c r="AN242" s="21">
        <f t="shared" si="170"/>
        <v>384204.80000000005</v>
      </c>
      <c r="AO242" s="21">
        <f t="shared" si="170"/>
        <v>439091.20000000001</v>
      </c>
      <c r="AP242" s="21">
        <f t="shared" si="170"/>
        <v>493977.60000000003</v>
      </c>
      <c r="AQ242" s="21">
        <f t="shared" si="170"/>
        <v>548864</v>
      </c>
      <c r="AR242" s="21">
        <f t="shared" si="170"/>
        <v>658636.80000000005</v>
      </c>
      <c r="AS242" s="21">
        <f t="shared" si="170"/>
        <v>768409.60000000009</v>
      </c>
      <c r="AT242" s="21">
        <f t="shared" si="170"/>
        <v>878182.40000000002</v>
      </c>
      <c r="AU242" s="21">
        <f t="shared" si="170"/>
        <v>987955.20000000007</v>
      </c>
      <c r="AV242" s="21">
        <f t="shared" si="170"/>
        <v>1097728</v>
      </c>
      <c r="AW242" s="21">
        <f t="shared" si="170"/>
        <v>1317273.6000000001</v>
      </c>
      <c r="AX242" s="21">
        <f t="shared" si="170"/>
        <v>1536819.2000000002</v>
      </c>
      <c r="AY242" s="21">
        <f t="shared" si="170"/>
        <v>1756364.8</v>
      </c>
      <c r="AZ242" s="21">
        <f t="shared" si="170"/>
        <v>1975910.4000000001</v>
      </c>
      <c r="BA242" s="21">
        <f t="shared" si="170"/>
        <v>2195456</v>
      </c>
      <c r="BB242" s="20">
        <f t="shared" si="170"/>
        <v>4390912</v>
      </c>
      <c r="BC242" s="21">
        <f t="shared" si="170"/>
        <v>8781824</v>
      </c>
      <c r="BD242" s="21">
        <f t="shared" si="170"/>
        <v>17563648</v>
      </c>
      <c r="BE242" s="21">
        <f t="shared" si="170"/>
        <v>35127296</v>
      </c>
      <c r="BF242" s="21">
        <f t="shared" si="170"/>
        <v>44295777</v>
      </c>
      <c r="BG242" s="72">
        <f t="shared" si="170"/>
        <v>44295777</v>
      </c>
      <c r="BH242" s="45"/>
    </row>
    <row r="243" spans="1:60" x14ac:dyDescent="0.25">
      <c r="A243" s="48"/>
      <c r="B243" s="16"/>
      <c r="C243" s="16"/>
      <c r="D243" s="25"/>
      <c r="E243" s="46">
        <v>6.3E-2</v>
      </c>
      <c r="F243" s="16"/>
      <c r="G243" s="16"/>
      <c r="H243" s="16"/>
      <c r="I243" s="16"/>
      <c r="J243" s="16"/>
      <c r="K243" s="16"/>
      <c r="L243" s="16"/>
      <c r="M243" s="16"/>
      <c r="N243" s="16"/>
      <c r="O243" s="16"/>
      <c r="P243" s="29">
        <f t="shared" ref="P243:AP243" si="171">P242*$E$243</f>
        <v>0.26381250000000001</v>
      </c>
      <c r="Q243" s="30">
        <f t="shared" si="171"/>
        <v>0.52762500000000001</v>
      </c>
      <c r="R243" s="30">
        <f t="shared" si="171"/>
        <v>1.05525</v>
      </c>
      <c r="S243" s="30">
        <f t="shared" si="171"/>
        <v>2.1105</v>
      </c>
      <c r="T243" s="30">
        <f t="shared" si="171"/>
        <v>4.2210000000000001</v>
      </c>
      <c r="U243" s="30">
        <f t="shared" si="171"/>
        <v>8.4420000000000002</v>
      </c>
      <c r="V243" s="30">
        <f t="shared" si="171"/>
        <v>16.884</v>
      </c>
      <c r="W243" s="30">
        <f t="shared" si="171"/>
        <v>33.768000000000001</v>
      </c>
      <c r="X243" s="30">
        <f t="shared" si="171"/>
        <v>67.536000000000001</v>
      </c>
      <c r="Y243" s="30">
        <f t="shared" si="171"/>
        <v>135.072</v>
      </c>
      <c r="Z243" s="30">
        <f t="shared" si="171"/>
        <v>270.14400000000001</v>
      </c>
      <c r="AA243" s="30">
        <f t="shared" si="171"/>
        <v>540.28800000000001</v>
      </c>
      <c r="AB243" s="30">
        <f t="shared" si="171"/>
        <v>1080.576</v>
      </c>
      <c r="AC243" s="30">
        <f t="shared" si="171"/>
        <v>2161.152</v>
      </c>
      <c r="AD243" s="30">
        <f t="shared" si="171"/>
        <v>4322.3040000000001</v>
      </c>
      <c r="AE243" s="30">
        <f t="shared" ref="AE243:AG243" si="172">AE242*$E$243</f>
        <v>5402.88</v>
      </c>
      <c r="AF243" s="30">
        <f t="shared" si="172"/>
        <v>6483.4560000000001</v>
      </c>
      <c r="AG243" s="30">
        <f t="shared" si="172"/>
        <v>7564.0320000000002</v>
      </c>
      <c r="AH243" s="30">
        <f t="shared" si="171"/>
        <v>8644.6080000000002</v>
      </c>
      <c r="AI243" s="30">
        <f t="shared" ref="AI243:AK243" si="173">AI242*$E$243</f>
        <v>10805.76</v>
      </c>
      <c r="AJ243" s="30">
        <f t="shared" si="173"/>
        <v>12966.912</v>
      </c>
      <c r="AK243" s="30">
        <f t="shared" si="173"/>
        <v>15128.064</v>
      </c>
      <c r="AL243" s="30">
        <f t="shared" si="171"/>
        <v>17289.216</v>
      </c>
      <c r="AM243" s="30">
        <f t="shared" si="171"/>
        <v>20747.059200000003</v>
      </c>
      <c r="AN243" s="30">
        <f t="shared" si="171"/>
        <v>24204.902400000003</v>
      </c>
      <c r="AO243" s="30">
        <f t="shared" si="171"/>
        <v>27662.745600000002</v>
      </c>
      <c r="AP243" s="30">
        <f t="shared" si="171"/>
        <v>31120.588800000001</v>
      </c>
      <c r="AQ243" s="30">
        <f>AQ242*$E$243</f>
        <v>34578.432000000001</v>
      </c>
      <c r="AR243" s="30">
        <f t="shared" ref="AR243:AU243" si="174">AR242*$E$243</f>
        <v>41494.118400000007</v>
      </c>
      <c r="AS243" s="30">
        <f t="shared" si="174"/>
        <v>48409.804800000005</v>
      </c>
      <c r="AT243" s="30">
        <f t="shared" si="174"/>
        <v>55325.491200000004</v>
      </c>
      <c r="AU243" s="30">
        <f t="shared" si="174"/>
        <v>62241.177600000003</v>
      </c>
      <c r="AV243" s="30">
        <f>AV242*$E$243</f>
        <v>69156.864000000001</v>
      </c>
      <c r="AW243" s="30">
        <f t="shared" ref="AW243:AZ243" si="175">AW242*$E$243</f>
        <v>82988.236800000013</v>
      </c>
      <c r="AX243" s="30">
        <f t="shared" si="175"/>
        <v>96819.609600000011</v>
      </c>
      <c r="AY243" s="30">
        <f t="shared" si="175"/>
        <v>110650.98240000001</v>
      </c>
      <c r="AZ243" s="30">
        <f t="shared" si="175"/>
        <v>124482.35520000001</v>
      </c>
      <c r="BA243" s="30">
        <f>BA242*$E$243</f>
        <v>138313.728</v>
      </c>
      <c r="BB243" s="29">
        <f t="shared" ref="BB243:BG243" si="176">BB242*$E$243</f>
        <v>276627.45600000001</v>
      </c>
      <c r="BC243" s="30">
        <f t="shared" si="176"/>
        <v>553254.91200000001</v>
      </c>
      <c r="BD243" s="30">
        <f t="shared" si="176"/>
        <v>1106509.824</v>
      </c>
      <c r="BE243" s="30">
        <f t="shared" si="176"/>
        <v>2213019.648</v>
      </c>
      <c r="BF243" s="30">
        <f t="shared" si="176"/>
        <v>2790633.9509999999</v>
      </c>
      <c r="BG243" s="71">
        <f t="shared" si="176"/>
        <v>2790633.9509999999</v>
      </c>
      <c r="BH243" s="45"/>
    </row>
    <row r="244" spans="1:60" x14ac:dyDescent="0.25">
      <c r="A244" s="48" t="s">
        <v>7</v>
      </c>
      <c r="B244" s="24">
        <v>0.46</v>
      </c>
      <c r="C244" s="10">
        <f>$B$167 * B244</f>
        <v>152060130</v>
      </c>
      <c r="D244" s="47"/>
      <c r="E244" s="16"/>
      <c r="F244" s="16"/>
      <c r="G244" s="16"/>
      <c r="H244" s="16"/>
      <c r="I244" s="16"/>
      <c r="J244" s="16"/>
      <c r="K244" s="16"/>
      <c r="L244" s="16"/>
      <c r="M244" s="16"/>
      <c r="N244" s="16"/>
      <c r="O244" s="16"/>
      <c r="P244" s="20">
        <f t="shared" ref="P244:BG244" si="177">P$183*$B$244</f>
        <v>14.375</v>
      </c>
      <c r="Q244" s="21">
        <f t="shared" si="177"/>
        <v>28.75</v>
      </c>
      <c r="R244" s="21">
        <f t="shared" si="177"/>
        <v>57.5</v>
      </c>
      <c r="S244" s="21">
        <f t="shared" si="177"/>
        <v>115</v>
      </c>
      <c r="T244" s="21">
        <f t="shared" si="177"/>
        <v>230</v>
      </c>
      <c r="U244" s="21">
        <f t="shared" si="177"/>
        <v>460</v>
      </c>
      <c r="V244" s="21">
        <f t="shared" si="177"/>
        <v>920</v>
      </c>
      <c r="W244" s="21">
        <f t="shared" si="177"/>
        <v>1840</v>
      </c>
      <c r="X244" s="21">
        <f t="shared" si="177"/>
        <v>3680</v>
      </c>
      <c r="Y244" s="21">
        <f t="shared" si="177"/>
        <v>7360</v>
      </c>
      <c r="Z244" s="21">
        <f t="shared" si="177"/>
        <v>14720</v>
      </c>
      <c r="AA244" s="21">
        <f t="shared" si="177"/>
        <v>29440</v>
      </c>
      <c r="AB244" s="21">
        <f t="shared" si="177"/>
        <v>58880</v>
      </c>
      <c r="AC244" s="21">
        <f t="shared" si="177"/>
        <v>117760</v>
      </c>
      <c r="AD244" s="21">
        <f t="shared" si="177"/>
        <v>235520</v>
      </c>
      <c r="AE244" s="21">
        <f t="shared" si="177"/>
        <v>294400</v>
      </c>
      <c r="AF244" s="21">
        <f t="shared" si="177"/>
        <v>353280</v>
      </c>
      <c r="AG244" s="21">
        <f t="shared" si="177"/>
        <v>412160</v>
      </c>
      <c r="AH244" s="21">
        <f t="shared" si="177"/>
        <v>471040</v>
      </c>
      <c r="AI244" s="21">
        <f t="shared" si="177"/>
        <v>588800</v>
      </c>
      <c r="AJ244" s="21">
        <f t="shared" si="177"/>
        <v>706560</v>
      </c>
      <c r="AK244" s="21">
        <f t="shared" si="177"/>
        <v>824320</v>
      </c>
      <c r="AL244" s="21">
        <f t="shared" si="177"/>
        <v>942080</v>
      </c>
      <c r="AM244" s="21">
        <f t="shared" si="177"/>
        <v>1130496</v>
      </c>
      <c r="AN244" s="21">
        <f t="shared" si="177"/>
        <v>1318912</v>
      </c>
      <c r="AO244" s="21">
        <f t="shared" si="177"/>
        <v>1507328</v>
      </c>
      <c r="AP244" s="21">
        <f t="shared" si="177"/>
        <v>1695744</v>
      </c>
      <c r="AQ244" s="21">
        <f t="shared" si="177"/>
        <v>1884160</v>
      </c>
      <c r="AR244" s="21">
        <f t="shared" si="177"/>
        <v>2260992</v>
      </c>
      <c r="AS244" s="21">
        <f t="shared" si="177"/>
        <v>2637824</v>
      </c>
      <c r="AT244" s="21">
        <f t="shared" si="177"/>
        <v>3014656</v>
      </c>
      <c r="AU244" s="21">
        <f t="shared" si="177"/>
        <v>3391488</v>
      </c>
      <c r="AV244" s="21">
        <f t="shared" si="177"/>
        <v>3768320</v>
      </c>
      <c r="AW244" s="21">
        <f t="shared" si="177"/>
        <v>4521984</v>
      </c>
      <c r="AX244" s="21">
        <f t="shared" si="177"/>
        <v>5275648</v>
      </c>
      <c r="AY244" s="21">
        <f t="shared" si="177"/>
        <v>6029312</v>
      </c>
      <c r="AZ244" s="21">
        <f t="shared" si="177"/>
        <v>6782976</v>
      </c>
      <c r="BA244" s="21">
        <f t="shared" si="177"/>
        <v>7536640</v>
      </c>
      <c r="BB244" s="20">
        <f t="shared" si="177"/>
        <v>15073280</v>
      </c>
      <c r="BC244" s="21">
        <f t="shared" si="177"/>
        <v>30146560</v>
      </c>
      <c r="BD244" s="21">
        <f t="shared" si="177"/>
        <v>60293120</v>
      </c>
      <c r="BE244" s="21">
        <f t="shared" si="177"/>
        <v>120586240</v>
      </c>
      <c r="BF244" s="21">
        <f t="shared" si="177"/>
        <v>152060130</v>
      </c>
      <c r="BG244" s="72">
        <f t="shared" si="177"/>
        <v>152060130</v>
      </c>
      <c r="BH244" s="45"/>
    </row>
    <row r="245" spans="1:60" x14ac:dyDescent="0.25">
      <c r="A245" s="48"/>
      <c r="B245" s="16"/>
      <c r="C245" s="16"/>
      <c r="D245" s="25"/>
      <c r="E245" s="46">
        <v>0.06</v>
      </c>
      <c r="F245" s="16"/>
      <c r="G245" s="16"/>
      <c r="H245" s="16"/>
      <c r="I245" s="16"/>
      <c r="J245" s="16"/>
      <c r="K245" s="16"/>
      <c r="L245" s="16"/>
      <c r="M245" s="16"/>
      <c r="N245" s="16"/>
      <c r="O245" s="16"/>
      <c r="P245" s="29">
        <f t="shared" ref="P245:AP245" si="178">P244*$E$245</f>
        <v>0.86249999999999993</v>
      </c>
      <c r="Q245" s="30">
        <f t="shared" si="178"/>
        <v>1.7249999999999999</v>
      </c>
      <c r="R245" s="30">
        <f t="shared" si="178"/>
        <v>3.4499999999999997</v>
      </c>
      <c r="S245" s="30">
        <f t="shared" si="178"/>
        <v>6.8999999999999995</v>
      </c>
      <c r="T245" s="30">
        <f t="shared" si="178"/>
        <v>13.799999999999999</v>
      </c>
      <c r="U245" s="30">
        <f t="shared" si="178"/>
        <v>27.599999999999998</v>
      </c>
      <c r="V245" s="30">
        <f t="shared" si="178"/>
        <v>55.199999999999996</v>
      </c>
      <c r="W245" s="30">
        <f t="shared" si="178"/>
        <v>110.39999999999999</v>
      </c>
      <c r="X245" s="30">
        <f t="shared" si="178"/>
        <v>220.79999999999998</v>
      </c>
      <c r="Y245" s="30">
        <f t="shared" si="178"/>
        <v>441.59999999999997</v>
      </c>
      <c r="Z245" s="30">
        <f t="shared" si="178"/>
        <v>883.19999999999993</v>
      </c>
      <c r="AA245" s="30">
        <f t="shared" si="178"/>
        <v>1766.3999999999999</v>
      </c>
      <c r="AB245" s="30">
        <f t="shared" si="178"/>
        <v>3532.7999999999997</v>
      </c>
      <c r="AC245" s="30">
        <f t="shared" si="178"/>
        <v>7065.5999999999995</v>
      </c>
      <c r="AD245" s="30">
        <f t="shared" si="178"/>
        <v>14131.199999999999</v>
      </c>
      <c r="AE245" s="30">
        <f t="shared" ref="AE245:AG245" si="179">AE244*$E$245</f>
        <v>17664</v>
      </c>
      <c r="AF245" s="30">
        <f t="shared" si="179"/>
        <v>21196.799999999999</v>
      </c>
      <c r="AG245" s="30">
        <f t="shared" si="179"/>
        <v>24729.599999999999</v>
      </c>
      <c r="AH245" s="30">
        <f t="shared" si="178"/>
        <v>28262.399999999998</v>
      </c>
      <c r="AI245" s="30">
        <f t="shared" ref="AI245:AK245" si="180">AI244*$E$245</f>
        <v>35328</v>
      </c>
      <c r="AJ245" s="30">
        <f t="shared" si="180"/>
        <v>42393.599999999999</v>
      </c>
      <c r="AK245" s="30">
        <f t="shared" si="180"/>
        <v>49459.199999999997</v>
      </c>
      <c r="AL245" s="30">
        <f t="shared" si="178"/>
        <v>56524.799999999996</v>
      </c>
      <c r="AM245" s="30">
        <f t="shared" si="178"/>
        <v>67829.759999999995</v>
      </c>
      <c r="AN245" s="30">
        <f t="shared" si="178"/>
        <v>79134.720000000001</v>
      </c>
      <c r="AO245" s="30">
        <f t="shared" si="178"/>
        <v>90439.679999999993</v>
      </c>
      <c r="AP245" s="30">
        <f t="shared" si="178"/>
        <v>101744.64</v>
      </c>
      <c r="AQ245" s="30">
        <f>AQ244*$E$245</f>
        <v>113049.59999999999</v>
      </c>
      <c r="AR245" s="30">
        <f t="shared" ref="AR245:AU245" si="181">AR244*$E$245</f>
        <v>135659.51999999999</v>
      </c>
      <c r="AS245" s="30">
        <f t="shared" si="181"/>
        <v>158269.44</v>
      </c>
      <c r="AT245" s="30">
        <f t="shared" si="181"/>
        <v>180879.35999999999</v>
      </c>
      <c r="AU245" s="30">
        <f t="shared" si="181"/>
        <v>203489.28</v>
      </c>
      <c r="AV245" s="30">
        <f>AV244*$E$245</f>
        <v>226099.19999999998</v>
      </c>
      <c r="AW245" s="30">
        <f t="shared" ref="AW245:AZ245" si="182">AW244*$E$245</f>
        <v>271319.03999999998</v>
      </c>
      <c r="AX245" s="30">
        <f t="shared" si="182"/>
        <v>316538.88</v>
      </c>
      <c r="AY245" s="30">
        <f t="shared" si="182"/>
        <v>361758.71999999997</v>
      </c>
      <c r="AZ245" s="30">
        <f t="shared" si="182"/>
        <v>406978.56</v>
      </c>
      <c r="BA245" s="30">
        <f>BA244*$E$245</f>
        <v>452198.39999999997</v>
      </c>
      <c r="BB245" s="29">
        <f t="shared" ref="BB245:BG245" si="183">BB244*$E$245</f>
        <v>904396.79999999993</v>
      </c>
      <c r="BC245" s="30">
        <f t="shared" si="183"/>
        <v>1808793.5999999999</v>
      </c>
      <c r="BD245" s="30">
        <f t="shared" si="183"/>
        <v>3617587.1999999997</v>
      </c>
      <c r="BE245" s="30">
        <f t="shared" si="183"/>
        <v>7235174.3999999994</v>
      </c>
      <c r="BF245" s="30">
        <f t="shared" si="183"/>
        <v>9123607.7999999989</v>
      </c>
      <c r="BG245" s="71">
        <f t="shared" si="183"/>
        <v>9123607.7999999989</v>
      </c>
      <c r="BH245" s="45"/>
    </row>
    <row r="246" spans="1:60" x14ac:dyDescent="0.25">
      <c r="A246" s="48" t="s">
        <v>8</v>
      </c>
      <c r="B246" s="24">
        <v>4.3899999999999998E-3</v>
      </c>
      <c r="C246" s="10">
        <f>$B$167 * B246</f>
        <v>1451182.5449999999</v>
      </c>
      <c r="D246" s="47"/>
      <c r="E246" s="16"/>
      <c r="F246" s="16"/>
      <c r="G246" s="16"/>
      <c r="H246" s="16"/>
      <c r="I246" s="16"/>
      <c r="J246" s="16"/>
      <c r="K246" s="16"/>
      <c r="L246" s="16"/>
      <c r="M246" s="16"/>
      <c r="N246" s="16"/>
      <c r="O246" s="16"/>
      <c r="P246" s="20">
        <f t="shared" ref="P246:BG246" si="184">P$183*$B$246</f>
        <v>0.13718749999999999</v>
      </c>
      <c r="Q246" s="21">
        <f t="shared" si="184"/>
        <v>0.27437499999999998</v>
      </c>
      <c r="R246" s="21">
        <f t="shared" si="184"/>
        <v>0.54874999999999996</v>
      </c>
      <c r="S246" s="21">
        <f t="shared" si="184"/>
        <v>1.0974999999999999</v>
      </c>
      <c r="T246" s="21">
        <f t="shared" si="184"/>
        <v>2.1949999999999998</v>
      </c>
      <c r="U246" s="21">
        <f t="shared" si="184"/>
        <v>4.3899999999999997</v>
      </c>
      <c r="V246" s="21">
        <f t="shared" si="184"/>
        <v>8.7799999999999994</v>
      </c>
      <c r="W246" s="21">
        <f t="shared" si="184"/>
        <v>17.559999999999999</v>
      </c>
      <c r="X246" s="21">
        <f t="shared" si="184"/>
        <v>35.119999999999997</v>
      </c>
      <c r="Y246" s="21">
        <f t="shared" si="184"/>
        <v>70.239999999999995</v>
      </c>
      <c r="Z246" s="21">
        <f t="shared" si="184"/>
        <v>140.47999999999999</v>
      </c>
      <c r="AA246" s="21">
        <f t="shared" si="184"/>
        <v>280.95999999999998</v>
      </c>
      <c r="AB246" s="21">
        <f t="shared" si="184"/>
        <v>561.91999999999996</v>
      </c>
      <c r="AC246" s="21">
        <f t="shared" si="184"/>
        <v>1123.8399999999999</v>
      </c>
      <c r="AD246" s="21">
        <f t="shared" si="184"/>
        <v>2247.6799999999998</v>
      </c>
      <c r="AE246" s="21">
        <f t="shared" si="184"/>
        <v>2809.6</v>
      </c>
      <c r="AF246" s="21">
        <f t="shared" si="184"/>
        <v>3371.52</v>
      </c>
      <c r="AG246" s="21">
        <f t="shared" si="184"/>
        <v>3933.4399999999996</v>
      </c>
      <c r="AH246" s="21">
        <f t="shared" si="184"/>
        <v>4495.3599999999997</v>
      </c>
      <c r="AI246" s="21">
        <f t="shared" si="184"/>
        <v>5619.2</v>
      </c>
      <c r="AJ246" s="21">
        <f t="shared" si="184"/>
        <v>6743.04</v>
      </c>
      <c r="AK246" s="21">
        <f t="shared" si="184"/>
        <v>7866.8799999999992</v>
      </c>
      <c r="AL246" s="21">
        <f t="shared" si="184"/>
        <v>8990.7199999999993</v>
      </c>
      <c r="AM246" s="21">
        <f t="shared" si="184"/>
        <v>10788.864</v>
      </c>
      <c r="AN246" s="21">
        <f t="shared" si="184"/>
        <v>12587.008</v>
      </c>
      <c r="AO246" s="21">
        <f t="shared" si="184"/>
        <v>14385.152</v>
      </c>
      <c r="AP246" s="21">
        <f t="shared" si="184"/>
        <v>16183.295999999998</v>
      </c>
      <c r="AQ246" s="21">
        <f t="shared" si="184"/>
        <v>17981.439999999999</v>
      </c>
      <c r="AR246" s="21">
        <f t="shared" si="184"/>
        <v>21577.727999999999</v>
      </c>
      <c r="AS246" s="21">
        <f t="shared" si="184"/>
        <v>25174.016</v>
      </c>
      <c r="AT246" s="21">
        <f t="shared" si="184"/>
        <v>28770.304</v>
      </c>
      <c r="AU246" s="21">
        <f t="shared" si="184"/>
        <v>32366.591999999997</v>
      </c>
      <c r="AV246" s="21">
        <f t="shared" si="184"/>
        <v>35962.879999999997</v>
      </c>
      <c r="AW246" s="21">
        <f t="shared" si="184"/>
        <v>43155.455999999998</v>
      </c>
      <c r="AX246" s="21">
        <f t="shared" si="184"/>
        <v>50348.031999999999</v>
      </c>
      <c r="AY246" s="21">
        <f t="shared" si="184"/>
        <v>57540.608</v>
      </c>
      <c r="AZ246" s="21">
        <f t="shared" si="184"/>
        <v>64733.183999999994</v>
      </c>
      <c r="BA246" s="21">
        <f t="shared" si="184"/>
        <v>71925.759999999995</v>
      </c>
      <c r="BB246" s="20">
        <f t="shared" si="184"/>
        <v>143851.51999999999</v>
      </c>
      <c r="BC246" s="21">
        <f t="shared" si="184"/>
        <v>287703.03999999998</v>
      </c>
      <c r="BD246" s="21">
        <f t="shared" si="184"/>
        <v>575406.07999999996</v>
      </c>
      <c r="BE246" s="21">
        <f t="shared" si="184"/>
        <v>1150812.1599999999</v>
      </c>
      <c r="BF246" s="21">
        <f t="shared" si="184"/>
        <v>1451182.5449999999</v>
      </c>
      <c r="BG246" s="72">
        <f t="shared" si="184"/>
        <v>1451182.5449999999</v>
      </c>
      <c r="BH246" s="45"/>
    </row>
    <row r="247" spans="1:60" x14ac:dyDescent="0.25">
      <c r="A247" s="48"/>
      <c r="B247" s="16"/>
      <c r="C247" s="16"/>
      <c r="D247" s="25"/>
      <c r="E247" s="46">
        <v>5.6000000000000001E-2</v>
      </c>
      <c r="F247" s="16"/>
      <c r="G247" s="16"/>
      <c r="H247" s="16"/>
      <c r="I247" s="16"/>
      <c r="J247" s="16"/>
      <c r="K247" s="16"/>
      <c r="L247" s="16"/>
      <c r="M247" s="16"/>
      <c r="N247" s="16"/>
      <c r="O247" s="16"/>
      <c r="P247" s="29">
        <f t="shared" ref="P247:AP247" si="185">P246*$E$247</f>
        <v>7.6824999999999992E-3</v>
      </c>
      <c r="Q247" s="30">
        <f t="shared" si="185"/>
        <v>1.5364999999999998E-2</v>
      </c>
      <c r="R247" s="30">
        <f t="shared" si="185"/>
        <v>3.0729999999999997E-2</v>
      </c>
      <c r="S247" s="30">
        <f t="shared" si="185"/>
        <v>6.1459999999999994E-2</v>
      </c>
      <c r="T247" s="30">
        <f t="shared" si="185"/>
        <v>0.12291999999999999</v>
      </c>
      <c r="U247" s="30">
        <f t="shared" si="185"/>
        <v>0.24583999999999998</v>
      </c>
      <c r="V247" s="30">
        <f t="shared" si="185"/>
        <v>0.49167999999999995</v>
      </c>
      <c r="W247" s="30">
        <f t="shared" si="185"/>
        <v>0.9833599999999999</v>
      </c>
      <c r="X247" s="30">
        <f t="shared" si="185"/>
        <v>1.9667199999999998</v>
      </c>
      <c r="Y247" s="30">
        <f t="shared" si="185"/>
        <v>3.9334399999999996</v>
      </c>
      <c r="Z247" s="30">
        <f t="shared" si="185"/>
        <v>7.8668799999999992</v>
      </c>
      <c r="AA247" s="30">
        <f t="shared" si="185"/>
        <v>15.733759999999998</v>
      </c>
      <c r="AB247" s="30">
        <f t="shared" si="185"/>
        <v>31.467519999999997</v>
      </c>
      <c r="AC247" s="30">
        <f t="shared" si="185"/>
        <v>62.935039999999994</v>
      </c>
      <c r="AD247" s="30">
        <f t="shared" si="185"/>
        <v>125.87007999999999</v>
      </c>
      <c r="AE247" s="30">
        <f t="shared" ref="AE247:AG247" si="186">AE246*$E$247</f>
        <v>157.33760000000001</v>
      </c>
      <c r="AF247" s="30">
        <f t="shared" si="186"/>
        <v>188.80512000000002</v>
      </c>
      <c r="AG247" s="30">
        <f t="shared" si="186"/>
        <v>220.27264</v>
      </c>
      <c r="AH247" s="30">
        <f t="shared" si="185"/>
        <v>251.74015999999997</v>
      </c>
      <c r="AI247" s="30">
        <f t="shared" ref="AI247:AK247" si="187">AI246*$E$247</f>
        <v>314.67520000000002</v>
      </c>
      <c r="AJ247" s="30">
        <f t="shared" si="187"/>
        <v>377.61024000000003</v>
      </c>
      <c r="AK247" s="30">
        <f t="shared" si="187"/>
        <v>440.54527999999999</v>
      </c>
      <c r="AL247" s="30">
        <f t="shared" si="185"/>
        <v>503.48031999999995</v>
      </c>
      <c r="AM247" s="30">
        <f t="shared" si="185"/>
        <v>604.17638399999998</v>
      </c>
      <c r="AN247" s="30">
        <f t="shared" si="185"/>
        <v>704.87244799999996</v>
      </c>
      <c r="AO247" s="30">
        <f t="shared" si="185"/>
        <v>805.56851200000006</v>
      </c>
      <c r="AP247" s="30">
        <f t="shared" si="185"/>
        <v>906.26457599999992</v>
      </c>
      <c r="AQ247" s="30">
        <f>AQ246*$E$247</f>
        <v>1006.9606399999999</v>
      </c>
      <c r="AR247" s="30">
        <f t="shared" ref="AR247:AU247" si="188">AR246*$E$247</f>
        <v>1208.352768</v>
      </c>
      <c r="AS247" s="30">
        <f t="shared" si="188"/>
        <v>1409.7448959999999</v>
      </c>
      <c r="AT247" s="30">
        <f t="shared" si="188"/>
        <v>1611.1370240000001</v>
      </c>
      <c r="AU247" s="30">
        <f t="shared" si="188"/>
        <v>1812.5291519999998</v>
      </c>
      <c r="AV247" s="30">
        <f>AV246*$E$247</f>
        <v>2013.9212799999998</v>
      </c>
      <c r="AW247" s="30">
        <f t="shared" ref="AW247:AZ247" si="189">AW246*$E$247</f>
        <v>2416.7055359999999</v>
      </c>
      <c r="AX247" s="30">
        <f t="shared" si="189"/>
        <v>2819.4897919999999</v>
      </c>
      <c r="AY247" s="30">
        <f t="shared" si="189"/>
        <v>3222.2740480000002</v>
      </c>
      <c r="AZ247" s="30">
        <f t="shared" si="189"/>
        <v>3625.0583039999997</v>
      </c>
      <c r="BA247" s="30">
        <f>BA246*$E$247</f>
        <v>4027.8425599999996</v>
      </c>
      <c r="BB247" s="29">
        <f t="shared" ref="BB247:BG247" si="190">BB246*$E$247</f>
        <v>8055.6851199999992</v>
      </c>
      <c r="BC247" s="30">
        <f t="shared" si="190"/>
        <v>16111.370239999998</v>
      </c>
      <c r="BD247" s="30">
        <f t="shared" si="190"/>
        <v>32222.740479999997</v>
      </c>
      <c r="BE247" s="30">
        <f t="shared" si="190"/>
        <v>64445.480959999994</v>
      </c>
      <c r="BF247" s="30">
        <f t="shared" si="190"/>
        <v>81266.222519999996</v>
      </c>
      <c r="BG247" s="71">
        <f t="shared" si="190"/>
        <v>81266.222519999996</v>
      </c>
      <c r="BH247" s="45"/>
    </row>
    <row r="248" spans="1:60" x14ac:dyDescent="0.25">
      <c r="A248" s="48" t="s">
        <v>9</v>
      </c>
      <c r="B248" s="24">
        <v>0.155</v>
      </c>
      <c r="C248" s="10">
        <f>$B$167 * B248</f>
        <v>51237652.5</v>
      </c>
      <c r="D248" s="47"/>
      <c r="E248" s="16"/>
      <c r="F248" s="16"/>
      <c r="G248" s="16"/>
      <c r="H248" s="16"/>
      <c r="I248" s="16"/>
      <c r="J248" s="16"/>
      <c r="K248" s="16"/>
      <c r="L248" s="16"/>
      <c r="M248" s="16"/>
      <c r="N248" s="16"/>
      <c r="O248" s="16"/>
      <c r="P248" s="20">
        <f t="shared" ref="P248:BG248" si="191">P$183*$B$248</f>
        <v>4.84375</v>
      </c>
      <c r="Q248" s="21">
        <f t="shared" si="191"/>
        <v>9.6875</v>
      </c>
      <c r="R248" s="21">
        <f t="shared" si="191"/>
        <v>19.375</v>
      </c>
      <c r="S248" s="21">
        <f t="shared" si="191"/>
        <v>38.75</v>
      </c>
      <c r="T248" s="21">
        <f t="shared" si="191"/>
        <v>77.5</v>
      </c>
      <c r="U248" s="21">
        <f t="shared" si="191"/>
        <v>155</v>
      </c>
      <c r="V248" s="21">
        <f t="shared" si="191"/>
        <v>310</v>
      </c>
      <c r="W248" s="21">
        <f t="shared" si="191"/>
        <v>620</v>
      </c>
      <c r="X248" s="21">
        <f t="shared" si="191"/>
        <v>1240</v>
      </c>
      <c r="Y248" s="21">
        <f t="shared" si="191"/>
        <v>2480</v>
      </c>
      <c r="Z248" s="21">
        <f t="shared" si="191"/>
        <v>4960</v>
      </c>
      <c r="AA248" s="21">
        <f t="shared" si="191"/>
        <v>9920</v>
      </c>
      <c r="AB248" s="21">
        <f t="shared" si="191"/>
        <v>19840</v>
      </c>
      <c r="AC248" s="21">
        <f t="shared" si="191"/>
        <v>39680</v>
      </c>
      <c r="AD248" s="21">
        <f t="shared" si="191"/>
        <v>79360</v>
      </c>
      <c r="AE248" s="21">
        <f t="shared" si="191"/>
        <v>99200</v>
      </c>
      <c r="AF248" s="21">
        <f t="shared" si="191"/>
        <v>119040</v>
      </c>
      <c r="AG248" s="21">
        <f t="shared" si="191"/>
        <v>138880</v>
      </c>
      <c r="AH248" s="21">
        <f t="shared" si="191"/>
        <v>158720</v>
      </c>
      <c r="AI248" s="21">
        <f t="shared" si="191"/>
        <v>198400</v>
      </c>
      <c r="AJ248" s="21">
        <f t="shared" si="191"/>
        <v>238080</v>
      </c>
      <c r="AK248" s="21">
        <f t="shared" si="191"/>
        <v>277760</v>
      </c>
      <c r="AL248" s="21">
        <f t="shared" si="191"/>
        <v>317440</v>
      </c>
      <c r="AM248" s="21">
        <f t="shared" si="191"/>
        <v>380928</v>
      </c>
      <c r="AN248" s="21">
        <f t="shared" si="191"/>
        <v>444416</v>
      </c>
      <c r="AO248" s="21">
        <f t="shared" si="191"/>
        <v>507904</v>
      </c>
      <c r="AP248" s="21">
        <f t="shared" si="191"/>
        <v>571392</v>
      </c>
      <c r="AQ248" s="21">
        <f t="shared" si="191"/>
        <v>634880</v>
      </c>
      <c r="AR248" s="21">
        <f t="shared" si="191"/>
        <v>761856</v>
      </c>
      <c r="AS248" s="21">
        <f t="shared" si="191"/>
        <v>888832</v>
      </c>
      <c r="AT248" s="21">
        <f t="shared" si="191"/>
        <v>1015808</v>
      </c>
      <c r="AU248" s="21">
        <f t="shared" si="191"/>
        <v>1142784</v>
      </c>
      <c r="AV248" s="21">
        <f t="shared" si="191"/>
        <v>1269760</v>
      </c>
      <c r="AW248" s="21">
        <f t="shared" si="191"/>
        <v>1523712</v>
      </c>
      <c r="AX248" s="21">
        <f t="shared" si="191"/>
        <v>1777664</v>
      </c>
      <c r="AY248" s="21">
        <f t="shared" si="191"/>
        <v>2031616</v>
      </c>
      <c r="AZ248" s="21">
        <f t="shared" si="191"/>
        <v>2285568</v>
      </c>
      <c r="BA248" s="21">
        <f t="shared" si="191"/>
        <v>2539520</v>
      </c>
      <c r="BB248" s="20">
        <f t="shared" si="191"/>
        <v>5079040</v>
      </c>
      <c r="BC248" s="21">
        <f t="shared" si="191"/>
        <v>10158080</v>
      </c>
      <c r="BD248" s="21">
        <f t="shared" si="191"/>
        <v>20316160</v>
      </c>
      <c r="BE248" s="21">
        <f t="shared" si="191"/>
        <v>40632320</v>
      </c>
      <c r="BF248" s="21">
        <f t="shared" si="191"/>
        <v>51237652.5</v>
      </c>
      <c r="BG248" s="72">
        <f t="shared" si="191"/>
        <v>51237652.5</v>
      </c>
      <c r="BH248" s="45"/>
    </row>
    <row r="249" spans="1:60" x14ac:dyDescent="0.25">
      <c r="A249" s="37"/>
      <c r="B249" s="39"/>
      <c r="C249" s="39"/>
      <c r="D249" s="55"/>
      <c r="E249" s="56" t="s">
        <v>10</v>
      </c>
      <c r="F249" s="39"/>
      <c r="G249" s="39"/>
      <c r="H249" s="39"/>
      <c r="I249" s="39"/>
      <c r="J249" s="39"/>
      <c r="K249" s="39"/>
      <c r="L249" s="39"/>
      <c r="M249" s="39"/>
      <c r="N249" s="39"/>
      <c r="O249" s="39"/>
      <c r="P249" s="31" t="s">
        <v>10</v>
      </c>
      <c r="Q249" s="32" t="s">
        <v>10</v>
      </c>
      <c r="R249" s="32" t="s">
        <v>10</v>
      </c>
      <c r="S249" s="32" t="s">
        <v>10</v>
      </c>
      <c r="T249" s="32" t="s">
        <v>10</v>
      </c>
      <c r="U249" s="32" t="s">
        <v>10</v>
      </c>
      <c r="V249" s="32" t="s">
        <v>10</v>
      </c>
      <c r="W249" s="32" t="s">
        <v>10</v>
      </c>
      <c r="X249" s="32" t="s">
        <v>10</v>
      </c>
      <c r="Y249" s="32" t="s">
        <v>10</v>
      </c>
      <c r="Z249" s="32" t="s">
        <v>10</v>
      </c>
      <c r="AA249" s="32" t="s">
        <v>10</v>
      </c>
      <c r="AB249" s="32" t="s">
        <v>10</v>
      </c>
      <c r="AC249" s="32" t="s">
        <v>10</v>
      </c>
      <c r="AD249" s="32" t="s">
        <v>10</v>
      </c>
      <c r="AE249" s="32" t="s">
        <v>10</v>
      </c>
      <c r="AF249" s="32" t="s">
        <v>10</v>
      </c>
      <c r="AG249" s="32" t="s">
        <v>10</v>
      </c>
      <c r="AH249" s="32" t="s">
        <v>10</v>
      </c>
      <c r="AI249" s="32" t="s">
        <v>10</v>
      </c>
      <c r="AJ249" s="32" t="s">
        <v>10</v>
      </c>
      <c r="AK249" s="32" t="s">
        <v>10</v>
      </c>
      <c r="AL249" s="32" t="s">
        <v>10</v>
      </c>
      <c r="AM249" s="32" t="s">
        <v>10</v>
      </c>
      <c r="AN249" s="32" t="s">
        <v>10</v>
      </c>
      <c r="AO249" s="32" t="s">
        <v>10</v>
      </c>
      <c r="AP249" s="32" t="s">
        <v>10</v>
      </c>
      <c r="AQ249" s="32" t="s">
        <v>10</v>
      </c>
      <c r="AR249" s="32" t="s">
        <v>10</v>
      </c>
      <c r="AS249" s="32" t="s">
        <v>10</v>
      </c>
      <c r="AT249" s="32" t="s">
        <v>10</v>
      </c>
      <c r="AU249" s="32" t="s">
        <v>10</v>
      </c>
      <c r="AV249" s="32" t="s">
        <v>10</v>
      </c>
      <c r="AW249" s="32" t="s">
        <v>10</v>
      </c>
      <c r="AX249" s="32" t="s">
        <v>10</v>
      </c>
      <c r="AY249" s="32" t="s">
        <v>10</v>
      </c>
      <c r="AZ249" s="32" t="s">
        <v>10</v>
      </c>
      <c r="BA249" s="32" t="s">
        <v>10</v>
      </c>
      <c r="BB249" s="29" t="s">
        <v>10</v>
      </c>
      <c r="BC249" s="30" t="s">
        <v>10</v>
      </c>
      <c r="BD249" s="30" t="s">
        <v>10</v>
      </c>
      <c r="BE249" s="30" t="s">
        <v>10</v>
      </c>
      <c r="BF249" s="30" t="s">
        <v>10</v>
      </c>
      <c r="BG249" s="71" t="s">
        <v>10</v>
      </c>
      <c r="BH249" s="45"/>
    </row>
    <row r="250" spans="1:60" x14ac:dyDescent="0.25">
      <c r="A250" s="41"/>
      <c r="B250" s="16"/>
      <c r="C250" s="16"/>
      <c r="D250" s="47"/>
      <c r="E250" s="16"/>
      <c r="F250" s="16"/>
      <c r="G250" s="16"/>
      <c r="H250" s="16"/>
      <c r="I250" s="16"/>
      <c r="J250" s="16"/>
      <c r="K250" s="16"/>
      <c r="L250" s="16"/>
      <c r="M250" s="16"/>
      <c r="N250" s="16"/>
      <c r="O250" s="16"/>
      <c r="P250" s="20">
        <f>SUM(P238,P240,P242,P244,P246,P248)</f>
        <v>38.105937500000003</v>
      </c>
      <c r="Q250" s="21">
        <f t="shared" ref="Q250:AP250" si="192">SUM(Q238,Q240,Q242,Q244,Q246,Q248)</f>
        <v>76.211875000000006</v>
      </c>
      <c r="R250" s="21">
        <f t="shared" si="192"/>
        <v>152.42375000000001</v>
      </c>
      <c r="S250" s="21">
        <f t="shared" si="192"/>
        <v>304.84750000000003</v>
      </c>
      <c r="T250" s="21">
        <f t="shared" si="192"/>
        <v>609.69500000000005</v>
      </c>
      <c r="U250" s="21">
        <f t="shared" si="192"/>
        <v>1219.3900000000001</v>
      </c>
      <c r="V250" s="21">
        <f>SUM(V238,V240,V242,V244,V246,V248)</f>
        <v>2438.7800000000002</v>
      </c>
      <c r="W250" s="21">
        <f t="shared" si="192"/>
        <v>4877.5600000000004</v>
      </c>
      <c r="X250" s="21">
        <f t="shared" si="192"/>
        <v>9755.1200000000008</v>
      </c>
      <c r="Y250" s="21">
        <f t="shared" si="192"/>
        <v>19510.240000000002</v>
      </c>
      <c r="Z250" s="21">
        <f t="shared" si="192"/>
        <v>39020.480000000003</v>
      </c>
      <c r="AA250" s="21">
        <f t="shared" si="192"/>
        <v>78040.960000000006</v>
      </c>
      <c r="AB250" s="21">
        <f t="shared" si="192"/>
        <v>156081.92000000001</v>
      </c>
      <c r="AC250" s="21">
        <f t="shared" si="192"/>
        <v>312163.84000000003</v>
      </c>
      <c r="AD250" s="21">
        <f t="shared" si="192"/>
        <v>624327.68000000005</v>
      </c>
      <c r="AE250" s="21">
        <f t="shared" ref="AE250:AG250" si="193">SUM(AE238,AE240,AE242,AE244,AE246,AE248)</f>
        <v>780409.6</v>
      </c>
      <c r="AF250" s="21">
        <f t="shared" si="193"/>
        <v>936491.52000000002</v>
      </c>
      <c r="AG250" s="21">
        <f t="shared" si="193"/>
        <v>1092573.44</v>
      </c>
      <c r="AH250" s="21">
        <f t="shared" si="192"/>
        <v>1248655.3600000001</v>
      </c>
      <c r="AI250" s="21">
        <f t="shared" ref="AI250:AK250" si="194">SUM(AI238,AI240,AI242,AI244,AI246,AI248)</f>
        <v>1560819.2</v>
      </c>
      <c r="AJ250" s="21">
        <f t="shared" si="194"/>
        <v>1872983.04</v>
      </c>
      <c r="AK250" s="21">
        <f t="shared" si="194"/>
        <v>2185146.88</v>
      </c>
      <c r="AL250" s="21">
        <f t="shared" si="192"/>
        <v>2497310.7200000002</v>
      </c>
      <c r="AM250" s="21">
        <f t="shared" si="192"/>
        <v>2996772.8640000001</v>
      </c>
      <c r="AN250" s="21">
        <f t="shared" si="192"/>
        <v>3496235.0079999999</v>
      </c>
      <c r="AO250" s="21">
        <f t="shared" si="192"/>
        <v>3995697.1519999998</v>
      </c>
      <c r="AP250" s="21">
        <f t="shared" si="192"/>
        <v>4495159.2960000001</v>
      </c>
      <c r="AQ250" s="21">
        <f t="shared" ref="AQ250:BA251" si="195">SUM(AQ238,AQ240,AQ242,AQ244,AQ246,AQ248)</f>
        <v>4994621.4400000004</v>
      </c>
      <c r="AR250" s="21">
        <f t="shared" ref="AR250:AU250" si="196">SUM(AR238,AR240,AR242,AR244,AR246,AR248)</f>
        <v>5993545.7280000001</v>
      </c>
      <c r="AS250" s="21">
        <f t="shared" si="196"/>
        <v>6992470.0159999998</v>
      </c>
      <c r="AT250" s="21">
        <f t="shared" si="196"/>
        <v>7991394.3039999995</v>
      </c>
      <c r="AU250" s="21">
        <f t="shared" si="196"/>
        <v>8990318.5920000002</v>
      </c>
      <c r="AV250" s="21">
        <f t="shared" si="195"/>
        <v>9989242.8800000008</v>
      </c>
      <c r="AW250" s="21">
        <f t="shared" ref="AW250:AZ250" si="197">SUM(AW238,AW240,AW242,AW244,AW246,AW248)</f>
        <v>11987091.456</v>
      </c>
      <c r="AX250" s="21">
        <f t="shared" si="197"/>
        <v>13984940.032</v>
      </c>
      <c r="AY250" s="21">
        <f t="shared" si="197"/>
        <v>15982788.607999999</v>
      </c>
      <c r="AZ250" s="21">
        <f t="shared" si="197"/>
        <v>17980637.184</v>
      </c>
      <c r="BA250" s="21">
        <f t="shared" si="195"/>
        <v>19978485.760000002</v>
      </c>
      <c r="BB250" s="18">
        <f t="shared" ref="BB250:BG250" si="198">SUM(BB238,BB240,BB242,BB244,BB246,BB248)</f>
        <v>39956971.520000003</v>
      </c>
      <c r="BC250" s="19">
        <f t="shared" si="198"/>
        <v>79913943.040000007</v>
      </c>
      <c r="BD250" s="19">
        <f t="shared" si="198"/>
        <v>159827886.08000001</v>
      </c>
      <c r="BE250" s="19">
        <f t="shared" si="198"/>
        <v>319655772.16000003</v>
      </c>
      <c r="BF250" s="19">
        <f t="shared" si="198"/>
        <v>403088265.04500002</v>
      </c>
      <c r="BG250" s="60">
        <f t="shared" si="198"/>
        <v>403088265.04500002</v>
      </c>
      <c r="BH250" s="45"/>
    </row>
    <row r="251" spans="1:60" x14ac:dyDescent="0.25">
      <c r="A251" s="37" t="s">
        <v>40</v>
      </c>
      <c r="B251" s="39"/>
      <c r="C251" s="39"/>
      <c r="D251" s="39"/>
      <c r="E251" s="39"/>
      <c r="F251" s="39"/>
      <c r="G251" s="39"/>
      <c r="H251" s="39"/>
      <c r="I251" s="39"/>
      <c r="J251" s="39"/>
      <c r="K251" s="39"/>
      <c r="L251" s="39"/>
      <c r="M251" s="39"/>
      <c r="N251" s="39"/>
      <c r="O251" s="39"/>
      <c r="P251" s="31">
        <f>SUM(P239,P241,P243,P245,P247,P249)</f>
        <v>2.5650575</v>
      </c>
      <c r="Q251" s="32">
        <f t="shared" ref="Q251:AP251" si="199">SUM(Q239,Q241,Q243,Q245,Q247,Q249)</f>
        <v>5.130115</v>
      </c>
      <c r="R251" s="32">
        <f t="shared" si="199"/>
        <v>10.26023</v>
      </c>
      <c r="S251" s="32">
        <f t="shared" si="199"/>
        <v>20.52046</v>
      </c>
      <c r="T251" s="32">
        <f t="shared" si="199"/>
        <v>41.04092</v>
      </c>
      <c r="U251" s="32">
        <f t="shared" si="199"/>
        <v>82.08184</v>
      </c>
      <c r="V251" s="32">
        <f t="shared" si="199"/>
        <v>164.16368</v>
      </c>
      <c r="W251" s="32">
        <f t="shared" si="199"/>
        <v>328.32736</v>
      </c>
      <c r="X251" s="32">
        <f t="shared" si="199"/>
        <v>656.65472</v>
      </c>
      <c r="Y251" s="32">
        <f t="shared" si="199"/>
        <v>1313.30944</v>
      </c>
      <c r="Z251" s="32">
        <f t="shared" si="199"/>
        <v>2626.61888</v>
      </c>
      <c r="AA251" s="32">
        <f t="shared" si="199"/>
        <v>5253.23776</v>
      </c>
      <c r="AB251" s="32">
        <f t="shared" si="199"/>
        <v>10506.47552</v>
      </c>
      <c r="AC251" s="32">
        <f t="shared" si="199"/>
        <v>21012.95104</v>
      </c>
      <c r="AD251" s="32">
        <f t="shared" si="199"/>
        <v>42025.90208</v>
      </c>
      <c r="AE251" s="32">
        <f t="shared" ref="AE251:AG251" si="200">SUM(AE239,AE241,AE243,AE245,AE247,AE249)</f>
        <v>52532.377599999993</v>
      </c>
      <c r="AF251" s="32">
        <f t="shared" si="200"/>
        <v>63038.853119999992</v>
      </c>
      <c r="AG251" s="32">
        <f t="shared" si="200"/>
        <v>73545.328639999992</v>
      </c>
      <c r="AH251" s="32">
        <f t="shared" si="199"/>
        <v>84051.80416</v>
      </c>
      <c r="AI251" s="32">
        <f t="shared" ref="AI251:AK251" si="201">SUM(AI239,AI241,AI243,AI245,AI247,AI249)</f>
        <v>105064.75519999999</v>
      </c>
      <c r="AJ251" s="32">
        <f t="shared" si="201"/>
        <v>126077.70623999998</v>
      </c>
      <c r="AK251" s="32">
        <f t="shared" si="201"/>
        <v>147090.65727999998</v>
      </c>
      <c r="AL251" s="32">
        <f t="shared" si="199"/>
        <v>168103.60832</v>
      </c>
      <c r="AM251" s="32">
        <f t="shared" si="199"/>
        <v>201724.32998400001</v>
      </c>
      <c r="AN251" s="32">
        <f t="shared" si="199"/>
        <v>235345.05164800002</v>
      </c>
      <c r="AO251" s="32">
        <f t="shared" si="199"/>
        <v>268965.77331199998</v>
      </c>
      <c r="AP251" s="32">
        <f t="shared" si="199"/>
        <v>302586.49497599999</v>
      </c>
      <c r="AQ251" s="32">
        <f t="shared" si="195"/>
        <v>336207.21664</v>
      </c>
      <c r="AR251" s="32">
        <f t="shared" ref="AR251:AU251" si="202">SUM(AR239,AR241,AR243,AR245,AR247,AR249)</f>
        <v>403448.65996800002</v>
      </c>
      <c r="AS251" s="32">
        <f t="shared" si="202"/>
        <v>470690.10329600004</v>
      </c>
      <c r="AT251" s="32">
        <f t="shared" si="202"/>
        <v>537931.54662399995</v>
      </c>
      <c r="AU251" s="32">
        <f t="shared" si="202"/>
        <v>605172.98995199997</v>
      </c>
      <c r="AV251" s="32">
        <f t="shared" si="195"/>
        <v>672414.43328</v>
      </c>
      <c r="AW251" s="32">
        <f t="shared" ref="AW251:AZ251" si="203">SUM(AW239,AW241,AW243,AW245,AW247,AW249)</f>
        <v>806897.31993600004</v>
      </c>
      <c r="AX251" s="32">
        <f t="shared" si="203"/>
        <v>941380.20659200009</v>
      </c>
      <c r="AY251" s="32">
        <f t="shared" si="203"/>
        <v>1075863.0932479999</v>
      </c>
      <c r="AZ251" s="32">
        <f t="shared" si="203"/>
        <v>1210345.9799039999</v>
      </c>
      <c r="BA251" s="32">
        <f t="shared" si="195"/>
        <v>1344828.86656</v>
      </c>
      <c r="BB251" s="31">
        <f t="shared" ref="BB251:BG251" si="204">SUM(BB239,BB241,BB243,BB245,BB247,BB249)</f>
        <v>2689657.73312</v>
      </c>
      <c r="BC251" s="32">
        <f t="shared" si="204"/>
        <v>5379315.46624</v>
      </c>
      <c r="BD251" s="32">
        <f t="shared" si="204"/>
        <v>10758630.93248</v>
      </c>
      <c r="BE251" s="32">
        <f t="shared" si="204"/>
        <v>21517261.86496</v>
      </c>
      <c r="BF251" s="32">
        <f t="shared" si="204"/>
        <v>27133424.480520003</v>
      </c>
      <c r="BG251" s="73">
        <f t="shared" si="204"/>
        <v>27133424.480520003</v>
      </c>
      <c r="BH251" s="45"/>
    </row>
  </sheetData>
  <conditionalFormatting sqref="BH194 P194:BF194">
    <cfRule type="cellIs" dxfId="21" priority="31" operator="greaterThan">
      <formula>$C$172</formula>
    </cfRule>
  </conditionalFormatting>
  <conditionalFormatting sqref="P196:BF196">
    <cfRule type="cellIs" dxfId="20" priority="30" operator="greaterThan">
      <formula>$C$173</formula>
    </cfRule>
  </conditionalFormatting>
  <conditionalFormatting sqref="P215:BG215">
    <cfRule type="cellIs" dxfId="19" priority="29" operator="greaterThan">
      <formula>$C$215</formula>
    </cfRule>
  </conditionalFormatting>
  <conditionalFormatting sqref="P217:BG217">
    <cfRule type="cellIs" dxfId="18" priority="28" operator="greaterThan">
      <formula>$C$217</formula>
    </cfRule>
  </conditionalFormatting>
  <conditionalFormatting sqref="P219:BG219">
    <cfRule type="cellIs" dxfId="17" priority="27" operator="greaterThan">
      <formula>$C$219</formula>
    </cfRule>
  </conditionalFormatting>
  <conditionalFormatting sqref="P221:BG221">
    <cfRule type="cellIs" dxfId="16" priority="19" operator="greaterThan">
      <formula>$C$221</formula>
    </cfRule>
  </conditionalFormatting>
  <conditionalFormatting sqref="P223:BG223">
    <cfRule type="cellIs" dxfId="15" priority="18" operator="greaterThan">
      <formula>$C$223</formula>
    </cfRule>
  </conditionalFormatting>
  <conditionalFormatting sqref="P225:BG225">
    <cfRule type="cellIs" dxfId="14" priority="17" operator="greaterThan">
      <formula>$C$225</formula>
    </cfRule>
  </conditionalFormatting>
  <conditionalFormatting sqref="P227:BG227">
    <cfRule type="cellIs" dxfId="13" priority="16" operator="greaterThan">
      <formula>$C$227</formula>
    </cfRule>
  </conditionalFormatting>
  <conditionalFormatting sqref="P229:BG229">
    <cfRule type="cellIs" dxfId="12" priority="15" operator="greaterThan">
      <formula>$C$229</formula>
    </cfRule>
  </conditionalFormatting>
  <conditionalFormatting sqref="P231:BG231">
    <cfRule type="cellIs" dxfId="11" priority="14" operator="greaterThan">
      <formula>$C$231</formula>
    </cfRule>
  </conditionalFormatting>
  <conditionalFormatting sqref="P185:BG185">
    <cfRule type="cellIs" dxfId="10" priority="13" operator="equal">
      <formula>0</formula>
    </cfRule>
  </conditionalFormatting>
  <conditionalFormatting sqref="P192:BF192 P194:BF194 Q196:BF196">
    <cfRule type="cellIs" dxfId="9" priority="12" operator="equal">
      <formula>0</formula>
    </cfRule>
  </conditionalFormatting>
  <conditionalFormatting sqref="D215">
    <cfRule type="cellIs" dxfId="8" priority="9" operator="greaterThan">
      <formula>$B$215</formula>
    </cfRule>
  </conditionalFormatting>
  <conditionalFormatting sqref="D217">
    <cfRule type="cellIs" dxfId="7" priority="8" operator="greaterThan">
      <formula>$B$217</formula>
    </cfRule>
  </conditionalFormatting>
  <conditionalFormatting sqref="D219">
    <cfRule type="cellIs" dxfId="6" priority="7" operator="greaterThan">
      <formula>$B$219</formula>
    </cfRule>
  </conditionalFormatting>
  <conditionalFormatting sqref="D221">
    <cfRule type="cellIs" dxfId="5" priority="6" operator="greaterThan">
      <formula>$B$221</formula>
    </cfRule>
  </conditionalFormatting>
  <conditionalFormatting sqref="D223">
    <cfRule type="cellIs" dxfId="4" priority="5" operator="greaterThan">
      <formula>$B$223</formula>
    </cfRule>
  </conditionalFormatting>
  <conditionalFormatting sqref="D225">
    <cfRule type="cellIs" dxfId="3" priority="4" operator="greaterThan">
      <formula>$B$225</formula>
    </cfRule>
  </conditionalFormatting>
  <conditionalFormatting sqref="D227">
    <cfRule type="cellIs" dxfId="2" priority="3" operator="greaterThan">
      <formula>$B$227</formula>
    </cfRule>
  </conditionalFormatting>
  <conditionalFormatting sqref="D229">
    <cfRule type="cellIs" dxfId="1" priority="2" operator="greaterThan">
      <formula>$B$229</formula>
    </cfRule>
  </conditionalFormatting>
  <conditionalFormatting sqref="D231">
    <cfRule type="cellIs" dxfId="0" priority="1" operator="greaterThan">
      <formula>$B$231</formula>
    </cfRule>
  </conditionalFormatting>
  <hyperlinks>
    <hyperlink ref="E214" r:id="rId1" location="case-fatality-rate-of-covid-19-by-age" xr:uid="{0058192C-B05A-45D2-8597-C1F9B3D9241E}"/>
    <hyperlink ref="E237" r:id="rId2" location="case-fatality-rate-of-covid-19-by-preexisting-health-conditions" xr:uid="{110A2613-24A6-4768-B90C-571B307D13E2}"/>
    <hyperlink ref="B170" r:id="rId3" display="https://cmmid.github.io/topics/covid19/severity/global_cfr_estimates.html" xr:uid="{478D393B-144B-447C-BE80-8DB4A6AAAE87}"/>
  </hyperlinks>
  <pageMargins left="0.7" right="0.7" top="0.75" bottom="0.75" header="0.3" footer="0.3"/>
  <pageSetup paperSize="9" orientation="portrait" horizontalDpi="0"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O11" sqref="O11"/>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118</v>
      </c>
      <c r="C3" s="163">
        <f>Projections!B167</f>
        <v>330565500</v>
      </c>
      <c r="J3" s="2"/>
    </row>
    <row r="4" spans="2:10" x14ac:dyDescent="0.25">
      <c r="B4" s="180" t="s">
        <v>135</v>
      </c>
      <c r="C4" s="163">
        <f>Projections!P183</f>
        <v>31.25</v>
      </c>
      <c r="J4" s="2"/>
    </row>
    <row r="5" spans="2:10" x14ac:dyDescent="0.25">
      <c r="B5" s="180" t="s">
        <v>136</v>
      </c>
      <c r="C5" s="161">
        <f>Projections!P182</f>
        <v>43882</v>
      </c>
      <c r="J5" s="2"/>
    </row>
    <row r="6" spans="2:10" x14ac:dyDescent="0.25">
      <c r="B6" s="180" t="s">
        <v>119</v>
      </c>
      <c r="C6" s="163">
        <v>1457593</v>
      </c>
    </row>
    <row r="7" spans="2:10" x14ac:dyDescent="0.25">
      <c r="B7" s="180" t="s">
        <v>121</v>
      </c>
      <c r="C7" s="161">
        <f ca="1">NOW()</f>
        <v>43966.875143634257</v>
      </c>
    </row>
    <row r="8" spans="2:10" x14ac:dyDescent="0.25">
      <c r="B8" s="180" t="s">
        <v>137</v>
      </c>
      <c r="C8" s="162">
        <f ca="1">C7-C5</f>
        <v>84.875143634257256</v>
      </c>
    </row>
    <row r="9" spans="2:10" x14ac:dyDescent="0.25">
      <c r="B9" s="180" t="s">
        <v>120</v>
      </c>
      <c r="C9" s="164">
        <f ca="1">C8/(LOG(C6/C4)/LOG(2))</f>
        <v>5.4725067157903462</v>
      </c>
      <c r="D9" t="s">
        <v>98</v>
      </c>
      <c r="F9" t="s">
        <v>138</v>
      </c>
    </row>
    <row r="10" spans="2:10" x14ac:dyDescent="0.25">
      <c r="B10" s="180" t="s">
        <v>125</v>
      </c>
      <c r="C10" s="163">
        <f>Projections!C172</f>
        <v>793357.2</v>
      </c>
    </row>
    <row r="11" spans="2:10" x14ac:dyDescent="0.25">
      <c r="B11" s="181" t="s">
        <v>126</v>
      </c>
      <c r="C11" s="168">
        <f>Projections!C173</f>
        <v>114706.22850000001</v>
      </c>
    </row>
    <row r="12" spans="2:10" s="69" customFormat="1" x14ac:dyDescent="0.25">
      <c r="B12" s="62" t="s">
        <v>166</v>
      </c>
      <c r="C12" s="169">
        <f>C6/Projections!B170</f>
        <v>12146608.333333334</v>
      </c>
    </row>
    <row r="13" spans="2:10" s="69" customFormat="1" x14ac:dyDescent="0.25">
      <c r="B13" s="48" t="s">
        <v>167</v>
      </c>
      <c r="C13" s="170">
        <f ca="1">(C4/Projections!B170)*(2^(((C7-21)-C5)/C9))</f>
        <v>849754.30600899179</v>
      </c>
    </row>
    <row r="14" spans="2:10" s="69" customFormat="1" x14ac:dyDescent="0.25">
      <c r="B14" s="49" t="s">
        <v>168</v>
      </c>
      <c r="C14" s="151">
        <f ca="1">C12-C13</f>
        <v>11296854.027324341</v>
      </c>
      <c r="E14" s="166"/>
      <c r="F14" s="167" t="s">
        <v>142</v>
      </c>
      <c r="G14" s="165"/>
    </row>
    <row r="15" spans="2:10" x14ac:dyDescent="0.25">
      <c r="B15" s="4" t="s">
        <v>139</v>
      </c>
      <c r="C15" s="64">
        <f>C6*Projections!B175</f>
        <v>1180650.33</v>
      </c>
      <c r="I15" s="160"/>
    </row>
    <row r="16" spans="2:10" x14ac:dyDescent="0.25">
      <c r="B16" s="41" t="s">
        <v>149</v>
      </c>
      <c r="C16" s="83">
        <f ca="1">(C4*Projections!B175)*(2^(((C7-21)-C5)/C9))</f>
        <v>82596.118544073994</v>
      </c>
      <c r="I16" s="160"/>
    </row>
    <row r="17" spans="2:9" x14ac:dyDescent="0.25">
      <c r="B17" s="41" t="s">
        <v>140</v>
      </c>
      <c r="C17" s="83">
        <f ca="1">C15-C16</f>
        <v>1098054.2114559261</v>
      </c>
      <c r="F17" t="s">
        <v>143</v>
      </c>
      <c r="I17" s="160"/>
    </row>
    <row r="18" spans="2:9" x14ac:dyDescent="0.25">
      <c r="B18" s="4" t="s">
        <v>145</v>
      </c>
      <c r="C18" s="64">
        <f>C6*Projections!B176</f>
        <v>204063.02000000002</v>
      </c>
    </row>
    <row r="19" spans="2:9" x14ac:dyDescent="0.25">
      <c r="B19" s="41" t="s">
        <v>150</v>
      </c>
      <c r="C19" s="83">
        <f ca="1">(C4*Projections!B176)*(2^(((C7-49)-C5)/C9))</f>
        <v>411.51637108309723</v>
      </c>
    </row>
    <row r="20" spans="2:9" x14ac:dyDescent="0.25">
      <c r="B20" s="41" t="s">
        <v>144</v>
      </c>
      <c r="C20" s="83">
        <f ca="1">C18-C19</f>
        <v>203651.50362891692</v>
      </c>
      <c r="F20" t="s">
        <v>148</v>
      </c>
    </row>
    <row r="21" spans="2:9" x14ac:dyDescent="0.25">
      <c r="B21" s="4" t="s">
        <v>146</v>
      </c>
      <c r="C21" s="64">
        <f>C6*Projections!B177</f>
        <v>72879.650000000009</v>
      </c>
      <c r="I21" s="160"/>
    </row>
    <row r="22" spans="2:9" x14ac:dyDescent="0.25">
      <c r="B22" s="41" t="s">
        <v>151</v>
      </c>
      <c r="C22" s="83">
        <f ca="1">(C4*Projections!B177)*(2^(((C7-49)-C5)/C9))</f>
        <v>146.97013252967758</v>
      </c>
      <c r="I22" s="160"/>
    </row>
    <row r="23" spans="2:9" x14ac:dyDescent="0.25">
      <c r="B23" s="41" t="s">
        <v>147</v>
      </c>
      <c r="C23" s="83">
        <f ca="1">C21-C22</f>
        <v>72732.679867470331</v>
      </c>
      <c r="I23" s="160"/>
    </row>
    <row r="24" spans="2:9" x14ac:dyDescent="0.25">
      <c r="B24" s="4" t="s">
        <v>152</v>
      </c>
      <c r="C24" s="64">
        <f>C6*Projections!B178</f>
        <v>87455.58</v>
      </c>
    </row>
    <row r="25" spans="2:9" x14ac:dyDescent="0.25">
      <c r="B25" s="37" t="s">
        <v>153</v>
      </c>
      <c r="C25" s="61">
        <f ca="1">(C4*Projections!B178)*(2^(((C7-42)-C5)/C9))</f>
        <v>428.02015159364271</v>
      </c>
      <c r="F25" t="s">
        <v>154</v>
      </c>
    </row>
    <row r="26" spans="2:9" x14ac:dyDescent="0.25">
      <c r="B26" s="41" t="s">
        <v>130</v>
      </c>
      <c r="C26" s="173">
        <f ca="1">C9*(LOG(C10/C21)/LOG(2))</f>
        <v>18.849407092578506</v>
      </c>
      <c r="D26" t="s">
        <v>98</v>
      </c>
      <c r="F26" s="69" t="s">
        <v>155</v>
      </c>
    </row>
    <row r="27" spans="2:9" x14ac:dyDescent="0.25">
      <c r="B27" s="37" t="s">
        <v>127</v>
      </c>
      <c r="C27" s="172">
        <f ca="1">C7+C26</f>
        <v>43985.724550726838</v>
      </c>
      <c r="F27" t="s">
        <v>156</v>
      </c>
    </row>
    <row r="28" spans="2:9" x14ac:dyDescent="0.25">
      <c r="B28" s="4" t="s">
        <v>131</v>
      </c>
      <c r="C28" s="171">
        <f ca="1">C9*(LOG(C11/C21)/LOG(2))</f>
        <v>3.5809664848390268</v>
      </c>
      <c r="D28" t="s">
        <v>98</v>
      </c>
    </row>
    <row r="29" spans="2:9" x14ac:dyDescent="0.25">
      <c r="B29" s="37" t="s">
        <v>128</v>
      </c>
      <c r="C29" s="172">
        <f ca="1">C7+C28</f>
        <v>43970.456110119099</v>
      </c>
      <c r="F29" t="s">
        <v>156</v>
      </c>
    </row>
    <row r="30" spans="2:9" x14ac:dyDescent="0.25">
      <c r="B30" s="4" t="s">
        <v>132</v>
      </c>
      <c r="C30" s="171">
        <f ca="1">C9*(LOG((C3*0.6)/C12)/LOG(2))</f>
        <v>22.050618306260546</v>
      </c>
      <c r="D30" t="s">
        <v>98</v>
      </c>
    </row>
    <row r="31" spans="2:9" x14ac:dyDescent="0.25">
      <c r="B31" s="37" t="s">
        <v>129</v>
      </c>
      <c r="C31" s="172">
        <f ca="1">C7+C30</f>
        <v>43988.925761940518</v>
      </c>
    </row>
    <row r="34" spans="2:6" x14ac:dyDescent="0.25">
      <c r="B34" s="4" t="s">
        <v>133</v>
      </c>
      <c r="C34" s="161">
        <f ca="1">C7+30</f>
        <v>43996.875143634257</v>
      </c>
      <c r="F34" t="s">
        <v>169</v>
      </c>
    </row>
    <row r="35" spans="2:6" x14ac:dyDescent="0.25">
      <c r="B35" s="41" t="s">
        <v>134</v>
      </c>
      <c r="C35" s="83">
        <f ca="1">C6*(2^((C34-C7)/C9))</f>
        <v>65142917.965767562</v>
      </c>
      <c r="F35" t="s">
        <v>141</v>
      </c>
    </row>
    <row r="36" spans="2:6" x14ac:dyDescent="0.25">
      <c r="B36" s="41" t="s">
        <v>188</v>
      </c>
      <c r="C36" s="83">
        <f ca="1">C35/Projections!B170</f>
        <v>542857649.71472967</v>
      </c>
    </row>
    <row r="37" spans="2:6" x14ac:dyDescent="0.25">
      <c r="B37" s="41" t="s">
        <v>74</v>
      </c>
      <c r="C37" s="83">
        <f ca="1">C35*Projections!B175</f>
        <v>52765763.552271731</v>
      </c>
    </row>
    <row r="38" spans="2:6" x14ac:dyDescent="0.25">
      <c r="B38" s="41" t="s">
        <v>122</v>
      </c>
      <c r="C38" s="83">
        <f ca="1">C35*Projections!B176</f>
        <v>9120008.5152074602</v>
      </c>
    </row>
    <row r="39" spans="2:6" x14ac:dyDescent="0.25">
      <c r="B39" s="41" t="s">
        <v>123</v>
      </c>
      <c r="C39" s="83">
        <f ca="1">C35*Projections!B177</f>
        <v>3257145.8982883785</v>
      </c>
    </row>
    <row r="40" spans="2:6" x14ac:dyDescent="0.25">
      <c r="B40" s="37" t="s">
        <v>124</v>
      </c>
      <c r="C40" s="61">
        <f ca="1">C35*Projections!B178</f>
        <v>3908575.0779460538</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299" t="s">
        <v>183</v>
      </c>
      <c r="B2" s="229"/>
      <c r="C2" s="76"/>
    </row>
    <row r="3" spans="1:4" ht="30" x14ac:dyDescent="0.25">
      <c r="A3" s="299"/>
      <c r="B3" s="229" t="s">
        <v>184</v>
      </c>
      <c r="C3" s="76"/>
    </row>
    <row r="4" spans="1:4" x14ac:dyDescent="0.25">
      <c r="A4" s="298" t="s">
        <v>47</v>
      </c>
      <c r="B4" s="232">
        <v>308745538</v>
      </c>
      <c r="C4" s="76"/>
    </row>
    <row r="5" spans="1:4" x14ac:dyDescent="0.25">
      <c r="A5" s="298"/>
      <c r="B5" s="230">
        <v>1</v>
      </c>
      <c r="C5" s="76"/>
    </row>
    <row r="6" spans="1:4" x14ac:dyDescent="0.25">
      <c r="A6" s="298" t="s">
        <v>21</v>
      </c>
      <c r="B6" s="232">
        <v>20201362</v>
      </c>
      <c r="C6" s="76"/>
    </row>
    <row r="7" spans="1:4" x14ac:dyDescent="0.25">
      <c r="A7" s="298"/>
      <c r="B7" s="231">
        <f>B6/$B$4</f>
        <v>6.5430458139932701E-2</v>
      </c>
      <c r="C7" s="77"/>
    </row>
    <row r="8" spans="1:4" x14ac:dyDescent="0.25">
      <c r="A8" s="298" t="s">
        <v>22</v>
      </c>
      <c r="B8" s="232">
        <v>20348657</v>
      </c>
      <c r="C8" s="76"/>
    </row>
    <row r="9" spans="1:4" x14ac:dyDescent="0.25">
      <c r="A9" s="298"/>
      <c r="B9" s="231">
        <f>B8/$B$4</f>
        <v>6.590753386045696E-2</v>
      </c>
      <c r="C9" s="232">
        <f>B6+B8</f>
        <v>40550019</v>
      </c>
      <c r="D9" s="1">
        <f>C9/$B$4</f>
        <v>0.13133799200038965</v>
      </c>
    </row>
    <row r="10" spans="1:4" x14ac:dyDescent="0.25">
      <c r="A10" s="298" t="s">
        <v>23</v>
      </c>
      <c r="B10" s="232">
        <v>20677194</v>
      </c>
      <c r="C10" s="76"/>
    </row>
    <row r="11" spans="1:4" x14ac:dyDescent="0.25">
      <c r="A11" s="298"/>
      <c r="B11" s="231">
        <f>B10/$B$4</f>
        <v>6.6971636688074182E-2</v>
      </c>
      <c r="C11" s="76"/>
    </row>
    <row r="12" spans="1:4" x14ac:dyDescent="0.25">
      <c r="A12" s="298" t="s">
        <v>24</v>
      </c>
      <c r="B12" s="232">
        <v>22040343</v>
      </c>
      <c r="C12" s="76"/>
    </row>
    <row r="13" spans="1:4" x14ac:dyDescent="0.25">
      <c r="A13" s="298"/>
      <c r="B13" s="231">
        <f>B12/$B$4</f>
        <v>7.13867579844992E-2</v>
      </c>
      <c r="C13" s="232">
        <f>B10+B12</f>
        <v>42717537</v>
      </c>
      <c r="D13" s="1">
        <f>C13/$B$4</f>
        <v>0.13835839467257338</v>
      </c>
    </row>
    <row r="14" spans="1:4" x14ac:dyDescent="0.25">
      <c r="A14" s="298" t="s">
        <v>25</v>
      </c>
      <c r="B14" s="232">
        <v>21585999</v>
      </c>
      <c r="C14" s="76"/>
    </row>
    <row r="15" spans="1:4" x14ac:dyDescent="0.25">
      <c r="A15" s="298"/>
      <c r="B15" s="231">
        <f>B14/$B$4</f>
        <v>6.9915177203305853E-2</v>
      </c>
      <c r="C15" s="76"/>
    </row>
    <row r="16" spans="1:4" x14ac:dyDescent="0.25">
      <c r="A16" s="298" t="s">
        <v>26</v>
      </c>
      <c r="B16" s="232">
        <v>21101849</v>
      </c>
      <c r="C16" s="76"/>
    </row>
    <row r="17" spans="1:4" x14ac:dyDescent="0.25">
      <c r="A17" s="298"/>
      <c r="B17" s="231">
        <f>B16/$B$4</f>
        <v>6.8347057375125531E-2</v>
      </c>
      <c r="C17" s="232">
        <f>B14+B16</f>
        <v>42687848</v>
      </c>
      <c r="D17" s="1">
        <f>C17/$B$4</f>
        <v>0.13826223457843137</v>
      </c>
    </row>
    <row r="18" spans="1:4" x14ac:dyDescent="0.25">
      <c r="A18" s="298" t="s">
        <v>27</v>
      </c>
      <c r="B18" s="232">
        <v>19962099</v>
      </c>
      <c r="C18" s="76"/>
    </row>
    <row r="19" spans="1:4" x14ac:dyDescent="0.25">
      <c r="A19" s="298"/>
      <c r="B19" s="231">
        <f>B18/$B$4</f>
        <v>6.465550604977488E-2</v>
      </c>
      <c r="C19" s="77"/>
    </row>
    <row r="20" spans="1:4" x14ac:dyDescent="0.25">
      <c r="A20" s="298" t="s">
        <v>28</v>
      </c>
      <c r="B20" s="232">
        <v>20179642</v>
      </c>
      <c r="C20" s="76"/>
    </row>
    <row r="21" spans="1:4" x14ac:dyDescent="0.25">
      <c r="A21" s="298"/>
      <c r="B21" s="231">
        <f>B20/$B$4</f>
        <v>6.5360108945121009E-2</v>
      </c>
      <c r="C21" s="232">
        <f>B18+B20</f>
        <v>40141741</v>
      </c>
      <c r="D21" s="1">
        <f>C21/$B$4</f>
        <v>0.13001561499489589</v>
      </c>
    </row>
    <row r="22" spans="1:4" x14ac:dyDescent="0.25">
      <c r="A22" s="298" t="s">
        <v>29</v>
      </c>
      <c r="B22" s="232">
        <v>20890964</v>
      </c>
      <c r="C22" s="76"/>
    </row>
    <row r="23" spans="1:4" x14ac:dyDescent="0.25">
      <c r="A23" s="298"/>
      <c r="B23" s="231">
        <f>B22/$B$4</f>
        <v>6.7664019163898012E-2</v>
      </c>
      <c r="C23" s="76"/>
    </row>
    <row r="24" spans="1:4" x14ac:dyDescent="0.25">
      <c r="A24" s="298" t="s">
        <v>30</v>
      </c>
      <c r="B24" s="232">
        <v>22708591</v>
      </c>
      <c r="C24" s="76"/>
    </row>
    <row r="25" spans="1:4" x14ac:dyDescent="0.25">
      <c r="A25" s="298"/>
      <c r="B25" s="231">
        <f>B24/$B$4</f>
        <v>7.3551155255885833E-2</v>
      </c>
      <c r="C25" s="232">
        <f>B22+B24</f>
        <v>43599555</v>
      </c>
      <c r="D25" s="1">
        <f>C25/$B$4</f>
        <v>0.14121517441978385</v>
      </c>
    </row>
    <row r="26" spans="1:4" x14ac:dyDescent="0.25">
      <c r="A26" s="298" t="s">
        <v>31</v>
      </c>
      <c r="B26" s="232">
        <v>22298125</v>
      </c>
      <c r="C26" s="76"/>
    </row>
    <row r="27" spans="1:4" x14ac:dyDescent="0.25">
      <c r="A27" s="298"/>
      <c r="B27" s="231">
        <f>B26/$B$4</f>
        <v>7.2221691508299629E-2</v>
      </c>
      <c r="C27" s="76"/>
    </row>
    <row r="28" spans="1:4" x14ac:dyDescent="0.25">
      <c r="A28" s="298" t="s">
        <v>32</v>
      </c>
      <c r="B28" s="232">
        <v>19664805</v>
      </c>
      <c r="C28" s="76"/>
    </row>
    <row r="29" spans="1:4" x14ac:dyDescent="0.25">
      <c r="A29" s="298"/>
      <c r="B29" s="231">
        <f>B28/$B$4</f>
        <v>6.3692596587420158E-2</v>
      </c>
      <c r="C29" s="232">
        <f>B26+B28</f>
        <v>41962930</v>
      </c>
      <c r="D29" s="1">
        <f>C29/$B$4</f>
        <v>0.13591428809571979</v>
      </c>
    </row>
    <row r="30" spans="1:4" x14ac:dyDescent="0.25">
      <c r="A30" s="298" t="s">
        <v>33</v>
      </c>
      <c r="B30" s="232">
        <v>16817924</v>
      </c>
      <c r="C30" s="76"/>
    </row>
    <row r="31" spans="1:4" x14ac:dyDescent="0.25">
      <c r="A31" s="298"/>
      <c r="B31" s="231">
        <f>B30/$B$4</f>
        <v>5.4471796123576693E-2</v>
      </c>
      <c r="C31" s="77"/>
    </row>
    <row r="32" spans="1:4" x14ac:dyDescent="0.25">
      <c r="A32" s="298" t="s">
        <v>34</v>
      </c>
      <c r="B32" s="232">
        <v>12435263</v>
      </c>
      <c r="C32" s="76"/>
    </row>
    <row r="33" spans="1:4" x14ac:dyDescent="0.25">
      <c r="A33" s="298"/>
      <c r="B33" s="231">
        <f>B32/$B$4</f>
        <v>4.027673753782314E-2</v>
      </c>
      <c r="C33" s="232">
        <f>B30+B32</f>
        <v>29253187</v>
      </c>
      <c r="D33" s="1">
        <f>C33/$B$4</f>
        <v>9.4748533661399834E-2</v>
      </c>
    </row>
    <row r="34" spans="1:4" x14ac:dyDescent="0.25">
      <c r="A34" s="298" t="s">
        <v>35</v>
      </c>
      <c r="B34" s="232">
        <v>9278166</v>
      </c>
      <c r="C34" s="76"/>
    </row>
    <row r="35" spans="1:4" x14ac:dyDescent="0.25">
      <c r="A35" s="298"/>
      <c r="B35" s="231">
        <f>B34/$B$4</f>
        <v>3.0051174375190486E-2</v>
      </c>
      <c r="C35" s="76"/>
    </row>
    <row r="36" spans="1:4" x14ac:dyDescent="0.25">
      <c r="A36" s="298" t="s">
        <v>36</v>
      </c>
      <c r="B36" s="232">
        <v>7317795</v>
      </c>
      <c r="C36" s="76"/>
    </row>
    <row r="37" spans="1:4" x14ac:dyDescent="0.25">
      <c r="A37" s="298"/>
      <c r="B37" s="231">
        <f>B36/$B$4</f>
        <v>2.370170285667416E-2</v>
      </c>
      <c r="C37" s="232">
        <f>B34+B36</f>
        <v>16595961</v>
      </c>
      <c r="D37" s="1">
        <f>C37/$B$4</f>
        <v>5.3752877231864643E-2</v>
      </c>
    </row>
    <row r="38" spans="1:4" x14ac:dyDescent="0.25">
      <c r="A38" s="298" t="s">
        <v>37</v>
      </c>
      <c r="B38" s="232">
        <v>5743327</v>
      </c>
      <c r="C38" s="76"/>
    </row>
    <row r="39" spans="1:4" x14ac:dyDescent="0.25">
      <c r="A39" s="298"/>
      <c r="B39" s="231">
        <f>B38/$B$4</f>
        <v>1.8602137660690663E-2</v>
      </c>
      <c r="C39" s="76"/>
    </row>
    <row r="40" spans="1:4" x14ac:dyDescent="0.25">
      <c r="A40" s="298" t="s">
        <v>182</v>
      </c>
      <c r="B40" s="232">
        <v>5493433</v>
      </c>
      <c r="C40" s="76"/>
    </row>
    <row r="41" spans="1:4" x14ac:dyDescent="0.25">
      <c r="A41" s="298"/>
      <c r="B41" s="231">
        <f>B40/$B$4</f>
        <v>1.7792752684250939E-2</v>
      </c>
      <c r="C41" s="23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24:A25"/>
    <mergeCell ref="A2:A3"/>
    <mergeCell ref="A4:A5"/>
    <mergeCell ref="A6:A7"/>
    <mergeCell ref="A8:A9"/>
    <mergeCell ref="A10:A11"/>
    <mergeCell ref="A12:A13"/>
    <mergeCell ref="A14:A15"/>
    <mergeCell ref="A16:A17"/>
    <mergeCell ref="A18:A19"/>
    <mergeCell ref="A20:A21"/>
    <mergeCell ref="A22:A23"/>
    <mergeCell ref="A38:A39"/>
    <mergeCell ref="A40:A41"/>
    <mergeCell ref="A26:A27"/>
    <mergeCell ref="A28:A29"/>
    <mergeCell ref="A30:A31"/>
    <mergeCell ref="A32:A33"/>
    <mergeCell ref="A34:A35"/>
    <mergeCell ref="A36:A37"/>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185</v>
      </c>
    </row>
    <row r="2" spans="1:3" x14ac:dyDescent="0.25">
      <c r="A2" t="s">
        <v>186</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2020-05-15T11:00:13Z</dcterms:modified>
</cp:coreProperties>
</file>