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Python\Aus COVID-19 Projections\Aus-COVID-19-Projections\"/>
    </mc:Choice>
  </mc:AlternateContent>
  <xr:revisionPtr revIDLastSave="0" documentId="13_ncr:1_{D323B94A-6D22-4179-8E05-22C14C9CE02A}" xr6:coauthVersionLast="45" xr6:coauthVersionMax="45" xr10:uidLastSave="{00000000-0000-0000-0000-000000000000}"/>
  <bookViews>
    <workbookView xWindow="-120" yWindow="-120" windowWidth="38640" windowHeight="21240" activeTab="1" xr2:uid="{744C986A-0D24-487A-A5C2-8E2494A78887}"/>
  </bookViews>
  <sheets>
    <sheet name="About" sheetId="4" r:id="rId1"/>
    <sheet name="Projections" sheetId="1" r:id="rId2"/>
    <sheet name="ABS Population by Age Range" sheetId="2" r:id="rId3"/>
    <sheet name="AU Infection Rate by Ag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9" i="1" l="1"/>
  <c r="O19" i="1"/>
  <c r="V19" i="1"/>
  <c r="Z18" i="1"/>
  <c r="B17" i="4"/>
  <c r="Z17" i="1" l="1"/>
  <c r="Y16" i="1"/>
  <c r="Y17" i="1"/>
  <c r="Z16" i="1"/>
  <c r="P5" i="1"/>
  <c r="Q8" i="1"/>
  <c r="P7" i="1"/>
  <c r="P6" i="1"/>
  <c r="AB32" i="1"/>
  <c r="AB33" i="1"/>
  <c r="AB13" i="1"/>
  <c r="AB24" i="1"/>
  <c r="AB22" i="1"/>
  <c r="G16" i="1"/>
  <c r="G17" i="1" s="1"/>
  <c r="AB15" i="1"/>
  <c r="AB16" i="1"/>
  <c r="AB17" i="1" s="1"/>
  <c r="H16" i="1"/>
  <c r="H17" i="1" s="1"/>
  <c r="I16" i="1"/>
  <c r="I17" i="1" s="1"/>
  <c r="J16" i="1"/>
  <c r="J17" i="1" s="1"/>
  <c r="K16" i="1"/>
  <c r="K17" i="1" s="1"/>
  <c r="L16" i="1"/>
  <c r="L17" i="1" s="1"/>
  <c r="M16" i="1"/>
  <c r="M17" i="1" s="1"/>
  <c r="N16" i="1"/>
  <c r="N17" i="1" s="1"/>
  <c r="O16" i="1"/>
  <c r="O17" i="1" s="1"/>
  <c r="P16" i="1"/>
  <c r="P17" i="1" s="1"/>
  <c r="Q16" i="1"/>
  <c r="Q17" i="1" s="1"/>
  <c r="R16" i="1"/>
  <c r="R17" i="1" s="1"/>
  <c r="S16" i="1"/>
  <c r="S17" i="1" s="1"/>
  <c r="T16" i="1"/>
  <c r="T17" i="1" s="1"/>
  <c r="U16" i="1"/>
  <c r="U17" i="1" s="1"/>
  <c r="V16" i="1"/>
  <c r="V17" i="1" s="1"/>
  <c r="W16" i="1"/>
  <c r="W17" i="1" s="1"/>
  <c r="X16" i="1"/>
  <c r="X17" i="1" s="1"/>
  <c r="AB14" i="1"/>
  <c r="R23" i="1"/>
  <c r="Q23" i="1"/>
  <c r="P23" i="1"/>
  <c r="AA20" i="1"/>
  <c r="O21" i="1"/>
  <c r="K20" i="1"/>
  <c r="K21" i="1" s="1"/>
  <c r="L20" i="1"/>
  <c r="L21" i="1" s="1"/>
  <c r="M20" i="1"/>
  <c r="N20" i="1"/>
  <c r="N21" i="1" s="1"/>
  <c r="O20" i="1"/>
  <c r="P20" i="1"/>
  <c r="P21" i="1" s="1"/>
  <c r="Q20" i="1"/>
  <c r="R20" i="1"/>
  <c r="S20" i="1"/>
  <c r="T20" i="1"/>
  <c r="U20" i="1"/>
  <c r="V20" i="1"/>
  <c r="W20" i="1"/>
  <c r="X20" i="1"/>
  <c r="Y20" i="1"/>
  <c r="Z20" i="1"/>
  <c r="AA25" i="1"/>
  <c r="Z24" i="1"/>
  <c r="AA18" i="1"/>
  <c r="AA14" i="1"/>
  <c r="AA15" i="1"/>
  <c r="AA22" i="1"/>
  <c r="Z22" i="1"/>
  <c r="L22" i="1"/>
  <c r="L23" i="1" s="1"/>
  <c r="M22" i="1"/>
  <c r="M23" i="1" s="1"/>
  <c r="M21" i="1" s="1"/>
  <c r="N22" i="1"/>
  <c r="N23" i="1" s="1"/>
  <c r="O22" i="1"/>
  <c r="O23" i="1" s="1"/>
  <c r="P22" i="1"/>
  <c r="Q22" i="1"/>
  <c r="R22" i="1"/>
  <c r="S22" i="1"/>
  <c r="T22" i="1"/>
  <c r="U22" i="1"/>
  <c r="V22" i="1"/>
  <c r="V23" i="1" s="1"/>
  <c r="W22" i="1"/>
  <c r="W23" i="1" s="1"/>
  <c r="X22" i="1"/>
  <c r="X23" i="1" s="1"/>
  <c r="Y22" i="1"/>
  <c r="Y23" i="1" s="1"/>
  <c r="K22" i="1"/>
  <c r="K23" i="1" s="1"/>
  <c r="R18" i="1"/>
  <c r="Q25" i="1"/>
  <c r="R25" i="1"/>
  <c r="S25" i="1"/>
  <c r="T25" i="1"/>
  <c r="U25" i="1"/>
  <c r="V25" i="1"/>
  <c r="W25" i="1"/>
  <c r="X25" i="1"/>
  <c r="Y25" i="1"/>
  <c r="Z25" i="1"/>
  <c r="P25" i="1"/>
  <c r="K18" i="1"/>
  <c r="J20" i="1"/>
  <c r="I20" i="1"/>
  <c r="L18" i="1"/>
  <c r="M18" i="1"/>
  <c r="N18" i="1"/>
  <c r="O18" i="1"/>
  <c r="P18" i="1"/>
  <c r="Q18" i="1"/>
  <c r="S18" i="1"/>
  <c r="T18" i="1"/>
  <c r="U18" i="1"/>
  <c r="V18" i="1"/>
  <c r="W18" i="1"/>
  <c r="X18" i="1"/>
  <c r="Y18" i="1"/>
  <c r="H28" i="1"/>
  <c r="I28" i="1"/>
  <c r="J28" i="1"/>
  <c r="K28" i="1"/>
  <c r="L28" i="1"/>
  <c r="M28" i="1"/>
  <c r="N28" i="1"/>
  <c r="O28" i="1"/>
  <c r="P28" i="1"/>
  <c r="Q28" i="1"/>
  <c r="R28" i="1"/>
  <c r="S28" i="1"/>
  <c r="T28" i="1"/>
  <c r="U28" i="1"/>
  <c r="V28" i="1"/>
  <c r="W28" i="1"/>
  <c r="X28" i="1"/>
  <c r="Y28" i="1"/>
  <c r="Z28" i="1"/>
  <c r="AA28" i="1"/>
  <c r="G28" i="1"/>
  <c r="H26" i="1"/>
  <c r="I26" i="1"/>
  <c r="J26" i="1"/>
  <c r="K26" i="1"/>
  <c r="L26" i="1"/>
  <c r="M26" i="1"/>
  <c r="N26" i="1"/>
  <c r="O26" i="1"/>
  <c r="P26" i="1"/>
  <c r="Q26" i="1"/>
  <c r="R26" i="1"/>
  <c r="S26" i="1"/>
  <c r="T26" i="1"/>
  <c r="U26" i="1"/>
  <c r="V26" i="1"/>
  <c r="W26" i="1"/>
  <c r="X26" i="1"/>
  <c r="Y26" i="1"/>
  <c r="Z26" i="1"/>
  <c r="AA26" i="1"/>
  <c r="G26" i="1"/>
  <c r="G19" i="1"/>
  <c r="H29" i="1"/>
  <c r="I29" i="1"/>
  <c r="J29" i="1"/>
  <c r="K29" i="1"/>
  <c r="L29" i="1"/>
  <c r="M29" i="1"/>
  <c r="N29" i="1"/>
  <c r="O29" i="1"/>
  <c r="P29" i="1"/>
  <c r="Q29" i="1"/>
  <c r="R29" i="1"/>
  <c r="S29" i="1"/>
  <c r="T29" i="1"/>
  <c r="U29" i="1"/>
  <c r="V29" i="1"/>
  <c r="W29" i="1"/>
  <c r="X29" i="1"/>
  <c r="Y29" i="1"/>
  <c r="Z29" i="1"/>
  <c r="AA29" i="1"/>
  <c r="G29" i="1"/>
  <c r="H27" i="1"/>
  <c r="I27" i="1"/>
  <c r="J27" i="1"/>
  <c r="K27" i="1"/>
  <c r="L27" i="1"/>
  <c r="M27" i="1"/>
  <c r="N27" i="1"/>
  <c r="O27" i="1"/>
  <c r="P27" i="1"/>
  <c r="Q27" i="1"/>
  <c r="R27" i="1"/>
  <c r="S27" i="1"/>
  <c r="T27" i="1"/>
  <c r="U27" i="1"/>
  <c r="V27" i="1"/>
  <c r="W27" i="1"/>
  <c r="X27" i="1"/>
  <c r="Y27" i="1"/>
  <c r="Z27" i="1"/>
  <c r="AA27" i="1"/>
  <c r="G27" i="1"/>
  <c r="H32" i="1"/>
  <c r="I32" i="1"/>
  <c r="J32" i="1"/>
  <c r="K32" i="1"/>
  <c r="L32" i="1"/>
  <c r="M32" i="1"/>
  <c r="N32" i="1"/>
  <c r="O32" i="1"/>
  <c r="P32" i="1"/>
  <c r="Q32" i="1"/>
  <c r="R32" i="1"/>
  <c r="S32" i="1"/>
  <c r="T32" i="1"/>
  <c r="U32" i="1"/>
  <c r="V32" i="1"/>
  <c r="W32" i="1"/>
  <c r="X32" i="1"/>
  <c r="Y32" i="1"/>
  <c r="Z32" i="1"/>
  <c r="AA32" i="1"/>
  <c r="G32" i="1"/>
  <c r="G33" i="1"/>
  <c r="H33" i="1" s="1"/>
  <c r="I33" i="1" s="1"/>
  <c r="J33" i="1" s="1"/>
  <c r="K33" i="1" s="1"/>
  <c r="L33" i="1" s="1"/>
  <c r="M33" i="1" s="1"/>
  <c r="N33" i="1" s="1"/>
  <c r="O33" i="1" s="1"/>
  <c r="P33" i="1" s="1"/>
  <c r="Q33" i="1" s="1"/>
  <c r="R33" i="1" s="1"/>
  <c r="S33" i="1" s="1"/>
  <c r="T33" i="1" s="1"/>
  <c r="U33" i="1" s="1"/>
  <c r="V33" i="1" s="1"/>
  <c r="W33" i="1" s="1"/>
  <c r="X33" i="1" s="1"/>
  <c r="Y33" i="1" s="1"/>
  <c r="Z33" i="1" s="1"/>
  <c r="AA33" i="1" s="1"/>
  <c r="P15" i="1"/>
  <c r="U23" i="1" l="1"/>
  <c r="Y21" i="1"/>
  <c r="Y19" i="1" s="1"/>
  <c r="Q21" i="1"/>
  <c r="Q19" i="1" s="1"/>
  <c r="AB18" i="1"/>
  <c r="AB20" i="1"/>
  <c r="AP25" i="4"/>
  <c r="E31" i="4"/>
  <c r="Z23" i="1" l="1"/>
  <c r="Z21" i="1" s="1"/>
  <c r="Z19" i="1" s="1"/>
  <c r="W21" i="1"/>
  <c r="W19" i="1" s="1"/>
  <c r="R21" i="1"/>
  <c r="E17" i="4"/>
  <c r="N20" i="4" s="1"/>
  <c r="K20" i="4"/>
  <c r="B18" i="4"/>
  <c r="H21" i="4" s="1"/>
  <c r="V24" i="4" s="1"/>
  <c r="AP26" i="4"/>
  <c r="AO26" i="4" s="1"/>
  <c r="AN26" i="4" s="1"/>
  <c r="AM26" i="4" s="1"/>
  <c r="AL26" i="4" s="1"/>
  <c r="AK26" i="4" s="1"/>
  <c r="AJ26" i="4" s="1"/>
  <c r="AI26" i="4" s="1"/>
  <c r="AH26" i="4" s="1"/>
  <c r="AG26" i="4" s="1"/>
  <c r="AF26" i="4" s="1"/>
  <c r="AE26" i="4" s="1"/>
  <c r="AD26" i="4" s="1"/>
  <c r="AC26" i="4" s="1"/>
  <c r="AB26" i="4" s="1"/>
  <c r="AA26" i="4" s="1"/>
  <c r="Z26" i="4" s="1"/>
  <c r="Y26" i="4" s="1"/>
  <c r="X26" i="4" s="1"/>
  <c r="W26" i="4" s="1"/>
  <c r="V26" i="4" s="1"/>
  <c r="U26" i="4" s="1"/>
  <c r="T26" i="4" s="1"/>
  <c r="S26" i="4" s="1"/>
  <c r="R26" i="4" s="1"/>
  <c r="Q26" i="4" s="1"/>
  <c r="P26" i="4" s="1"/>
  <c r="O26" i="4" s="1"/>
  <c r="N26" i="4" s="1"/>
  <c r="M26" i="4" s="1"/>
  <c r="L26" i="4" s="1"/>
  <c r="K26" i="4" s="1"/>
  <c r="J26" i="4" s="1"/>
  <c r="I26" i="4" s="1"/>
  <c r="H26" i="4" s="1"/>
  <c r="G26" i="4" s="1"/>
  <c r="F26" i="4" s="1"/>
  <c r="E26" i="4" s="1"/>
  <c r="D26" i="4" s="1"/>
  <c r="C26" i="4" s="1"/>
  <c r="B26" i="4" s="1"/>
  <c r="R19" i="1" l="1"/>
  <c r="AA23" i="1"/>
  <c r="E18" i="4"/>
  <c r="E19" i="4" s="1"/>
  <c r="H17" i="4"/>
  <c r="K17" i="4" s="1"/>
  <c r="B19" i="4"/>
  <c r="K21" i="4"/>
  <c r="Y24" i="4" s="1"/>
  <c r="H18" i="4"/>
  <c r="H19" i="4" s="1"/>
  <c r="I19" i="1"/>
  <c r="J19" i="1"/>
  <c r="H19" i="1"/>
  <c r="G64" i="1"/>
  <c r="G63" i="1"/>
  <c r="AA21" i="1" l="1"/>
  <c r="AA19" i="1" s="1"/>
  <c r="N21" i="4"/>
  <c r="AB24" i="4" s="1"/>
  <c r="N22" i="4"/>
  <c r="Q20" i="4"/>
  <c r="T20" i="4"/>
  <c r="N17" i="4"/>
  <c r="K18" i="4"/>
  <c r="K19" i="4" s="1"/>
  <c r="B14" i="3"/>
  <c r="Q21" i="4" l="1"/>
  <c r="AE24" i="4" s="1"/>
  <c r="Q22" i="4"/>
  <c r="W20" i="4"/>
  <c r="Q17" i="4"/>
  <c r="N18" i="4"/>
  <c r="N19" i="4" s="1"/>
  <c r="M75" i="1"/>
  <c r="S14" i="1"/>
  <c r="S15" i="1" s="1"/>
  <c r="S24" i="1"/>
  <c r="P14" i="1"/>
  <c r="Q14" i="1" s="1"/>
  <c r="P24" i="1"/>
  <c r="L13" i="1"/>
  <c r="M13" i="1" s="1"/>
  <c r="N13" i="1" s="1"/>
  <c r="O13" i="1" s="1"/>
  <c r="P13" i="1" s="1"/>
  <c r="Q13" i="1" s="1"/>
  <c r="R13" i="1" s="1"/>
  <c r="S13" i="1" s="1"/>
  <c r="T13" i="1" s="1"/>
  <c r="U13" i="1" s="1"/>
  <c r="V13" i="1" s="1"/>
  <c r="W13" i="1" s="1"/>
  <c r="X13" i="1" s="1"/>
  <c r="Y13" i="1" s="1"/>
  <c r="Z13" i="1" s="1"/>
  <c r="AA13" i="1" s="1"/>
  <c r="T21" i="4" l="1"/>
  <c r="AH24" i="4" s="1"/>
  <c r="Z20" i="4"/>
  <c r="T23" i="4"/>
  <c r="T22" i="4"/>
  <c r="T17" i="4"/>
  <c r="Q18" i="4"/>
  <c r="Q19" i="4" s="1"/>
  <c r="R14" i="1"/>
  <c r="Q15" i="1"/>
  <c r="Q24" i="1"/>
  <c r="B56" i="1"/>
  <c r="B54" i="1"/>
  <c r="B52" i="1"/>
  <c r="B50" i="1"/>
  <c r="B48" i="1"/>
  <c r="B46" i="1"/>
  <c r="B44" i="1"/>
  <c r="B42" i="1"/>
  <c r="B40" i="1"/>
  <c r="W21" i="4" l="1"/>
  <c r="AK24" i="4" s="1"/>
  <c r="W23" i="4"/>
  <c r="AC20" i="4"/>
  <c r="W22" i="4"/>
  <c r="W17" i="4"/>
  <c r="T18" i="4"/>
  <c r="T19" i="4" s="1"/>
  <c r="R15" i="1"/>
  <c r="R24" i="1"/>
  <c r="AF20" i="4" l="1"/>
  <c r="Z21" i="4"/>
  <c r="AN24" i="4" s="1"/>
  <c r="Z23" i="4"/>
  <c r="Z22" i="4"/>
  <c r="Z17" i="4"/>
  <c r="W18" i="4"/>
  <c r="W19" i="4" s="1"/>
  <c r="C73" i="1"/>
  <c r="C71" i="1"/>
  <c r="C69" i="1"/>
  <c r="C67" i="1"/>
  <c r="C65" i="1"/>
  <c r="C63" i="1"/>
  <c r="G24" i="1"/>
  <c r="C5" i="3"/>
  <c r="D42" i="1" s="1"/>
  <c r="AI20" i="4" l="1"/>
  <c r="AC21" i="4"/>
  <c r="AC22" i="4"/>
  <c r="AC23" i="4"/>
  <c r="AC17" i="4"/>
  <c r="Z18" i="4"/>
  <c r="Z19" i="4" s="1"/>
  <c r="AA67" i="1"/>
  <c r="AA68" i="1" s="1"/>
  <c r="AA24" i="1"/>
  <c r="AA63" i="1"/>
  <c r="AA75" i="1" s="1"/>
  <c r="AA69" i="1"/>
  <c r="AA70" i="1" s="1"/>
  <c r="AA65" i="1"/>
  <c r="AA66" i="1" s="1"/>
  <c r="AA64" i="1"/>
  <c r="AA73" i="1"/>
  <c r="AA71" i="1"/>
  <c r="AA72" i="1" s="1"/>
  <c r="AA42" i="1"/>
  <c r="AA43" i="1"/>
  <c r="C7" i="3"/>
  <c r="D46" i="1" s="1"/>
  <c r="C4" i="3"/>
  <c r="D40" i="1" s="1"/>
  <c r="C12" i="3"/>
  <c r="D56" i="1" s="1"/>
  <c r="G57" i="1" s="1"/>
  <c r="C11" i="3"/>
  <c r="D54" i="1" s="1"/>
  <c r="C10" i="3"/>
  <c r="D52" i="1" s="1"/>
  <c r="C9" i="3"/>
  <c r="D50" i="1" s="1"/>
  <c r="C8" i="3"/>
  <c r="D48" i="1" s="1"/>
  <c r="C6" i="3"/>
  <c r="D44" i="1" s="1"/>
  <c r="AA44" i="1" s="1"/>
  <c r="C4" i="1"/>
  <c r="C5" i="1"/>
  <c r="G43" i="1"/>
  <c r="G73" i="1"/>
  <c r="G71" i="1"/>
  <c r="G69" i="1"/>
  <c r="G70" i="1" s="1"/>
  <c r="G67" i="1"/>
  <c r="G68" i="1" s="1"/>
  <c r="G65" i="1"/>
  <c r="G66" i="1" s="1"/>
  <c r="C42" i="1"/>
  <c r="C44" i="1"/>
  <c r="C46" i="1"/>
  <c r="C48" i="1"/>
  <c r="C50" i="1"/>
  <c r="C52" i="1"/>
  <c r="C54" i="1"/>
  <c r="C56" i="1"/>
  <c r="C40" i="1"/>
  <c r="C13" i="2"/>
  <c r="D13" i="2" s="1"/>
  <c r="C25" i="2"/>
  <c r="D25" i="2" s="1"/>
  <c r="C37" i="2"/>
  <c r="D37" i="2" s="1"/>
  <c r="D49" i="2"/>
  <c r="C49" i="2"/>
  <c r="C61" i="2"/>
  <c r="D61" i="2" s="1"/>
  <c r="D73" i="2"/>
  <c r="C73" i="2"/>
  <c r="C85" i="2"/>
  <c r="D85" i="2" s="1"/>
  <c r="C107" i="2"/>
  <c r="D107" i="2" s="1"/>
  <c r="C97" i="2"/>
  <c r="D97" i="2" s="1"/>
  <c r="H13" i="1"/>
  <c r="I13" i="1" s="1"/>
  <c r="J13" i="1" s="1"/>
  <c r="K13" i="1" s="1"/>
  <c r="G15" i="1"/>
  <c r="H14" i="1"/>
  <c r="AF22" i="4" l="1"/>
  <c r="AL20" i="4"/>
  <c r="AF23" i="4"/>
  <c r="AF21" i="4"/>
  <c r="AF17" i="4"/>
  <c r="AC18" i="4"/>
  <c r="AC19" i="4" s="1"/>
  <c r="G41" i="1"/>
  <c r="G40" i="1"/>
  <c r="AA76" i="1"/>
  <c r="G49" i="1"/>
  <c r="G48" i="1"/>
  <c r="AA52" i="1"/>
  <c r="AA53" i="1"/>
  <c r="AA54" i="1"/>
  <c r="AA55" i="1"/>
  <c r="AA48" i="1"/>
  <c r="AA49" i="1"/>
  <c r="AA46" i="1"/>
  <c r="AA47" i="1"/>
  <c r="AA51" i="1"/>
  <c r="AA50" i="1"/>
  <c r="G52" i="1"/>
  <c r="G51" i="1"/>
  <c r="G54" i="1"/>
  <c r="AA40" i="1"/>
  <c r="AA41" i="1"/>
  <c r="AA45" i="1"/>
  <c r="AA57" i="1"/>
  <c r="AA56" i="1"/>
  <c r="G44" i="1"/>
  <c r="I14" i="1"/>
  <c r="J14" i="1" s="1"/>
  <c r="H67" i="1"/>
  <c r="H68" i="1" s="1"/>
  <c r="I43" i="1"/>
  <c r="G45" i="1"/>
  <c r="I71" i="1"/>
  <c r="I72" i="1" s="1"/>
  <c r="H56" i="1"/>
  <c r="H65" i="1"/>
  <c r="H66" i="1" s="1"/>
  <c r="G53" i="1"/>
  <c r="H54" i="1"/>
  <c r="H73" i="1"/>
  <c r="G42" i="1"/>
  <c r="G50" i="1"/>
  <c r="H71" i="1"/>
  <c r="H72" i="1" s="1"/>
  <c r="H69" i="1"/>
  <c r="H70" i="1" s="1"/>
  <c r="I63" i="1"/>
  <c r="I64" i="1" s="1"/>
  <c r="H52" i="1"/>
  <c r="I42" i="1"/>
  <c r="H45" i="1"/>
  <c r="H49" i="1"/>
  <c r="H53" i="1"/>
  <c r="H57" i="1"/>
  <c r="G75" i="1"/>
  <c r="H63" i="1"/>
  <c r="H64" i="1" s="1"/>
  <c r="G46" i="1"/>
  <c r="I56" i="1"/>
  <c r="H42" i="1"/>
  <c r="G47" i="1"/>
  <c r="G55" i="1"/>
  <c r="H46" i="1"/>
  <c r="H43" i="1"/>
  <c r="I46" i="1"/>
  <c r="I50" i="1"/>
  <c r="H50" i="1"/>
  <c r="I51" i="1"/>
  <c r="I55" i="1"/>
  <c r="G56" i="1"/>
  <c r="H40" i="1"/>
  <c r="H47" i="1"/>
  <c r="H51" i="1"/>
  <c r="H55" i="1"/>
  <c r="I65" i="1"/>
  <c r="I66" i="1" s="1"/>
  <c r="H44" i="1"/>
  <c r="I41" i="1"/>
  <c r="H41" i="1"/>
  <c r="I67" i="1"/>
  <c r="I68" i="1" s="1"/>
  <c r="H48" i="1"/>
  <c r="G72" i="1"/>
  <c r="G76" i="1" s="1"/>
  <c r="H15" i="1"/>
  <c r="I24" i="1"/>
  <c r="H24" i="1"/>
  <c r="I15" i="1"/>
  <c r="AO20" i="4" l="1"/>
  <c r="AI23" i="4"/>
  <c r="AI21" i="4"/>
  <c r="AI22" i="4"/>
  <c r="AI17" i="4"/>
  <c r="AF18" i="4"/>
  <c r="AF19" i="4" s="1"/>
  <c r="AA58" i="1"/>
  <c r="AA59" i="1"/>
  <c r="G59" i="1"/>
  <c r="H59" i="1"/>
  <c r="I53" i="1"/>
  <c r="I52" i="1"/>
  <c r="I21" i="1"/>
  <c r="S23" i="1" s="1"/>
  <c r="S21" i="1" s="1"/>
  <c r="S19" i="1" s="1"/>
  <c r="I48" i="1"/>
  <c r="I45" i="1"/>
  <c r="I47" i="1"/>
  <c r="I40" i="1"/>
  <c r="I49" i="1"/>
  <c r="I54" i="1"/>
  <c r="I73" i="1"/>
  <c r="I44" i="1"/>
  <c r="I69" i="1"/>
  <c r="I70" i="1" s="1"/>
  <c r="I76" i="1" s="1"/>
  <c r="I57" i="1"/>
  <c r="J42" i="1"/>
  <c r="J51" i="1"/>
  <c r="J73" i="1"/>
  <c r="J50" i="1"/>
  <c r="J55" i="1"/>
  <c r="J44" i="1"/>
  <c r="J48" i="1"/>
  <c r="J71" i="1"/>
  <c r="J72" i="1" s="1"/>
  <c r="J69" i="1"/>
  <c r="J70" i="1" s="1"/>
  <c r="J65" i="1"/>
  <c r="J66" i="1" s="1"/>
  <c r="J76" i="1" s="1"/>
  <c r="J67" i="1"/>
  <c r="J68" i="1" s="1"/>
  <c r="J56" i="1"/>
  <c r="J63" i="1"/>
  <c r="J64" i="1" s="1"/>
  <c r="J46" i="1"/>
  <c r="J52" i="1"/>
  <c r="J49" i="1"/>
  <c r="J53" i="1"/>
  <c r="J57" i="1"/>
  <c r="J21" i="1"/>
  <c r="T23" i="1" s="1"/>
  <c r="T21" i="1" s="1"/>
  <c r="T19" i="1" s="1"/>
  <c r="J15" i="1"/>
  <c r="J43" i="1"/>
  <c r="J41" i="1"/>
  <c r="J45" i="1"/>
  <c r="J47" i="1"/>
  <c r="J40" i="1"/>
  <c r="J24" i="1"/>
  <c r="J54" i="1"/>
  <c r="K14" i="1"/>
  <c r="H75" i="1"/>
  <c r="G58" i="1"/>
  <c r="H58" i="1"/>
  <c r="H76" i="1"/>
  <c r="I75" i="1"/>
  <c r="AL22" i="4" l="1"/>
  <c r="AL21" i="4"/>
  <c r="AL23" i="4"/>
  <c r="AL17" i="4"/>
  <c r="AI18" i="4"/>
  <c r="AI19" i="4" s="1"/>
  <c r="J58" i="1"/>
  <c r="I58" i="1"/>
  <c r="I59" i="1"/>
  <c r="J59" i="1"/>
  <c r="J75" i="1"/>
  <c r="L14" i="1"/>
  <c r="K55" i="1"/>
  <c r="K67" i="1"/>
  <c r="K68" i="1" s="1"/>
  <c r="K15" i="1"/>
  <c r="K48" i="1"/>
  <c r="K71" i="1"/>
  <c r="K72" i="1" s="1"/>
  <c r="K41" i="1"/>
  <c r="K19" i="1"/>
  <c r="K49" i="1"/>
  <c r="K54" i="1"/>
  <c r="K52" i="1"/>
  <c r="K73" i="1"/>
  <c r="K50" i="1"/>
  <c r="K46" i="1"/>
  <c r="K65" i="1"/>
  <c r="K66" i="1" s="1"/>
  <c r="K44" i="1"/>
  <c r="K53" i="1"/>
  <c r="K56" i="1"/>
  <c r="K69" i="1"/>
  <c r="K70" i="1" s="1"/>
  <c r="K47" i="1"/>
  <c r="K63" i="1"/>
  <c r="K42" i="1"/>
  <c r="K40" i="1"/>
  <c r="K45" i="1"/>
  <c r="K57" i="1"/>
  <c r="K24" i="1"/>
  <c r="K51" i="1"/>
  <c r="K43" i="1"/>
  <c r="AO21" i="4" l="1"/>
  <c r="AO22" i="4"/>
  <c r="AO23" i="4"/>
  <c r="AO17" i="4"/>
  <c r="AO18" i="4" s="1"/>
  <c r="AO19" i="4" s="1"/>
  <c r="AL18" i="4"/>
  <c r="AL19" i="4" s="1"/>
  <c r="K59" i="1"/>
  <c r="K58" i="1"/>
  <c r="M14" i="1"/>
  <c r="L53" i="1"/>
  <c r="L42" i="1"/>
  <c r="L54" i="1"/>
  <c r="L47" i="1"/>
  <c r="L69" i="1"/>
  <c r="L70" i="1" s="1"/>
  <c r="L15" i="1"/>
  <c r="L46" i="1"/>
  <c r="L24" i="1"/>
  <c r="L50" i="1"/>
  <c r="L40" i="1"/>
  <c r="L43" i="1"/>
  <c r="L48" i="1"/>
  <c r="L57" i="1"/>
  <c r="L67" i="1"/>
  <c r="L68" i="1" s="1"/>
  <c r="L44" i="1"/>
  <c r="L65" i="1"/>
  <c r="L66" i="1" s="1"/>
  <c r="L73" i="1"/>
  <c r="L63" i="1"/>
  <c r="L55" i="1"/>
  <c r="L52" i="1"/>
  <c r="L19" i="1"/>
  <c r="U21" i="1" s="1"/>
  <c r="U19" i="1" s="1"/>
  <c r="L51" i="1"/>
  <c r="L71" i="1"/>
  <c r="L72" i="1" s="1"/>
  <c r="L45" i="1"/>
  <c r="L56" i="1"/>
  <c r="L41" i="1"/>
  <c r="L49" i="1"/>
  <c r="K64" i="1"/>
  <c r="K76" i="1" s="1"/>
  <c r="K75" i="1"/>
  <c r="L58" i="1" l="1"/>
  <c r="L64" i="1"/>
  <c r="L76" i="1" s="1"/>
  <c r="L75" i="1"/>
  <c r="L59" i="1"/>
  <c r="N14" i="1"/>
  <c r="M50" i="1"/>
  <c r="M42" i="1"/>
  <c r="M40" i="1"/>
  <c r="M41" i="1"/>
  <c r="M49" i="1"/>
  <c r="M48" i="1"/>
  <c r="M63" i="1"/>
  <c r="M73" i="1"/>
  <c r="M54" i="1"/>
  <c r="M71" i="1"/>
  <c r="M72" i="1" s="1"/>
  <c r="M46" i="1"/>
  <c r="M47" i="1"/>
  <c r="M67" i="1"/>
  <c r="M68" i="1" s="1"/>
  <c r="M43" i="1"/>
  <c r="M69" i="1"/>
  <c r="M70" i="1" s="1"/>
  <c r="M51" i="1"/>
  <c r="M65" i="1"/>
  <c r="M66" i="1" s="1"/>
  <c r="M15" i="1"/>
  <c r="M53" i="1"/>
  <c r="M52" i="1"/>
  <c r="M44" i="1"/>
  <c r="M56" i="1"/>
  <c r="M57" i="1"/>
  <c r="M45" i="1"/>
  <c r="M55" i="1"/>
  <c r="M24" i="1"/>
  <c r="M64" i="1" l="1"/>
  <c r="M76" i="1" s="1"/>
  <c r="M59" i="1"/>
  <c r="M58" i="1"/>
  <c r="O14" i="1"/>
  <c r="N48" i="1"/>
  <c r="N54" i="1"/>
  <c r="N41" i="1"/>
  <c r="N57" i="1"/>
  <c r="N47" i="1"/>
  <c r="N52" i="1"/>
  <c r="N50" i="1"/>
  <c r="N46" i="1"/>
  <c r="N42" i="1"/>
  <c r="N44" i="1"/>
  <c r="N67" i="1"/>
  <c r="N68" i="1" s="1"/>
  <c r="N45" i="1"/>
  <c r="N56" i="1"/>
  <c r="N51" i="1"/>
  <c r="N73" i="1"/>
  <c r="N24" i="1"/>
  <c r="N40" i="1"/>
  <c r="N49" i="1"/>
  <c r="N43" i="1"/>
  <c r="N71" i="1"/>
  <c r="N72" i="1" s="1"/>
  <c r="N55" i="1"/>
  <c r="N15" i="1"/>
  <c r="N69" i="1"/>
  <c r="N70" i="1" s="1"/>
  <c r="N65" i="1"/>
  <c r="N66" i="1" s="1"/>
  <c r="N63" i="1"/>
  <c r="N53" i="1"/>
  <c r="M19" i="1"/>
  <c r="V21" i="1" s="1"/>
  <c r="N19" i="1" l="1"/>
  <c r="N58" i="1"/>
  <c r="N59" i="1"/>
  <c r="N64" i="1"/>
  <c r="N76" i="1" s="1"/>
  <c r="N75" i="1"/>
  <c r="O65" i="1"/>
  <c r="O66" i="1" s="1"/>
  <c r="O55" i="1"/>
  <c r="O40" i="1"/>
  <c r="X21" i="1"/>
  <c r="X19" i="1" s="1"/>
  <c r="O71" i="1"/>
  <c r="O72" i="1" s="1"/>
  <c r="O69" i="1"/>
  <c r="O70" i="1" s="1"/>
  <c r="O15" i="1"/>
  <c r="O46" i="1"/>
  <c r="O47" i="1"/>
  <c r="O41" i="1"/>
  <c r="O73" i="1"/>
  <c r="O45" i="1"/>
  <c r="O50" i="1"/>
  <c r="O51" i="1"/>
  <c r="O49" i="1"/>
  <c r="O48" i="1"/>
  <c r="O67" i="1"/>
  <c r="O68" i="1" s="1"/>
  <c r="O43" i="1"/>
  <c r="O56" i="1"/>
  <c r="O53" i="1"/>
  <c r="O57" i="1"/>
  <c r="O52" i="1"/>
  <c r="O44" i="1"/>
  <c r="O63" i="1"/>
  <c r="O54" i="1"/>
  <c r="O42" i="1"/>
  <c r="O24" i="1"/>
  <c r="O58" i="1" l="1"/>
  <c r="O64" i="1"/>
  <c r="O76" i="1" s="1"/>
  <c r="O75" i="1"/>
  <c r="P48" i="1"/>
  <c r="P41" i="1"/>
  <c r="P52" i="1"/>
  <c r="P56" i="1"/>
  <c r="P47" i="1"/>
  <c r="P51" i="1"/>
  <c r="P45" i="1"/>
  <c r="P73" i="1"/>
  <c r="P44" i="1"/>
  <c r="P71" i="1"/>
  <c r="P72" i="1" s="1"/>
  <c r="P69" i="1"/>
  <c r="P70" i="1" s="1"/>
  <c r="P49" i="1"/>
  <c r="P50" i="1"/>
  <c r="P46" i="1"/>
  <c r="P42" i="1"/>
  <c r="P65" i="1"/>
  <c r="P66" i="1" s="1"/>
  <c r="P63" i="1"/>
  <c r="P67" i="1"/>
  <c r="P68" i="1" s="1"/>
  <c r="P53" i="1"/>
  <c r="P40" i="1"/>
  <c r="P55" i="1"/>
  <c r="P43" i="1"/>
  <c r="P54" i="1"/>
  <c r="P57" i="1"/>
  <c r="O59" i="1"/>
  <c r="P58" i="1" l="1"/>
  <c r="P64" i="1"/>
  <c r="P76" i="1" s="1"/>
  <c r="P75" i="1"/>
  <c r="P59" i="1"/>
  <c r="Q47" i="1"/>
  <c r="Q43" i="1"/>
  <c r="Q57" i="1"/>
  <c r="Q51" i="1"/>
  <c r="Q67" i="1"/>
  <c r="Q68" i="1" s="1"/>
  <c r="Q52" i="1"/>
  <c r="Q65" i="1"/>
  <c r="Q66" i="1" s="1"/>
  <c r="Q45" i="1"/>
  <c r="Q48" i="1"/>
  <c r="Q73" i="1"/>
  <c r="Q71" i="1"/>
  <c r="Q72" i="1" s="1"/>
  <c r="Q46" i="1"/>
  <c r="Q40" i="1"/>
  <c r="Q55" i="1"/>
  <c r="Q69" i="1"/>
  <c r="Q70" i="1" s="1"/>
  <c r="Q49" i="1"/>
  <c r="Q42" i="1"/>
  <c r="Q54" i="1"/>
  <c r="Q63" i="1"/>
  <c r="Q56" i="1"/>
  <c r="Q50" i="1"/>
  <c r="Q44" i="1"/>
  <c r="Q41" i="1"/>
  <c r="Q53" i="1"/>
  <c r="Q58" i="1" l="1"/>
  <c r="Q59" i="1"/>
  <c r="Q64" i="1"/>
  <c r="Q76" i="1" s="1"/>
  <c r="Q75" i="1"/>
  <c r="R57" i="1"/>
  <c r="R73" i="1"/>
  <c r="R49" i="1"/>
  <c r="R51" i="1"/>
  <c r="R55" i="1"/>
  <c r="R63" i="1"/>
  <c r="R48" i="1"/>
  <c r="R46" i="1"/>
  <c r="R40" i="1"/>
  <c r="R44" i="1"/>
  <c r="R43" i="1"/>
  <c r="R71" i="1"/>
  <c r="R72" i="1" s="1"/>
  <c r="R45" i="1"/>
  <c r="R52" i="1"/>
  <c r="R67" i="1"/>
  <c r="R68" i="1" s="1"/>
  <c r="R69" i="1"/>
  <c r="R70" i="1" s="1"/>
  <c r="R53" i="1"/>
  <c r="R65" i="1"/>
  <c r="R66" i="1" s="1"/>
  <c r="R50" i="1"/>
  <c r="R41" i="1"/>
  <c r="R42" i="1"/>
  <c r="R56" i="1"/>
  <c r="R47" i="1"/>
  <c r="R54" i="1"/>
  <c r="R64" i="1" l="1"/>
  <c r="R76" i="1" s="1"/>
  <c r="R75" i="1"/>
  <c r="T14" i="1"/>
  <c r="S43" i="1"/>
  <c r="S55" i="1"/>
  <c r="S52" i="1"/>
  <c r="S45" i="1"/>
  <c r="S41" i="1"/>
  <c r="S67" i="1"/>
  <c r="S68" i="1" s="1"/>
  <c r="S73" i="1"/>
  <c r="S50" i="1"/>
  <c r="S44" i="1"/>
  <c r="S57" i="1"/>
  <c r="S71" i="1"/>
  <c r="S72" i="1" s="1"/>
  <c r="S46" i="1"/>
  <c r="S47" i="1"/>
  <c r="S54" i="1"/>
  <c r="S65" i="1"/>
  <c r="S66" i="1" s="1"/>
  <c r="S48" i="1"/>
  <c r="S69" i="1"/>
  <c r="S70" i="1" s="1"/>
  <c r="S42" i="1"/>
  <c r="S49" i="1"/>
  <c r="S40" i="1"/>
  <c r="S51" i="1"/>
  <c r="S53" i="1"/>
  <c r="S63" i="1"/>
  <c r="S56" i="1"/>
  <c r="R59" i="1"/>
  <c r="R58" i="1"/>
  <c r="T24" i="1" l="1"/>
  <c r="S58" i="1"/>
  <c r="S59" i="1"/>
  <c r="S64" i="1"/>
  <c r="S76" i="1" s="1"/>
  <c r="S75" i="1"/>
  <c r="U14" i="1"/>
  <c r="T45" i="1"/>
  <c r="T50" i="1"/>
  <c r="T44" i="1"/>
  <c r="T43" i="1"/>
  <c r="T49" i="1"/>
  <c r="T73" i="1"/>
  <c r="T40" i="1"/>
  <c r="T54" i="1"/>
  <c r="T69" i="1"/>
  <c r="T70" i="1" s="1"/>
  <c r="T48" i="1"/>
  <c r="T55" i="1"/>
  <c r="T56" i="1"/>
  <c r="T52" i="1"/>
  <c r="T67" i="1"/>
  <c r="T68" i="1" s="1"/>
  <c r="T15" i="1"/>
  <c r="T65" i="1"/>
  <c r="T66" i="1" s="1"/>
  <c r="T47" i="1"/>
  <c r="T53" i="1"/>
  <c r="T46" i="1"/>
  <c r="T41" i="1"/>
  <c r="T71" i="1"/>
  <c r="T72" i="1" s="1"/>
  <c r="T63" i="1"/>
  <c r="T51" i="1"/>
  <c r="T57" i="1"/>
  <c r="T42" i="1"/>
  <c r="U24" i="1" l="1"/>
  <c r="T58" i="1"/>
  <c r="T64" i="1"/>
  <c r="T76" i="1" s="1"/>
  <c r="T75" i="1"/>
  <c r="V14" i="1"/>
  <c r="U43" i="1"/>
  <c r="U46" i="1"/>
  <c r="U48" i="1"/>
  <c r="U47" i="1"/>
  <c r="U57" i="1"/>
  <c r="U69" i="1"/>
  <c r="U70" i="1" s="1"/>
  <c r="U44" i="1"/>
  <c r="U50" i="1"/>
  <c r="U54" i="1"/>
  <c r="U65" i="1"/>
  <c r="U66" i="1" s="1"/>
  <c r="U49" i="1"/>
  <c r="U67" i="1"/>
  <c r="U68" i="1" s="1"/>
  <c r="U53" i="1"/>
  <c r="U73" i="1"/>
  <c r="U41" i="1"/>
  <c r="U51" i="1"/>
  <c r="U71" i="1"/>
  <c r="U72" i="1" s="1"/>
  <c r="U63" i="1"/>
  <c r="U42" i="1"/>
  <c r="U45" i="1"/>
  <c r="U40" i="1"/>
  <c r="U56" i="1"/>
  <c r="U55" i="1"/>
  <c r="U15" i="1"/>
  <c r="U52" i="1"/>
  <c r="T59" i="1"/>
  <c r="V24" i="1" l="1"/>
  <c r="U59" i="1"/>
  <c r="U64" i="1"/>
  <c r="U76" i="1" s="1"/>
  <c r="U75" i="1"/>
  <c r="U58" i="1"/>
  <c r="W14" i="1"/>
  <c r="V67" i="1"/>
  <c r="V68" i="1" s="1"/>
  <c r="V45" i="1"/>
  <c r="V41" i="1"/>
  <c r="V50" i="1"/>
  <c r="V71" i="1"/>
  <c r="V72" i="1" s="1"/>
  <c r="V43" i="1"/>
  <c r="V69" i="1"/>
  <c r="V70" i="1" s="1"/>
  <c r="V49" i="1"/>
  <c r="V42" i="1"/>
  <c r="V47" i="1"/>
  <c r="V63" i="1"/>
  <c r="V46" i="1"/>
  <c r="V51" i="1"/>
  <c r="V53" i="1"/>
  <c r="V15" i="1"/>
  <c r="V65" i="1"/>
  <c r="V66" i="1" s="1"/>
  <c r="V56" i="1"/>
  <c r="V44" i="1"/>
  <c r="V57" i="1"/>
  <c r="V40" i="1"/>
  <c r="V55" i="1"/>
  <c r="V54" i="1"/>
  <c r="V48" i="1"/>
  <c r="V73" i="1"/>
  <c r="V52" i="1"/>
  <c r="W24" i="1" l="1"/>
  <c r="X14" i="1"/>
  <c r="V58" i="1"/>
  <c r="V59" i="1"/>
  <c r="V64" i="1"/>
  <c r="V76" i="1" s="1"/>
  <c r="V75" i="1"/>
  <c r="W46" i="1"/>
  <c r="W52" i="1"/>
  <c r="W49" i="1"/>
  <c r="W41" i="1"/>
  <c r="W43" i="1"/>
  <c r="W40" i="1"/>
  <c r="W73" i="1"/>
  <c r="W50" i="1"/>
  <c r="W71" i="1"/>
  <c r="W72" i="1" s="1"/>
  <c r="W44" i="1"/>
  <c r="W53" i="1"/>
  <c r="W47" i="1"/>
  <c r="W55" i="1"/>
  <c r="W69" i="1"/>
  <c r="W70" i="1" s="1"/>
  <c r="W65" i="1"/>
  <c r="W66" i="1" s="1"/>
  <c r="W63" i="1"/>
  <c r="W42" i="1"/>
  <c r="W56" i="1"/>
  <c r="W57" i="1"/>
  <c r="W54" i="1"/>
  <c r="W67" i="1"/>
  <c r="W68" i="1" s="1"/>
  <c r="W48" i="1"/>
  <c r="W51" i="1"/>
  <c r="W45" i="1"/>
  <c r="W15" i="1"/>
  <c r="X24" i="1" l="1"/>
  <c r="Y14" i="1"/>
  <c r="X63" i="1"/>
  <c r="X69" i="1"/>
  <c r="X70" i="1" s="1"/>
  <c r="X65" i="1"/>
  <c r="X66" i="1" s="1"/>
  <c r="X15" i="1"/>
  <c r="X71" i="1"/>
  <c r="X72" i="1" s="1"/>
  <c r="X67" i="1"/>
  <c r="X68" i="1" s="1"/>
  <c r="X73" i="1"/>
  <c r="X42" i="1"/>
  <c r="X43" i="1"/>
  <c r="X49" i="1"/>
  <c r="X44" i="1"/>
  <c r="X57" i="1"/>
  <c r="X48" i="1"/>
  <c r="X56" i="1"/>
  <c r="X54" i="1"/>
  <c r="X40" i="1"/>
  <c r="X45" i="1"/>
  <c r="X55" i="1"/>
  <c r="X50" i="1"/>
  <c r="X41" i="1"/>
  <c r="X51" i="1"/>
  <c r="X52" i="1"/>
  <c r="X46" i="1"/>
  <c r="X53" i="1"/>
  <c r="X47" i="1"/>
  <c r="W58" i="1"/>
  <c r="W64" i="1"/>
  <c r="W76" i="1" s="1"/>
  <c r="W75" i="1"/>
  <c r="W59" i="1"/>
  <c r="Y24" i="1" l="1"/>
  <c r="X64" i="1"/>
  <c r="X76" i="1" s="1"/>
  <c r="X75" i="1"/>
  <c r="X58" i="1"/>
  <c r="X59" i="1"/>
  <c r="Y63" i="1"/>
  <c r="Y69" i="1"/>
  <c r="Y70" i="1" s="1"/>
  <c r="Y71" i="1"/>
  <c r="Y72" i="1" s="1"/>
  <c r="Y67" i="1"/>
  <c r="Y68" i="1" s="1"/>
  <c r="Y73" i="1"/>
  <c r="Y65" i="1"/>
  <c r="Y66" i="1" s="1"/>
  <c r="Y43" i="1"/>
  <c r="Z14" i="1"/>
  <c r="Y15" i="1"/>
  <c r="Y42" i="1"/>
  <c r="Y48" i="1"/>
  <c r="Y44" i="1"/>
  <c r="Y57" i="1"/>
  <c r="Y41" i="1"/>
  <c r="Y49" i="1"/>
  <c r="Y45" i="1"/>
  <c r="Y51" i="1"/>
  <c r="Y56" i="1"/>
  <c r="Y47" i="1"/>
  <c r="Y40" i="1"/>
  <c r="Y50" i="1"/>
  <c r="Y52" i="1"/>
  <c r="Y46" i="1"/>
  <c r="Y55" i="1"/>
  <c r="Y54" i="1"/>
  <c r="Y53" i="1"/>
  <c r="Y59" i="1" l="1"/>
  <c r="Y75" i="1"/>
  <c r="Y64" i="1"/>
  <c r="Y76" i="1" s="1"/>
  <c r="Y58" i="1"/>
  <c r="Z67" i="1"/>
  <c r="Z68" i="1" s="1"/>
  <c r="Z63" i="1"/>
  <c r="Z69" i="1"/>
  <c r="Z70" i="1" s="1"/>
  <c r="Z65" i="1"/>
  <c r="Z66" i="1" s="1"/>
  <c r="Z71" i="1"/>
  <c r="Z72" i="1" s="1"/>
  <c r="Z73" i="1"/>
  <c r="Z43" i="1"/>
  <c r="Z42" i="1"/>
  <c r="Z53" i="1"/>
  <c r="Z47" i="1"/>
  <c r="Z50" i="1"/>
  <c r="Z41" i="1"/>
  <c r="Z48" i="1"/>
  <c r="Z46" i="1"/>
  <c r="Z54" i="1"/>
  <c r="Z51" i="1"/>
  <c r="Z56" i="1"/>
  <c r="Z49" i="1"/>
  <c r="Z44" i="1"/>
  <c r="Z15" i="1"/>
  <c r="Z40" i="1"/>
  <c r="Z57" i="1"/>
  <c r="Z45" i="1"/>
  <c r="Z52" i="1"/>
  <c r="Z55" i="1"/>
  <c r="Z59" i="1" l="1"/>
  <c r="Z58" i="1"/>
  <c r="Z64" i="1"/>
  <c r="Z76" i="1" s="1"/>
  <c r="Z75" i="1"/>
</calcChain>
</file>

<file path=xl/sharedStrings.xml><?xml version="1.0" encoding="utf-8"?>
<sst xmlns="http://schemas.openxmlformats.org/spreadsheetml/2006/main" count="294" uniqueCount="237">
  <si>
    <t>Australian Population</t>
  </si>
  <si>
    <t>By Age</t>
  </si>
  <si>
    <t>Cardiovascular Disease</t>
  </si>
  <si>
    <t>Mortality</t>
  </si>
  <si>
    <t>Number</t>
  </si>
  <si>
    <t>Diabetes</t>
  </si>
  <si>
    <t>Pop. with disease</t>
  </si>
  <si>
    <t>Chronic Respiratory Disease</t>
  </si>
  <si>
    <t>Hypertension</t>
  </si>
  <si>
    <t>Cancer</t>
  </si>
  <si>
    <t>Smoking</t>
  </si>
  <si>
    <t>?</t>
  </si>
  <si>
    <t>Infection Doubling Time (days)</t>
  </si>
  <si>
    <t>80+</t>
  </si>
  <si>
    <t>70-79</t>
  </si>
  <si>
    <t>60-69</t>
  </si>
  <si>
    <t>50-59</t>
  </si>
  <si>
    <t>40-49</t>
  </si>
  <si>
    <t>30-39</t>
  </si>
  <si>
    <t>20-29</t>
  </si>
  <si>
    <t>10-19</t>
  </si>
  <si>
    <t>0-9</t>
  </si>
  <si>
    <t>0</t>
  </si>
  <si>
    <t>1</t>
  </si>
  <si>
    <t>2</t>
  </si>
  <si>
    <t>3</t>
  </si>
  <si>
    <t>4</t>
  </si>
  <si>
    <t>0–4</t>
  </si>
  <si>
    <t>5</t>
  </si>
  <si>
    <t>6</t>
  </si>
  <si>
    <t>7</t>
  </si>
  <si>
    <t>8</t>
  </si>
  <si>
    <t>9</t>
  </si>
  <si>
    <t>5–9</t>
  </si>
  <si>
    <t>10</t>
  </si>
  <si>
    <t>11</t>
  </si>
  <si>
    <t>12</t>
  </si>
  <si>
    <t>13</t>
  </si>
  <si>
    <t>14</t>
  </si>
  <si>
    <t>10–14</t>
  </si>
  <si>
    <t>15</t>
  </si>
  <si>
    <t>16</t>
  </si>
  <si>
    <t>17</t>
  </si>
  <si>
    <t>18</t>
  </si>
  <si>
    <t>19</t>
  </si>
  <si>
    <t>15–19</t>
  </si>
  <si>
    <t>20</t>
  </si>
  <si>
    <t>21</t>
  </si>
  <si>
    <t>22</t>
  </si>
  <si>
    <t>23</t>
  </si>
  <si>
    <t>24</t>
  </si>
  <si>
    <t>20–24</t>
  </si>
  <si>
    <t>25</t>
  </si>
  <si>
    <t>26</t>
  </si>
  <si>
    <t>27</t>
  </si>
  <si>
    <t>28</t>
  </si>
  <si>
    <t>29</t>
  </si>
  <si>
    <t>25–29</t>
  </si>
  <si>
    <t>30</t>
  </si>
  <si>
    <t>31</t>
  </si>
  <si>
    <t>32</t>
  </si>
  <si>
    <t>33</t>
  </si>
  <si>
    <t>34</t>
  </si>
  <si>
    <t>30–34</t>
  </si>
  <si>
    <t>35</t>
  </si>
  <si>
    <t>36</t>
  </si>
  <si>
    <t>37</t>
  </si>
  <si>
    <t>38</t>
  </si>
  <si>
    <t>39</t>
  </si>
  <si>
    <t>35–39</t>
  </si>
  <si>
    <t>40</t>
  </si>
  <si>
    <t>41</t>
  </si>
  <si>
    <t>42</t>
  </si>
  <si>
    <t>43</t>
  </si>
  <si>
    <t>44</t>
  </si>
  <si>
    <t>40–44</t>
  </si>
  <si>
    <t>45</t>
  </si>
  <si>
    <t>46</t>
  </si>
  <si>
    <t>47</t>
  </si>
  <si>
    <t>48</t>
  </si>
  <si>
    <t>49</t>
  </si>
  <si>
    <t>45–49</t>
  </si>
  <si>
    <t>50</t>
  </si>
  <si>
    <t>51</t>
  </si>
  <si>
    <t>52</t>
  </si>
  <si>
    <t>53</t>
  </si>
  <si>
    <t>54</t>
  </si>
  <si>
    <t>50–54</t>
  </si>
  <si>
    <t>55</t>
  </si>
  <si>
    <t>56</t>
  </si>
  <si>
    <t>57</t>
  </si>
  <si>
    <t>58</t>
  </si>
  <si>
    <t>59</t>
  </si>
  <si>
    <t>55–59</t>
  </si>
  <si>
    <t>60</t>
  </si>
  <si>
    <t>61</t>
  </si>
  <si>
    <t>62</t>
  </si>
  <si>
    <t>63</t>
  </si>
  <si>
    <t>64</t>
  </si>
  <si>
    <t>60–64</t>
  </si>
  <si>
    <t>65</t>
  </si>
  <si>
    <t>66</t>
  </si>
  <si>
    <t>67</t>
  </si>
  <si>
    <t>68</t>
  </si>
  <si>
    <t>69</t>
  </si>
  <si>
    <t>65–69</t>
  </si>
  <si>
    <t>70</t>
  </si>
  <si>
    <t>71</t>
  </si>
  <si>
    <t>72</t>
  </si>
  <si>
    <t>73</t>
  </si>
  <si>
    <t>74</t>
  </si>
  <si>
    <t>70–74</t>
  </si>
  <si>
    <t>75</t>
  </si>
  <si>
    <t>76</t>
  </si>
  <si>
    <t>77</t>
  </si>
  <si>
    <t>78</t>
  </si>
  <si>
    <t>79</t>
  </si>
  <si>
    <t>75–79</t>
  </si>
  <si>
    <t>80</t>
  </si>
  <si>
    <t>81</t>
  </si>
  <si>
    <t>82</t>
  </si>
  <si>
    <t>83</t>
  </si>
  <si>
    <t>84</t>
  </si>
  <si>
    <t>80–84</t>
  </si>
  <si>
    <t>85–89</t>
  </si>
  <si>
    <t>90–94</t>
  </si>
  <si>
    <t>95–99</t>
  </si>
  <si>
    <t>100 and over</t>
  </si>
  <si>
    <t>All ages</t>
  </si>
  <si>
    <t>Ages</t>
  </si>
  <si>
    <t>Total Mortality Count</t>
  </si>
  <si>
    <t>Total Infection Count</t>
  </si>
  <si>
    <t>Six Weeks</t>
  </si>
  <si>
    <t>Does not need to add to 100% as not necessarily exclusive, some comorbidities may be shared</t>
  </si>
  <si>
    <t>Projected COVID-19 rates in Australia</t>
  </si>
  <si>
    <t>Actual Confirmed Infections</t>
  </si>
  <si>
    <t>Actual Mortality Count</t>
  </si>
  <si>
    <t>Age</t>
  </si>
  <si>
    <t>Infections</t>
  </si>
  <si>
    <t>Percent</t>
  </si>
  <si>
    <t>Total</t>
  </si>
  <si>
    <t>Actual COVID-19 rates in Australia</t>
  </si>
  <si>
    <t>Projected active infections</t>
  </si>
  <si>
    <t>Projected COVID-19 Mortality by Age</t>
  </si>
  <si>
    <t>Projected COVID-19 Mortality by Comorbidity</t>
  </si>
  <si>
    <t>Infection Ratio</t>
  </si>
  <si>
    <t>Public Hospital Beds in Australia / 1,000</t>
  </si>
  <si>
    <t>ICU Beds in Australia / 100,000</t>
  </si>
  <si>
    <t>Naively models all deaths from CoronaVirus having been in ICU and reducing the ICU numbers over time</t>
  </si>
  <si>
    <t>Pop. Sep 2019</t>
  </si>
  <si>
    <t>Population estimated as at 30 June 2019</t>
  </si>
  <si>
    <t>Infection counts are detected infection counts, total population infection counts will be greater, but without whole population testing or some form of random sampling testing, total population infection numbers remains unknown</t>
  </si>
  <si>
    <t>From</t>
  </si>
  <si>
    <t>as of 21/3/2020, NB borders closed 9pm 20/3</t>
  </si>
  <si>
    <t>AU border closed 9pm 20/3</t>
  </si>
  <si>
    <t>SA, WA, NT borders closed 24/3</t>
  </si>
  <si>
    <t>QLD border closed 25/3</t>
  </si>
  <si>
    <t>Projected Mortality at 5 wks from infection (death 2 - 8 wks from symptom onset.  2 wks + (8 - 2 wks)/2 = 5 wks)</t>
  </si>
  <si>
    <t>Projected Cumulative Mortality Count (future projection)</t>
  </si>
  <si>
    <t>wk 1</t>
  </si>
  <si>
    <t>wk 2</t>
  </si>
  <si>
    <t>wk 3</t>
  </si>
  <si>
    <t>wk 4</t>
  </si>
  <si>
    <t>wk 5</t>
  </si>
  <si>
    <t>Assumes that infection period lasts for 6 weeks, for many people it can be over within 2 weeks, for others including those requiring hospitalisation, it can be up to 8 weeks</t>
  </si>
  <si>
    <t>Actual Recovered (reporting of numbers inconsistent)</t>
  </si>
  <si>
    <t>Tas border closed 19/3</t>
  </si>
  <si>
    <t>First death 1/3</t>
  </si>
  <si>
    <t>Course grained projections based on broader rates of infection and recovery which may not be as applicable in the AU context</t>
  </si>
  <si>
    <t xml:space="preserve">Does not model incubation periods which can be from 1 - 14 days with a mean incubation of 5 - 6 days but can be up to 27 days before symptoms present.  </t>
  </si>
  <si>
    <t>% of asymptomatic infections are unknown.</t>
  </si>
  <si>
    <t>2 - 8 weeks from onset of symptoms to death (assuming average is 5 weeks)</t>
  </si>
  <si>
    <t>wk 0</t>
  </si>
  <si>
    <t>CFR</t>
  </si>
  <si>
    <t>Death</t>
  </si>
  <si>
    <t>Infection doubling times</t>
  </si>
  <si>
    <t>days</t>
  </si>
  <si>
    <t>The following illustrates how many infections will likely be detected in a population subject to the deaths that have occurred due to the infection based on the current known mortality and infection rates</t>
  </si>
  <si>
    <t>Mild</t>
  </si>
  <si>
    <t>Severe (hospitalisation)</t>
  </si>
  <si>
    <t>Critical (ICU)</t>
  </si>
  <si>
    <t>Mild Cases</t>
  </si>
  <si>
    <t>Severe Cases</t>
  </si>
  <si>
    <t>Critical Cases</t>
  </si>
  <si>
    <t>5 - 6 days mean incubation period before onset of symptoms</t>
  </si>
  <si>
    <t>Recovered</t>
  </si>
  <si>
    <t>Recovery time for mild cases</t>
  </si>
  <si>
    <t>weeks</t>
  </si>
  <si>
    <t>Recovery time for severe/critical cases</t>
  </si>
  <si>
    <t>(3 - 6 weeks recovery time)</t>
  </si>
  <si>
    <t>Assume a lag of 1 -2 weeks from the dates that these numbers are against, to when they are detected</t>
  </si>
  <si>
    <t>This is a generic illustration to demonstrate the potential extent of community infection that may be inferred from COVID-19 deaths based on WHO statistics and not meant to represent actual real world behaviours in a particular environment.</t>
  </si>
  <si>
    <t>Actual number of infections will be higher than the numbers detected, as many will be asymptomatic and so will not be tested</t>
  </si>
  <si>
    <t>Feb CFR</t>
  </si>
  <si>
    <t>Mar CFR</t>
  </si>
  <si>
    <t>Case Fatality Rates (CFR)</t>
  </si>
  <si>
    <t>Asymptomatic Cases</t>
  </si>
  <si>
    <t>Infections (cumulative)</t>
  </si>
  <si>
    <t>Detected Infections (cumulative)</t>
  </si>
  <si>
    <t xml:space="preserve">Asymptomatic </t>
  </si>
  <si>
    <t>Asymptomatic (cumulative)</t>
  </si>
  <si>
    <t>Assumes that asymptomatic cases make up 30% of all cases, the asymptomatic portion of infections has yet to be determined.</t>
  </si>
  <si>
    <t xml:space="preserve"> of total (assumed)</t>
  </si>
  <si>
    <t>of detected</t>
  </si>
  <si>
    <t>Number of deaths today</t>
  </si>
  <si>
    <t>Date</t>
  </si>
  <si>
    <t>Days</t>
  </si>
  <si>
    <t>Weeks</t>
  </si>
  <si>
    <t>CFR likely to be higher as time progresses</t>
  </si>
  <si>
    <t>Projected numbers recovered at 2 wks from signs of infection</t>
  </si>
  <si>
    <t>Day Count</t>
  </si>
  <si>
    <t>Week Count</t>
  </si>
  <si>
    <t>First Detected Infection in AU</t>
  </si>
  <si>
    <t>Rolling 2 week window</t>
  </si>
  <si>
    <t>Rolling 6 week window</t>
  </si>
  <si>
    <t>Rolling 1 week window</t>
  </si>
  <si>
    <t>Rolling 5 week window</t>
  </si>
  <si>
    <t>Projected Detected Population Infected</t>
  </si>
  <si>
    <t>% of Pop. of Detected Infections</t>
  </si>
  <si>
    <t>Crtical (ICU)</t>
  </si>
  <si>
    <t>Cumulative Severe</t>
  </si>
  <si>
    <t>Number Severe</t>
  </si>
  <si>
    <t>Cumulative Critical</t>
  </si>
  <si>
    <t>Number Critical</t>
  </si>
  <si>
    <t>% of Pop. of all infected</t>
  </si>
  <si>
    <t>Projected all infection numbers</t>
  </si>
  <si>
    <t>Totally speculative at this stage</t>
  </si>
  <si>
    <t>Proportion of confirmed cases to total infections</t>
  </si>
  <si>
    <t>Projected Case Mortality Rate</t>
  </si>
  <si>
    <t>Numbers probably meaningless after 18/5</t>
  </si>
  <si>
    <t>Final confirmed infection rate</t>
  </si>
  <si>
    <t>Stage 1 Shutdown</t>
  </si>
  <si>
    <t>Stage 2 Shutdown</t>
  </si>
  <si>
    <t>Stage 3 Shutdown</t>
  </si>
  <si>
    <t>AU borders closed</t>
  </si>
  <si>
    <t>Lead time before expect to begin seeing results</t>
  </si>
  <si>
    <t>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</si>
</sst>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
    <numFmt numFmtId="167" formatCode="0.0000%"/>
    <numFmt numFmtId="168" formatCode="[$$-C09]#,##0.00;[Red]&quot;-&quot;[$$-C09]#,##0.00"/>
    <numFmt numFmtId="169" formatCode="0.00000%"/>
  </numFmts>
  <fonts count="9" x14ac:knownFonts="1">
    <font>
      <sz val="11"/>
      <color theme="1"/>
      <name val="Calibri"/>
      <family val="2"/>
      <scheme val="minor"/>
    </font>
    <font>
      <sz val="8"/>
      <color theme="1"/>
      <name val="Arial"/>
      <family val="2"/>
    </font>
    <font>
      <i/>
      <sz val="8"/>
      <color theme="1"/>
      <name val="Arial"/>
      <family val="2"/>
    </font>
    <font>
      <b/>
      <sz val="8"/>
      <color theme="1"/>
      <name val="Arial"/>
      <family val="2"/>
    </font>
    <font>
      <b/>
      <sz val="11"/>
      <color theme="1"/>
      <name val="Calibri"/>
      <family val="2"/>
      <scheme val="minor"/>
    </font>
    <font>
      <u/>
      <sz val="11"/>
      <color theme="10"/>
      <name val="Calibri"/>
      <family val="2"/>
      <scheme val="minor"/>
    </font>
    <font>
      <sz val="11"/>
      <color theme="1"/>
      <name val="Arial"/>
      <family val="2"/>
    </font>
    <font>
      <b/>
      <i/>
      <sz val="16"/>
      <color theme="1"/>
      <name val="Arial"/>
      <family val="2"/>
    </font>
    <font>
      <b/>
      <i/>
      <u/>
      <sz val="11"/>
      <color theme="1"/>
      <name val="Arial"/>
      <family val="2"/>
    </font>
  </fonts>
  <fills count="1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s>
  <borders count="1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dashed">
        <color indexed="64"/>
      </left>
      <right style="dashed">
        <color indexed="64"/>
      </right>
      <top/>
      <bottom/>
      <diagonal/>
    </border>
    <border>
      <left style="dashed">
        <color indexed="64"/>
      </left>
      <right style="dashed">
        <color indexed="64"/>
      </right>
      <top/>
      <bottom style="dashed">
        <color indexed="64"/>
      </bottom>
      <diagonal/>
    </border>
  </borders>
  <cellStyleXfs count="7">
    <xf numFmtId="0" fontId="0" fillId="0" borderId="0"/>
    <xf numFmtId="0" fontId="5" fillId="0" borderId="0" applyNumberFormat="0" applyFill="0" applyBorder="0" applyAlignment="0" applyProtection="0"/>
    <xf numFmtId="0" fontId="6" fillId="0" borderId="0"/>
    <xf numFmtId="0" fontId="7" fillId="0" borderId="0">
      <alignment horizontal="center"/>
    </xf>
    <xf numFmtId="0" fontId="7" fillId="0" borderId="0">
      <alignment horizontal="center" textRotation="90"/>
    </xf>
    <xf numFmtId="0" fontId="8" fillId="0" borderId="0"/>
    <xf numFmtId="168" fontId="8" fillId="0" borderId="0"/>
  </cellStyleXfs>
  <cellXfs count="231">
    <xf numFmtId="0" fontId="0" fillId="0" borderId="0" xfId="0"/>
    <xf numFmtId="10" fontId="0" fillId="0" borderId="0" xfId="0" applyNumberFormat="1"/>
    <xf numFmtId="3" fontId="0" fillId="0" borderId="0" xfId="0" applyNumberFormat="1"/>
    <xf numFmtId="164" fontId="0" fillId="0" borderId="0" xfId="0" applyNumberFormat="1"/>
    <xf numFmtId="0" fontId="3" fillId="0" borderId="0" xfId="0" applyFont="1" applyAlignment="1">
      <alignment horizontal="left"/>
    </xf>
    <xf numFmtId="3" fontId="3" fillId="0" borderId="0" xfId="0" applyNumberFormat="1" applyFont="1" applyAlignment="1">
      <alignment horizontal="right"/>
    </xf>
    <xf numFmtId="0" fontId="1" fillId="0" borderId="1" xfId="0" applyFont="1" applyBorder="1" applyAlignment="1">
      <alignment horizontal="left"/>
    </xf>
    <xf numFmtId="3" fontId="1" fillId="0" borderId="2" xfId="0" applyNumberFormat="1" applyFont="1" applyBorder="1" applyAlignment="1">
      <alignment horizontal="right"/>
    </xf>
    <xf numFmtId="0" fontId="1" fillId="0" borderId="3" xfId="0" applyFont="1" applyBorder="1" applyAlignment="1">
      <alignment horizontal="left"/>
    </xf>
    <xf numFmtId="3" fontId="1" fillId="0" borderId="4" xfId="0" applyNumberFormat="1" applyFont="1" applyBorder="1" applyAlignment="1">
      <alignment horizontal="right"/>
    </xf>
    <xf numFmtId="0" fontId="2" fillId="0" borderId="3" xfId="0" applyFont="1" applyBorder="1" applyAlignment="1">
      <alignment horizontal="left"/>
    </xf>
    <xf numFmtId="3" fontId="2" fillId="0" borderId="4" xfId="0" applyNumberFormat="1" applyFont="1" applyBorder="1" applyAlignment="1">
      <alignment horizontal="right"/>
    </xf>
    <xf numFmtId="0" fontId="2" fillId="0" borderId="5" xfId="0" applyFont="1" applyBorder="1" applyAlignment="1">
      <alignment horizontal="left"/>
    </xf>
    <xf numFmtId="3" fontId="2" fillId="0" borderId="6" xfId="0" applyNumberFormat="1" applyFont="1" applyBorder="1" applyAlignment="1">
      <alignment horizontal="right"/>
    </xf>
    <xf numFmtId="0" fontId="1" fillId="0" borderId="5" xfId="0" applyFont="1" applyBorder="1" applyAlignment="1">
      <alignment horizontal="left"/>
    </xf>
    <xf numFmtId="3" fontId="1" fillId="0" borderId="6" xfId="0" applyNumberFormat="1" applyFont="1" applyBorder="1" applyAlignment="1">
      <alignment horizontal="right"/>
    </xf>
    <xf numFmtId="0" fontId="0" fillId="0" borderId="1" xfId="0" applyBorder="1"/>
    <xf numFmtId="0" fontId="0" fillId="0" borderId="2" xfId="0" applyBorder="1"/>
    <xf numFmtId="10" fontId="0" fillId="0" borderId="3" xfId="0" applyNumberFormat="1" applyBorder="1"/>
    <xf numFmtId="10" fontId="0" fillId="0" borderId="5" xfId="0" applyNumberFormat="1" applyBorder="1"/>
    <xf numFmtId="164" fontId="0" fillId="0" borderId="3" xfId="0" applyNumberFormat="1" applyBorder="1"/>
    <xf numFmtId="0" fontId="0" fillId="0" borderId="7" xfId="0" applyBorder="1"/>
    <xf numFmtId="3" fontId="0" fillId="0" borderId="0" xfId="0" applyNumberFormat="1" applyBorder="1"/>
    <xf numFmtId="3" fontId="0" fillId="0" borderId="5" xfId="0" applyNumberFormat="1" applyBorder="1"/>
    <xf numFmtId="3" fontId="0" fillId="0" borderId="8" xfId="0" applyNumberFormat="1" applyBorder="1"/>
    <xf numFmtId="3" fontId="0" fillId="0" borderId="1" xfId="0" applyNumberFormat="1" applyBorder="1"/>
    <xf numFmtId="3" fontId="0" fillId="0" borderId="7" xfId="0" applyNumberFormat="1" applyBorder="1"/>
    <xf numFmtId="10" fontId="0" fillId="0" borderId="1" xfId="0" applyNumberFormat="1" applyBorder="1"/>
    <xf numFmtId="10" fontId="0" fillId="0" borderId="0" xfId="0" applyNumberFormat="1" applyBorder="1"/>
    <xf numFmtId="164" fontId="0" fillId="0" borderId="0" xfId="0" applyNumberFormat="1" applyBorder="1"/>
    <xf numFmtId="0" fontId="0" fillId="0" borderId="0" xfId="0" applyBorder="1"/>
    <xf numFmtId="0" fontId="0" fillId="0" borderId="4" xfId="0" applyBorder="1"/>
    <xf numFmtId="3" fontId="0" fillId="3" borderId="1" xfId="0" applyNumberFormat="1" applyFill="1" applyBorder="1"/>
    <xf numFmtId="3" fontId="0" fillId="3" borderId="7" xfId="0" applyNumberFormat="1" applyFill="1" applyBorder="1"/>
    <xf numFmtId="3" fontId="0" fillId="3" borderId="3" xfId="0" applyNumberFormat="1" applyFill="1" applyBorder="1"/>
    <xf numFmtId="3" fontId="0" fillId="3" borderId="0" xfId="0" applyNumberFormat="1" applyFill="1" applyBorder="1"/>
    <xf numFmtId="164" fontId="0" fillId="3" borderId="1" xfId="0" applyNumberFormat="1" applyFill="1" applyBorder="1"/>
    <xf numFmtId="164" fontId="0" fillId="3" borderId="3" xfId="0" applyNumberFormat="1" applyFill="1" applyBorder="1"/>
    <xf numFmtId="164" fontId="0" fillId="3" borderId="0" xfId="0" applyNumberFormat="1" applyFill="1" applyBorder="1"/>
    <xf numFmtId="164" fontId="0" fillId="0" borderId="0" xfId="0" applyNumberFormat="1" applyFill="1" applyBorder="1"/>
    <xf numFmtId="164" fontId="0" fillId="0" borderId="5" xfId="0" applyNumberFormat="1" applyFill="1" applyBorder="1"/>
    <xf numFmtId="164" fontId="0" fillId="2" borderId="4" xfId="0" applyNumberFormat="1" applyFill="1" applyBorder="1"/>
    <xf numFmtId="164" fontId="0" fillId="2" borderId="6" xfId="0" applyNumberFormat="1" applyFill="1" applyBorder="1"/>
    <xf numFmtId="3" fontId="0" fillId="2" borderId="3" xfId="0" applyNumberFormat="1" applyFill="1" applyBorder="1"/>
    <xf numFmtId="3" fontId="0" fillId="2" borderId="0" xfId="0" applyNumberFormat="1" applyFill="1" applyBorder="1"/>
    <xf numFmtId="3" fontId="0" fillId="2" borderId="5" xfId="0" applyNumberFormat="1" applyFill="1" applyBorder="1"/>
    <xf numFmtId="3" fontId="0" fillId="2" borderId="8" xfId="0" applyNumberFormat="1" applyFill="1" applyBorder="1"/>
    <xf numFmtId="3" fontId="0" fillId="4" borderId="2" xfId="0" applyNumberFormat="1" applyFill="1" applyBorder="1"/>
    <xf numFmtId="3" fontId="0" fillId="4" borderId="6" xfId="0" applyNumberFormat="1" applyFill="1" applyBorder="1"/>
    <xf numFmtId="3" fontId="0" fillId="0" borderId="0" xfId="0" applyNumberFormat="1" applyFill="1"/>
    <xf numFmtId="165" fontId="0" fillId="0" borderId="0" xfId="0" applyNumberFormat="1" applyBorder="1"/>
    <xf numFmtId="0" fontId="0" fillId="0" borderId="5" xfId="0" applyBorder="1"/>
    <xf numFmtId="164" fontId="0" fillId="0" borderId="8" xfId="0" applyNumberFormat="1" applyBorder="1"/>
    <xf numFmtId="0" fontId="0" fillId="0" borderId="8" xfId="0" applyBorder="1"/>
    <xf numFmtId="3" fontId="0" fillId="5" borderId="8" xfId="0" applyNumberFormat="1" applyFill="1" applyBorder="1"/>
    <xf numFmtId="0" fontId="0" fillId="0" borderId="3" xfId="0" applyBorder="1"/>
    <xf numFmtId="0" fontId="0" fillId="0" borderId="3" xfId="0" quotePrefix="1" applyBorder="1"/>
    <xf numFmtId="0" fontId="0" fillId="0" borderId="5" xfId="0" quotePrefix="1" applyBorder="1"/>
    <xf numFmtId="10" fontId="0" fillId="0" borderId="8" xfId="0" applyNumberFormat="1" applyBorder="1"/>
    <xf numFmtId="3" fontId="0" fillId="0" borderId="0" xfId="0" applyNumberFormat="1" applyFill="1" applyBorder="1"/>
    <xf numFmtId="164" fontId="0" fillId="2" borderId="0" xfId="0" applyNumberFormat="1" applyFill="1" applyBorder="1"/>
    <xf numFmtId="0" fontId="0" fillId="0" borderId="0" xfId="0" applyFill="1" applyBorder="1"/>
    <xf numFmtId="3" fontId="0" fillId="0" borderId="3" xfId="0" applyNumberFormat="1" applyBorder="1"/>
    <xf numFmtId="0" fontId="0" fillId="0" borderId="3" xfId="0" applyFill="1" applyBorder="1"/>
    <xf numFmtId="0" fontId="0" fillId="0" borderId="5" xfId="0" applyFill="1" applyBorder="1"/>
    <xf numFmtId="166" fontId="0" fillId="0" borderId="0" xfId="0" applyNumberFormat="1" applyBorder="1"/>
    <xf numFmtId="0" fontId="0" fillId="0" borderId="13" xfId="0" applyBorder="1"/>
    <xf numFmtId="3" fontId="0" fillId="6" borderId="14" xfId="0" applyNumberFormat="1" applyFill="1" applyBorder="1"/>
    <xf numFmtId="3" fontId="0" fillId="6" borderId="15" xfId="0" applyNumberFormat="1" applyFill="1" applyBorder="1"/>
    <xf numFmtId="0" fontId="4" fillId="8" borderId="12" xfId="0" applyFont="1" applyFill="1" applyBorder="1"/>
    <xf numFmtId="0" fontId="4" fillId="8" borderId="9" xfId="0" quotePrefix="1" applyFont="1" applyFill="1" applyBorder="1"/>
    <xf numFmtId="164" fontId="0" fillId="0" borderId="8" xfId="0" applyNumberFormat="1" applyFill="1" applyBorder="1"/>
    <xf numFmtId="164" fontId="0" fillId="2" borderId="8" xfId="0" applyNumberFormat="1" applyFill="1" applyBorder="1"/>
    <xf numFmtId="0" fontId="5" fillId="0" borderId="1" xfId="1" applyBorder="1"/>
    <xf numFmtId="0" fontId="5" fillId="0" borderId="2" xfId="1" applyBorder="1"/>
    <xf numFmtId="0" fontId="5" fillId="0" borderId="7" xfId="1" applyBorder="1"/>
    <xf numFmtId="3" fontId="0" fillId="3" borderId="2" xfId="0" applyNumberFormat="1" applyFill="1" applyBorder="1"/>
    <xf numFmtId="3" fontId="0" fillId="0" borderId="6" xfId="0" applyNumberFormat="1" applyBorder="1"/>
    <xf numFmtId="0" fontId="0" fillId="0" borderId="1" xfId="0" applyFill="1" applyBorder="1"/>
    <xf numFmtId="0" fontId="0" fillId="0" borderId="6" xfId="0" applyBorder="1"/>
    <xf numFmtId="3" fontId="0" fillId="0" borderId="2" xfId="0" applyNumberFormat="1" applyBorder="1"/>
    <xf numFmtId="164" fontId="0" fillId="9" borderId="6" xfId="0" applyNumberFormat="1" applyFill="1" applyBorder="1"/>
    <xf numFmtId="167" fontId="0" fillId="0" borderId="3" xfId="0" applyNumberFormat="1" applyBorder="1"/>
    <xf numFmtId="167" fontId="0" fillId="0" borderId="0" xfId="0" applyNumberFormat="1" applyBorder="1"/>
    <xf numFmtId="0" fontId="0" fillId="6" borderId="13" xfId="0" applyFill="1" applyBorder="1"/>
    <xf numFmtId="0" fontId="0" fillId="6" borderId="14" xfId="0" applyFill="1" applyBorder="1"/>
    <xf numFmtId="0" fontId="0" fillId="0" borderId="0" xfId="0" applyFill="1"/>
    <xf numFmtId="16" fontId="0" fillId="0" borderId="0" xfId="0" applyNumberFormat="1" applyFill="1" applyBorder="1"/>
    <xf numFmtId="3" fontId="0" fillId="2" borderId="4" xfId="0" applyNumberFormat="1" applyFill="1" applyBorder="1"/>
    <xf numFmtId="3" fontId="0" fillId="3" borderId="4" xfId="0" applyNumberFormat="1" applyFill="1" applyBorder="1"/>
    <xf numFmtId="3" fontId="0" fillId="2" borderId="6" xfId="0" applyNumberFormat="1" applyFill="1" applyBorder="1"/>
    <xf numFmtId="0" fontId="4" fillId="8" borderId="9" xfId="0" applyFont="1" applyFill="1" applyBorder="1"/>
    <xf numFmtId="9" fontId="0" fillId="0" borderId="0" xfId="0" applyNumberFormat="1" applyBorder="1"/>
    <xf numFmtId="9" fontId="0" fillId="4" borderId="4" xfId="0" applyNumberFormat="1" applyFill="1" applyBorder="1"/>
    <xf numFmtId="3" fontId="1" fillId="0" borderId="0" xfId="2" applyNumberFormat="1" applyFont="1" applyAlignment="1">
      <alignment horizontal="right"/>
    </xf>
    <xf numFmtId="3" fontId="2" fillId="0" borderId="0" xfId="2" applyNumberFormat="1" applyFont="1" applyAlignment="1">
      <alignment horizontal="right"/>
    </xf>
    <xf numFmtId="3" fontId="3" fillId="0" borderId="0" xfId="2" applyNumberFormat="1" applyFont="1" applyAlignment="1">
      <alignment horizontal="right"/>
    </xf>
    <xf numFmtId="14" fontId="0" fillId="0" borderId="0" xfId="0" applyNumberFormat="1" applyBorder="1"/>
    <xf numFmtId="3" fontId="0" fillId="5" borderId="4" xfId="0" applyNumberFormat="1" applyFill="1" applyBorder="1"/>
    <xf numFmtId="164" fontId="0" fillId="5" borderId="3" xfId="0" applyNumberFormat="1" applyFill="1" applyBorder="1"/>
    <xf numFmtId="3" fontId="0" fillId="4" borderId="3" xfId="0" applyNumberFormat="1" applyFill="1" applyBorder="1"/>
    <xf numFmtId="3" fontId="0" fillId="4" borderId="0" xfId="0" applyNumberFormat="1" applyFill="1" applyBorder="1"/>
    <xf numFmtId="16" fontId="0" fillId="0" borderId="7" xfId="0" applyNumberFormat="1" applyBorder="1"/>
    <xf numFmtId="16" fontId="0" fillId="4" borderId="2" xfId="0" applyNumberFormat="1" applyFill="1" applyBorder="1"/>
    <xf numFmtId="3" fontId="0" fillId="4" borderId="4" xfId="0" applyNumberFormat="1" applyFill="1" applyBorder="1"/>
    <xf numFmtId="3" fontId="0" fillId="0" borderId="4" xfId="0" applyNumberFormat="1" applyBorder="1"/>
    <xf numFmtId="3" fontId="0" fillId="8" borderId="0" xfId="0" applyNumberFormat="1" applyFill="1" applyBorder="1"/>
    <xf numFmtId="3" fontId="0" fillId="8" borderId="3" xfId="0" applyNumberFormat="1" applyFill="1" applyBorder="1"/>
    <xf numFmtId="0" fontId="0" fillId="4" borderId="7" xfId="0" applyFill="1" applyBorder="1"/>
    <xf numFmtId="164" fontId="0" fillId="0" borderId="7" xfId="0" applyNumberFormat="1" applyBorder="1"/>
    <xf numFmtId="3" fontId="0" fillId="2" borderId="7" xfId="0" applyNumberFormat="1" applyFill="1" applyBorder="1"/>
    <xf numFmtId="3" fontId="0" fillId="2" borderId="1" xfId="0" applyNumberFormat="1" applyFill="1" applyBorder="1"/>
    <xf numFmtId="3" fontId="0" fillId="2" borderId="9" xfId="0" applyNumberFormat="1" applyFill="1" applyBorder="1"/>
    <xf numFmtId="3" fontId="0" fillId="2" borderId="11" xfId="0" applyNumberFormat="1" applyFill="1" applyBorder="1"/>
    <xf numFmtId="3" fontId="0" fillId="4" borderId="5" xfId="0" applyNumberFormat="1" applyFill="1" applyBorder="1"/>
    <xf numFmtId="3" fontId="0" fillId="4" borderId="8" xfId="0" applyNumberFormat="1" applyFill="1" applyBorder="1"/>
    <xf numFmtId="3" fontId="0" fillId="4" borderId="1" xfId="0" applyNumberFormat="1" applyFill="1" applyBorder="1"/>
    <xf numFmtId="3" fontId="0" fillId="9" borderId="1" xfId="0" applyNumberFormat="1" applyFill="1" applyBorder="1"/>
    <xf numFmtId="0" fontId="0" fillId="0" borderId="12" xfId="0" applyBorder="1"/>
    <xf numFmtId="165" fontId="0" fillId="0" borderId="3" xfId="0" applyNumberFormat="1" applyBorder="1"/>
    <xf numFmtId="3" fontId="0" fillId="8" borderId="4" xfId="0" applyNumberFormat="1" applyFill="1" applyBorder="1"/>
    <xf numFmtId="3" fontId="0" fillId="2" borderId="2" xfId="0" applyNumberFormat="1" applyFill="1" applyBorder="1"/>
    <xf numFmtId="14" fontId="0" fillId="0" borderId="13" xfId="0" applyNumberFormat="1" applyBorder="1"/>
    <xf numFmtId="14" fontId="0" fillId="0" borderId="14" xfId="0" applyNumberFormat="1" applyBorder="1"/>
    <xf numFmtId="14" fontId="0" fillId="0" borderId="15" xfId="0" applyNumberFormat="1" applyBorder="1"/>
    <xf numFmtId="0" fontId="0" fillId="6" borderId="0" xfId="0" applyFill="1"/>
    <xf numFmtId="3" fontId="0" fillId="11" borderId="13" xfId="0" applyNumberFormat="1" applyFill="1" applyBorder="1"/>
    <xf numFmtId="3" fontId="0" fillId="11" borderId="14" xfId="0" applyNumberFormat="1" applyFill="1" applyBorder="1"/>
    <xf numFmtId="3" fontId="0" fillId="11" borderId="15" xfId="0" applyNumberFormat="1" applyFill="1" applyBorder="1"/>
    <xf numFmtId="0" fontId="0" fillId="0" borderId="14" xfId="0" applyBorder="1"/>
    <xf numFmtId="0" fontId="0" fillId="0" borderId="15" xfId="0" applyBorder="1"/>
    <xf numFmtId="3" fontId="0" fillId="11" borderId="2" xfId="0" applyNumberFormat="1" applyFill="1" applyBorder="1"/>
    <xf numFmtId="0" fontId="0" fillId="6" borderId="3" xfId="0" applyFill="1" applyBorder="1"/>
    <xf numFmtId="0" fontId="0" fillId="6" borderId="0" xfId="0" applyFill="1" applyBorder="1"/>
    <xf numFmtId="0" fontId="0" fillId="6" borderId="4" xfId="0" applyFill="1" applyBorder="1"/>
    <xf numFmtId="3" fontId="0" fillId="11" borderId="9" xfId="0" applyNumberFormat="1" applyFill="1" applyBorder="1"/>
    <xf numFmtId="3" fontId="0" fillId="11" borderId="1" xfId="0" applyNumberFormat="1" applyFill="1" applyBorder="1"/>
    <xf numFmtId="3" fontId="0" fillId="11" borderId="7" xfId="0" applyNumberFormat="1" applyFill="1" applyBorder="1"/>
    <xf numFmtId="3" fontId="0" fillId="4" borderId="7" xfId="0" applyNumberFormat="1" applyFill="1" applyBorder="1"/>
    <xf numFmtId="3" fontId="0" fillId="4" borderId="13" xfId="0" applyNumberFormat="1" applyFill="1" applyBorder="1"/>
    <xf numFmtId="3" fontId="0" fillId="4" borderId="14" xfId="0" applyNumberFormat="1" applyFill="1" applyBorder="1"/>
    <xf numFmtId="3" fontId="0" fillId="4" borderId="15" xfId="0" applyNumberFormat="1" applyFill="1" applyBorder="1"/>
    <xf numFmtId="3" fontId="0" fillId="9" borderId="0" xfId="0" applyNumberFormat="1" applyFill="1" applyBorder="1"/>
    <xf numFmtId="3" fontId="0" fillId="9" borderId="6" xfId="0" applyNumberFormat="1" applyFill="1" applyBorder="1"/>
    <xf numFmtId="14" fontId="0" fillId="11" borderId="12" xfId="0" applyNumberFormat="1" applyFill="1" applyBorder="1"/>
    <xf numFmtId="166" fontId="0" fillId="9" borderId="0" xfId="0" applyNumberFormat="1" applyFill="1" applyBorder="1"/>
    <xf numFmtId="9" fontId="0" fillId="9" borderId="2" xfId="0" applyNumberFormat="1" applyFill="1" applyBorder="1"/>
    <xf numFmtId="9" fontId="0" fillId="9" borderId="4" xfId="0" applyNumberFormat="1" applyFill="1" applyBorder="1"/>
    <xf numFmtId="9" fontId="0" fillId="9" borderId="6" xfId="0" applyNumberFormat="1" applyFill="1" applyBorder="1"/>
    <xf numFmtId="164" fontId="0" fillId="2" borderId="2" xfId="0" applyNumberFormat="1" applyFill="1" applyBorder="1"/>
    <xf numFmtId="1" fontId="0" fillId="0" borderId="8" xfId="0" applyNumberFormat="1" applyBorder="1"/>
    <xf numFmtId="1" fontId="0" fillId="0" borderId="13" xfId="0" applyNumberFormat="1" applyBorder="1"/>
    <xf numFmtId="1" fontId="0" fillId="0" borderId="14" xfId="0" applyNumberFormat="1" applyBorder="1"/>
    <xf numFmtId="1" fontId="0" fillId="0" borderId="15" xfId="0" applyNumberFormat="1" applyBorder="1"/>
    <xf numFmtId="2" fontId="0" fillId="0" borderId="0" xfId="0" applyNumberFormat="1"/>
    <xf numFmtId="3" fontId="0" fillId="8" borderId="8" xfId="0" applyNumberFormat="1" applyFill="1" applyBorder="1"/>
    <xf numFmtId="3" fontId="0" fillId="8" borderId="6" xfId="0" applyNumberFormat="1" applyFill="1" applyBorder="1"/>
    <xf numFmtId="3" fontId="0" fillId="13" borderId="0" xfId="0" applyNumberFormat="1" applyFill="1" applyBorder="1"/>
    <xf numFmtId="3" fontId="0" fillId="13" borderId="4" xfId="0" applyNumberFormat="1" applyFill="1" applyBorder="1"/>
    <xf numFmtId="3" fontId="0" fillId="14" borderId="0" xfId="0" applyNumberFormat="1" applyFill="1" applyBorder="1"/>
    <xf numFmtId="3" fontId="0" fillId="14" borderId="4" xfId="0" applyNumberFormat="1" applyFill="1" applyBorder="1"/>
    <xf numFmtId="3" fontId="0" fillId="5" borderId="6" xfId="0" applyNumberFormat="1" applyFill="1" applyBorder="1"/>
    <xf numFmtId="3" fontId="0" fillId="5" borderId="13" xfId="0" applyNumberFormat="1" applyFill="1" applyBorder="1"/>
    <xf numFmtId="3" fontId="0" fillId="5" borderId="14" xfId="0" applyNumberFormat="1" applyFill="1" applyBorder="1"/>
    <xf numFmtId="3" fontId="0" fillId="5" borderId="15" xfId="0" applyNumberFormat="1" applyFill="1" applyBorder="1"/>
    <xf numFmtId="3" fontId="0" fillId="5" borderId="12" xfId="0" applyNumberFormat="1" applyFill="1" applyBorder="1"/>
    <xf numFmtId="1" fontId="0" fillId="12" borderId="11" xfId="0" applyNumberFormat="1" applyFill="1" applyBorder="1"/>
    <xf numFmtId="0" fontId="0" fillId="0" borderId="9" xfId="0" applyFill="1" applyBorder="1"/>
    <xf numFmtId="0" fontId="0" fillId="0" borderId="10" xfId="0" applyFill="1" applyBorder="1"/>
    <xf numFmtId="0" fontId="0" fillId="0" borderId="11" xfId="0" applyFill="1" applyBorder="1"/>
    <xf numFmtId="1" fontId="0" fillId="0" borderId="0" xfId="0" applyNumberFormat="1" applyBorder="1"/>
    <xf numFmtId="9" fontId="0" fillId="0" borderId="8" xfId="0" applyNumberFormat="1" applyBorder="1"/>
    <xf numFmtId="0" fontId="0" fillId="2" borderId="7" xfId="0" applyFill="1" applyBorder="1"/>
    <xf numFmtId="1" fontId="0" fillId="2" borderId="0" xfId="0" applyNumberFormat="1" applyFill="1" applyBorder="1"/>
    <xf numFmtId="9" fontId="0" fillId="2" borderId="0" xfId="0" applyNumberFormat="1" applyFill="1" applyBorder="1"/>
    <xf numFmtId="3" fontId="0" fillId="10" borderId="13" xfId="0" applyNumberFormat="1" applyFill="1" applyBorder="1" applyAlignment="1">
      <alignment horizontal="center"/>
    </xf>
    <xf numFmtId="3" fontId="0" fillId="10" borderId="15" xfId="0" applyNumberFormat="1" applyFill="1" applyBorder="1" applyAlignment="1">
      <alignment horizontal="center"/>
    </xf>
    <xf numFmtId="3" fontId="0" fillId="0" borderId="0" xfId="0" applyNumberFormat="1" applyFill="1" applyBorder="1" applyAlignment="1">
      <alignment horizontal="center"/>
    </xf>
    <xf numFmtId="3" fontId="0" fillId="0" borderId="0" xfId="0" applyNumberFormat="1" applyFill="1" applyBorder="1" applyAlignment="1"/>
    <xf numFmtId="0" fontId="0" fillId="0" borderId="0" xfId="0" applyFont="1" applyFill="1" applyBorder="1"/>
    <xf numFmtId="3" fontId="0" fillId="10" borderId="12" xfId="0" applyNumberFormat="1" applyFill="1" applyBorder="1" applyAlignment="1">
      <alignment horizontal="center"/>
    </xf>
    <xf numFmtId="3" fontId="0" fillId="10" borderId="14" xfId="0" applyNumberFormat="1" applyFill="1" applyBorder="1" applyAlignment="1">
      <alignment horizontal="center"/>
    </xf>
    <xf numFmtId="3" fontId="0" fillId="0" borderId="3" xfId="0" applyNumberFormat="1" applyFill="1" applyBorder="1" applyAlignment="1">
      <alignment horizontal="center"/>
    </xf>
    <xf numFmtId="0" fontId="0" fillId="7" borderId="13" xfId="0" applyFill="1" applyBorder="1"/>
    <xf numFmtId="0" fontId="0" fillId="7" borderId="14" xfId="0" applyFill="1" applyBorder="1"/>
    <xf numFmtId="3" fontId="0" fillId="7" borderId="14" xfId="0" applyNumberFormat="1" applyFill="1" applyBorder="1"/>
    <xf numFmtId="3" fontId="0" fillId="7" borderId="15" xfId="0" applyNumberFormat="1" applyFill="1" applyBorder="1"/>
    <xf numFmtId="0" fontId="0" fillId="4" borderId="13" xfId="0" applyFill="1" applyBorder="1"/>
    <xf numFmtId="0" fontId="0" fillId="4" borderId="14" xfId="0" applyFill="1" applyBorder="1"/>
    <xf numFmtId="3" fontId="0" fillId="9" borderId="14" xfId="0" applyNumberFormat="1" applyFill="1" applyBorder="1"/>
    <xf numFmtId="3" fontId="0" fillId="9" borderId="15" xfId="0" applyNumberFormat="1" applyFill="1" applyBorder="1"/>
    <xf numFmtId="14" fontId="0" fillId="0" borderId="0" xfId="0" applyNumberFormat="1" applyFill="1" applyBorder="1"/>
    <xf numFmtId="16" fontId="0" fillId="10" borderId="1" xfId="0" applyNumberFormat="1" applyFill="1" applyBorder="1"/>
    <xf numFmtId="16" fontId="0" fillId="10" borderId="7" xfId="0" applyNumberFormat="1" applyFill="1" applyBorder="1"/>
    <xf numFmtId="16" fontId="0" fillId="15" borderId="1" xfId="0" applyNumberFormat="1" applyFill="1" applyBorder="1"/>
    <xf numFmtId="16" fontId="0" fillId="15" borderId="7" xfId="0" applyNumberFormat="1" applyFill="1" applyBorder="1"/>
    <xf numFmtId="16" fontId="0" fillId="0" borderId="1" xfId="0" applyNumberFormat="1" applyBorder="1"/>
    <xf numFmtId="16" fontId="0" fillId="0" borderId="2" xfId="0" applyNumberFormat="1" applyBorder="1"/>
    <xf numFmtId="9" fontId="0" fillId="4" borderId="0" xfId="0" applyNumberFormat="1" applyFill="1" applyBorder="1"/>
    <xf numFmtId="3" fontId="0" fillId="0" borderId="8" xfId="0" applyNumberFormat="1" applyFill="1" applyBorder="1"/>
    <xf numFmtId="3" fontId="0" fillId="0" borderId="3" xfId="0" applyNumberFormat="1" applyFill="1" applyBorder="1"/>
    <xf numFmtId="3" fontId="0" fillId="0" borderId="5" xfId="0" applyNumberFormat="1" applyFill="1" applyBorder="1"/>
    <xf numFmtId="3" fontId="0" fillId="0" borderId="6" xfId="0" applyNumberFormat="1" applyFill="1" applyBorder="1"/>
    <xf numFmtId="16" fontId="0" fillId="0" borderId="0" xfId="0" applyNumberFormat="1" applyFill="1"/>
    <xf numFmtId="16" fontId="0" fillId="4" borderId="7" xfId="0" applyNumberFormat="1" applyFill="1" applyBorder="1"/>
    <xf numFmtId="3" fontId="0" fillId="0" borderId="17" xfId="0" applyNumberFormat="1" applyFill="1" applyBorder="1"/>
    <xf numFmtId="9" fontId="0" fillId="0" borderId="17" xfId="0" applyNumberFormat="1" applyFill="1" applyBorder="1"/>
    <xf numFmtId="3" fontId="0" fillId="0" borderId="18" xfId="0" applyNumberFormat="1" applyFill="1" applyBorder="1"/>
    <xf numFmtId="16" fontId="0" fillId="0" borderId="16" xfId="0" applyNumberFormat="1" applyFill="1" applyBorder="1"/>
    <xf numFmtId="0" fontId="0" fillId="0" borderId="13" xfId="0" applyFill="1" applyBorder="1"/>
    <xf numFmtId="14" fontId="0" fillId="9" borderId="15" xfId="0" applyNumberFormat="1" applyFill="1" applyBorder="1"/>
    <xf numFmtId="3" fontId="5" fillId="9" borderId="2" xfId="1" applyNumberFormat="1" applyFill="1" applyBorder="1"/>
    <xf numFmtId="9" fontId="5" fillId="9" borderId="6" xfId="1" applyNumberFormat="1" applyFill="1" applyBorder="1"/>
    <xf numFmtId="9" fontId="5" fillId="9" borderId="2" xfId="1" applyNumberFormat="1" applyFill="1" applyBorder="1"/>
    <xf numFmtId="10" fontId="0" fillId="0" borderId="4" xfId="0" applyNumberFormat="1" applyBorder="1"/>
    <xf numFmtId="164" fontId="0" fillId="0" borderId="4" xfId="0" applyNumberFormat="1" applyBorder="1"/>
    <xf numFmtId="169" fontId="0" fillId="0" borderId="0" xfId="0" applyNumberFormat="1"/>
    <xf numFmtId="3" fontId="0" fillId="4" borderId="9" xfId="0" applyNumberFormat="1" applyFill="1" applyBorder="1" applyAlignment="1"/>
    <xf numFmtId="0" fontId="0" fillId="10" borderId="7" xfId="0" applyFill="1" applyBorder="1"/>
    <xf numFmtId="0" fontId="0" fillId="15" borderId="7" xfId="0" applyFill="1" applyBorder="1"/>
    <xf numFmtId="14" fontId="0" fillId="3" borderId="0" xfId="0" applyNumberFormat="1" applyFill="1"/>
    <xf numFmtId="0" fontId="0" fillId="3" borderId="0" xfId="0" applyFill="1"/>
    <xf numFmtId="14" fontId="0" fillId="3" borderId="0" xfId="0" applyNumberFormat="1" applyFill="1" applyBorder="1"/>
    <xf numFmtId="0" fontId="0" fillId="4" borderId="5" xfId="0" applyFill="1" applyBorder="1" applyAlignment="1">
      <alignment horizontal="center"/>
    </xf>
    <xf numFmtId="0" fontId="0" fillId="4" borderId="8" xfId="0" applyFill="1" applyBorder="1" applyAlignment="1">
      <alignment horizontal="center"/>
    </xf>
    <xf numFmtId="0" fontId="0" fillId="4" borderId="6" xfId="0"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6" xfId="0" applyBorder="1" applyAlignment="1">
      <alignment horizontal="center"/>
    </xf>
  </cellXfs>
  <cellStyles count="7">
    <cellStyle name="Heading" xfId="3" xr:uid="{DB9EF5E1-A693-41C3-82C7-CA90563DBB00}"/>
    <cellStyle name="Heading1" xfId="4" xr:uid="{33778C9B-2759-42CE-8B12-70EF179014AB}"/>
    <cellStyle name="Hyperlink" xfId="1" builtinId="8"/>
    <cellStyle name="Normal" xfId="0" builtinId="0"/>
    <cellStyle name="Normal 2" xfId="2" xr:uid="{F4FF767F-813C-4942-8E90-D60D18A1396E}"/>
    <cellStyle name="Result" xfId="5" xr:uid="{92363E1D-B163-4931-AE8B-9DBC97E2614C}"/>
    <cellStyle name="Result2" xfId="6" xr:uid="{346AB93D-4A1D-4E1B-B53F-62B068519100}"/>
  </cellStyles>
  <dxfs count="2">
    <dxf>
      <fill>
        <patternFill>
          <bgColor theme="7" tint="0.39994506668294322"/>
        </patternFill>
      </fill>
    </dxf>
    <dxf>
      <fill>
        <patternFill>
          <bgColor theme="7" tint="0.39994506668294322"/>
        </patternFill>
      </fill>
    </dxf>
  </dxfs>
  <tableStyles count="0" defaultTableStyle="TableStyleMedium2" defaultPivotStyle="PivotStyleLight16"/>
  <colors>
    <mruColors>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Infections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About!$A$17</c:f>
              <c:strCache>
                <c:ptCount val="1"/>
                <c:pt idx="0">
                  <c:v>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About!$B$17:$AO$17</c15:sqref>
                  </c15:fullRef>
                </c:ext>
              </c:extLst>
              <c:f>(About!$B$17,About!$E$17,About!$H$17,About!$K$17,About!$N$17,About!$Q$17,About!$T$17,About!$W$17,About!$Z$17,About!$AC$17,About!$AF$17,About!$AI$17,About!$AL$17,About!$AO$17)</c:f>
              <c:numCache>
                <c:formatCode>#,##0</c:formatCode>
                <c:ptCount val="14"/>
                <c:pt idx="0">
                  <c:v>86.580086580086572</c:v>
                </c:pt>
                <c:pt idx="1">
                  <c:v>173.16017316017314</c:v>
                </c:pt>
                <c:pt idx="2">
                  <c:v>346.32034632034629</c:v>
                </c:pt>
                <c:pt idx="3">
                  <c:v>692.64069264069258</c:v>
                </c:pt>
                <c:pt idx="4">
                  <c:v>1385.2813852813852</c:v>
                </c:pt>
                <c:pt idx="5">
                  <c:v>2770.5627705627703</c:v>
                </c:pt>
                <c:pt idx="6">
                  <c:v>5541.1255411255406</c:v>
                </c:pt>
                <c:pt idx="7">
                  <c:v>11082.251082251081</c:v>
                </c:pt>
                <c:pt idx="8">
                  <c:v>22164.502164502162</c:v>
                </c:pt>
                <c:pt idx="9">
                  <c:v>44329.004329004325</c:v>
                </c:pt>
                <c:pt idx="10">
                  <c:v>88658.00865800865</c:v>
                </c:pt>
                <c:pt idx="11">
                  <c:v>177316.0173160173</c:v>
                </c:pt>
                <c:pt idx="12">
                  <c:v>354632.0346320346</c:v>
                </c:pt>
                <c:pt idx="13">
                  <c:v>709264.0692640692</c:v>
                </c:pt>
              </c:numCache>
            </c:numRef>
          </c:val>
          <c:smooth val="0"/>
          <c:extLst>
            <c:ext xmlns:c16="http://schemas.microsoft.com/office/drawing/2014/chart" uri="{C3380CC4-5D6E-409C-BE32-E72D297353CC}">
              <c16:uniqueId val="{00000000-9272-4A6F-9A61-484B451178B0}"/>
            </c:ext>
          </c:extLst>
        </c:ser>
        <c:ser>
          <c:idx val="1"/>
          <c:order val="1"/>
          <c:tx>
            <c:strRef>
              <c:f>About!$A$18</c:f>
              <c:strCache>
                <c:ptCount val="1"/>
                <c:pt idx="0">
                  <c:v>Asymptomatic (cumulative)</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About!$B$18:$AO$18</c15:sqref>
                  </c15:fullRef>
                </c:ext>
              </c:extLst>
              <c:f>(About!$B$18,About!$E$18,About!$H$18,About!$K$18,About!$N$18,About!$Q$18,About!$T$18,About!$W$18,About!$Z$18,About!$AC$18,About!$AF$18,About!$AI$18,About!$AL$18,About!$AO$18)</c:f>
              <c:numCache>
                <c:formatCode>#,##0</c:formatCode>
                <c:ptCount val="14"/>
                <c:pt idx="0">
                  <c:v>25.97402597402597</c:v>
                </c:pt>
                <c:pt idx="1">
                  <c:v>51.94805194805194</c:v>
                </c:pt>
                <c:pt idx="2">
                  <c:v>103.89610389610388</c:v>
                </c:pt>
                <c:pt idx="3">
                  <c:v>207.79220779220776</c:v>
                </c:pt>
                <c:pt idx="4">
                  <c:v>415.58441558441552</c:v>
                </c:pt>
                <c:pt idx="5">
                  <c:v>831.16883116883105</c:v>
                </c:pt>
                <c:pt idx="6">
                  <c:v>1662.3376623376621</c:v>
                </c:pt>
                <c:pt idx="7">
                  <c:v>3324.6753246753242</c:v>
                </c:pt>
                <c:pt idx="8">
                  <c:v>6649.3506493506484</c:v>
                </c:pt>
                <c:pt idx="9">
                  <c:v>13298.701298701297</c:v>
                </c:pt>
                <c:pt idx="10">
                  <c:v>26597.402597402594</c:v>
                </c:pt>
                <c:pt idx="11">
                  <c:v>53194.805194805187</c:v>
                </c:pt>
                <c:pt idx="12">
                  <c:v>106389.61038961037</c:v>
                </c:pt>
                <c:pt idx="13">
                  <c:v>212779.22077922075</c:v>
                </c:pt>
              </c:numCache>
            </c:numRef>
          </c:val>
          <c:smooth val="0"/>
          <c:extLst>
            <c:ext xmlns:c16="http://schemas.microsoft.com/office/drawing/2014/chart" uri="{C3380CC4-5D6E-409C-BE32-E72D297353CC}">
              <c16:uniqueId val="{00000001-9272-4A6F-9A61-484B451178B0}"/>
            </c:ext>
          </c:extLst>
        </c:ser>
        <c:ser>
          <c:idx val="3"/>
          <c:order val="2"/>
          <c:tx>
            <c:strRef>
              <c:f>About!$A$20</c:f>
              <c:strCache>
                <c:ptCount val="1"/>
                <c:pt idx="0">
                  <c:v>Detected Infections (cumulative)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60.606060606060595</c:v>
                </c:pt>
                <c:pt idx="4">
                  <c:v>121.21212121212119</c:v>
                </c:pt>
                <c:pt idx="5">
                  <c:v>242.42424242424238</c:v>
                </c:pt>
                <c:pt idx="6">
                  <c:v>484.84848484848476</c:v>
                </c:pt>
                <c:pt idx="7">
                  <c:v>969.69696969696952</c:v>
                </c:pt>
                <c:pt idx="8">
                  <c:v>1939.393939393939</c:v>
                </c:pt>
                <c:pt idx="9">
                  <c:v>3878.7878787878781</c:v>
                </c:pt>
                <c:pt idx="10">
                  <c:v>7757.5757575757561</c:v>
                </c:pt>
                <c:pt idx="11">
                  <c:v>15515.151515151512</c:v>
                </c:pt>
                <c:pt idx="12">
                  <c:v>31030.303030303025</c:v>
                </c:pt>
                <c:pt idx="13">
                  <c:v>62060.606060606049</c:v>
                </c:pt>
              </c:numCache>
            </c:numRef>
          </c:val>
          <c:smooth val="0"/>
          <c:extLst>
            <c:ext xmlns:c16="http://schemas.microsoft.com/office/drawing/2014/chart" uri="{C3380CC4-5D6E-409C-BE32-E72D297353CC}">
              <c16:uniqueId val="{00000003-9272-4A6F-9A61-484B451178B0}"/>
            </c:ext>
          </c:extLst>
        </c:ser>
        <c:dLbls>
          <c:showLegendKey val="0"/>
          <c:showVal val="0"/>
          <c:showCatName val="0"/>
          <c:showSerName val="0"/>
          <c:showPercent val="0"/>
          <c:showBubbleSize val="0"/>
        </c:dLbls>
        <c:smooth val="0"/>
        <c:axId val="711850920"/>
        <c:axId val="711846328"/>
      </c:lineChart>
      <c:dateAx>
        <c:axId val="7118509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46328"/>
        <c:crosses val="autoZero"/>
        <c:auto val="1"/>
        <c:lblOffset val="100"/>
        <c:baseTimeUnit val="days"/>
      </c:dateAx>
      <c:valAx>
        <c:axId val="7118463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50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Detected Infections and Hospitalisations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About!$A$20</c:f>
              <c:strCache>
                <c:ptCount val="1"/>
                <c:pt idx="0">
                  <c:v>Detected 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60.606060606060595</c:v>
                </c:pt>
                <c:pt idx="4">
                  <c:v>121.21212121212119</c:v>
                </c:pt>
                <c:pt idx="5">
                  <c:v>242.42424242424238</c:v>
                </c:pt>
                <c:pt idx="6">
                  <c:v>484.84848484848476</c:v>
                </c:pt>
                <c:pt idx="7">
                  <c:v>969.69696969696952</c:v>
                </c:pt>
                <c:pt idx="8">
                  <c:v>1939.393939393939</c:v>
                </c:pt>
                <c:pt idx="9">
                  <c:v>3878.7878787878781</c:v>
                </c:pt>
                <c:pt idx="10">
                  <c:v>7757.5757575757561</c:v>
                </c:pt>
                <c:pt idx="11">
                  <c:v>15515.151515151512</c:v>
                </c:pt>
                <c:pt idx="12">
                  <c:v>31030.303030303025</c:v>
                </c:pt>
                <c:pt idx="13">
                  <c:v>62060.606060606049</c:v>
                </c:pt>
              </c:numCache>
            </c:numRef>
          </c:val>
          <c:smooth val="0"/>
          <c:extLst>
            <c:ext xmlns:c16="http://schemas.microsoft.com/office/drawing/2014/chart" uri="{C3380CC4-5D6E-409C-BE32-E72D297353CC}">
              <c16:uniqueId val="{00000002-93EB-466B-815C-848AFD231B9A}"/>
            </c:ext>
          </c:extLst>
        </c:ser>
        <c:ser>
          <c:idx val="1"/>
          <c:order val="1"/>
          <c:tx>
            <c:strRef>
              <c:f>About!$A$21</c:f>
              <c:strCache>
                <c:ptCount val="1"/>
                <c:pt idx="0">
                  <c:v>Mild</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About!$B$21:$AO$21</c15:sqref>
                  </c15:fullRef>
                </c:ext>
              </c:extLst>
              <c:f>(About!$B$21,About!$E$21,About!$H$21,About!$K$21,About!$N$21,About!$Q$21,About!$T$21,About!$W$21,About!$Z$21,About!$AC$21,About!$AF$21,About!$AI$21,About!$AL$21,About!$AO$21)</c:f>
              <c:numCache>
                <c:formatCode>#,##0</c:formatCode>
                <c:ptCount val="14"/>
                <c:pt idx="2">
                  <c:v>60.606060606060602</c:v>
                </c:pt>
                <c:pt idx="3">
                  <c:v>121.2121212121212</c:v>
                </c:pt>
                <c:pt idx="4">
                  <c:v>196.36363636363637</c:v>
                </c:pt>
                <c:pt idx="5">
                  <c:v>392.72727272727275</c:v>
                </c:pt>
                <c:pt idx="6">
                  <c:v>785.4545454545455</c:v>
                </c:pt>
                <c:pt idx="7">
                  <c:v>1521.818181818182</c:v>
                </c:pt>
                <c:pt idx="8">
                  <c:v>3043.636363636364</c:v>
                </c:pt>
                <c:pt idx="9">
                  <c:v>6087.2727272727279</c:v>
                </c:pt>
                <c:pt idx="10">
                  <c:v>12174.545454545456</c:v>
                </c:pt>
                <c:pt idx="11">
                  <c:v>24349.090909090912</c:v>
                </c:pt>
                <c:pt idx="12">
                  <c:v>48747.272727272728</c:v>
                </c:pt>
                <c:pt idx="13">
                  <c:v>97494.545454545456</c:v>
                </c:pt>
              </c:numCache>
            </c:numRef>
          </c:val>
          <c:smooth val="0"/>
          <c:extLst>
            <c:ext xmlns:c16="http://schemas.microsoft.com/office/drawing/2014/chart" uri="{C3380CC4-5D6E-409C-BE32-E72D297353CC}">
              <c16:uniqueId val="{00000003-93EB-466B-815C-848AFD231B9A}"/>
            </c:ext>
          </c:extLst>
        </c:ser>
        <c:ser>
          <c:idx val="2"/>
          <c:order val="2"/>
          <c:tx>
            <c:strRef>
              <c:f>About!$A$22</c:f>
              <c:strCache>
                <c:ptCount val="1"/>
                <c:pt idx="0">
                  <c:v>Severe (hospitalisation)</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About!$B$22:$AP$22</c15:sqref>
                  </c15:fullRef>
                </c:ext>
              </c:extLst>
              <c:f>(About!$B$22,About!$E$22,About!$H$22,About!$K$22,About!$N$22,About!$Q$22,About!$T$22,About!$W$22,About!$Z$22,About!$AC$22,About!$AF$22,About!$AI$22,About!$AL$22,About!$AO$22)</c:f>
              <c:numCache>
                <c:formatCode>#,##0</c:formatCode>
                <c:ptCount val="14"/>
                <c:pt idx="4">
                  <c:v>46.060606060606055</c:v>
                </c:pt>
                <c:pt idx="5">
                  <c:v>92.12121212121211</c:v>
                </c:pt>
                <c:pt idx="6">
                  <c:v>135.75757575757575</c:v>
                </c:pt>
                <c:pt idx="7">
                  <c:v>271.5151515151515</c:v>
                </c:pt>
                <c:pt idx="8">
                  <c:v>543.030303030303</c:v>
                </c:pt>
                <c:pt idx="9">
                  <c:v>1086.060606060606</c:v>
                </c:pt>
                <c:pt idx="10">
                  <c:v>2172.121212121212</c:v>
                </c:pt>
                <c:pt idx="11">
                  <c:v>4344.242424242424</c:v>
                </c:pt>
                <c:pt idx="12">
                  <c:v>8688.484848484848</c:v>
                </c:pt>
                <c:pt idx="13">
                  <c:v>17376.969696969696</c:v>
                </c:pt>
              </c:numCache>
            </c:numRef>
          </c:val>
          <c:smooth val="0"/>
          <c:extLst>
            <c:ext xmlns:c16="http://schemas.microsoft.com/office/drawing/2014/chart" uri="{C3380CC4-5D6E-409C-BE32-E72D297353CC}">
              <c16:uniqueId val="{00000004-93EB-466B-815C-848AFD231B9A}"/>
            </c:ext>
          </c:extLst>
        </c:ser>
        <c:ser>
          <c:idx val="3"/>
          <c:order val="3"/>
          <c:tx>
            <c:strRef>
              <c:f>About!$A$23</c:f>
              <c:strCache>
                <c:ptCount val="1"/>
                <c:pt idx="0">
                  <c:v>Critical (ICU)</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About!$B$23:$AP$23</c15:sqref>
                  </c15:fullRef>
                </c:ext>
              </c:extLst>
              <c:f>(About!$B$23,About!$E$23,About!$H$23,About!$K$23,About!$N$23,About!$Q$23,About!$T$23,About!$W$23,About!$Z$23,About!$AC$23,About!$AF$23,About!$AI$23,About!$AL$23,About!$AO$23)</c:f>
              <c:numCache>
                <c:formatCode>#,##0</c:formatCode>
                <c:ptCount val="14"/>
                <c:pt idx="6">
                  <c:v>48.484848484848484</c:v>
                </c:pt>
                <c:pt idx="7">
                  <c:v>96.969696969696969</c:v>
                </c:pt>
                <c:pt idx="8">
                  <c:v>193.93939393939394</c:v>
                </c:pt>
                <c:pt idx="9">
                  <c:v>387.87878787878788</c:v>
                </c:pt>
                <c:pt idx="10">
                  <c:v>775.75757575757575</c:v>
                </c:pt>
                <c:pt idx="11">
                  <c:v>1551.5151515151515</c:v>
                </c:pt>
                <c:pt idx="12">
                  <c:v>3103.030303030303</c:v>
                </c:pt>
                <c:pt idx="13">
                  <c:v>6206.060606060606</c:v>
                </c:pt>
              </c:numCache>
            </c:numRef>
          </c:val>
          <c:smooth val="0"/>
          <c:extLst>
            <c:ext xmlns:c16="http://schemas.microsoft.com/office/drawing/2014/chart" uri="{C3380CC4-5D6E-409C-BE32-E72D297353CC}">
              <c16:uniqueId val="{00000005-93EB-466B-815C-848AFD231B9A}"/>
            </c:ext>
          </c:extLst>
        </c:ser>
        <c:dLbls>
          <c:showLegendKey val="0"/>
          <c:showVal val="0"/>
          <c:showCatName val="0"/>
          <c:showSerName val="0"/>
          <c:showPercent val="0"/>
          <c:showBubbleSize val="0"/>
        </c:dLbls>
        <c:smooth val="0"/>
        <c:axId val="546649856"/>
        <c:axId val="546653136"/>
      </c:lineChart>
      <c:dateAx>
        <c:axId val="546649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53136"/>
        <c:crosses val="autoZero"/>
        <c:auto val="1"/>
        <c:lblOffset val="100"/>
        <c:baseTimeUnit val="days"/>
      </c:dateAx>
      <c:valAx>
        <c:axId val="546653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4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Infections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About!$A$17</c:f>
              <c:strCache>
                <c:ptCount val="1"/>
                <c:pt idx="0">
                  <c:v>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About!$B$17:$AO$17</c15:sqref>
                  </c15:fullRef>
                </c:ext>
              </c:extLst>
              <c:f>(About!$B$17,About!$E$17,About!$H$17,About!$K$17,About!$N$17,About!$Q$17,About!$T$17,About!$W$17,About!$Z$17,About!$AC$17,About!$AF$17,About!$AI$17,About!$AL$17,About!$AO$17)</c:f>
              <c:numCache>
                <c:formatCode>#,##0</c:formatCode>
                <c:ptCount val="14"/>
                <c:pt idx="0">
                  <c:v>86.580086580086572</c:v>
                </c:pt>
                <c:pt idx="1">
                  <c:v>173.16017316017314</c:v>
                </c:pt>
                <c:pt idx="2">
                  <c:v>346.32034632034629</c:v>
                </c:pt>
                <c:pt idx="3">
                  <c:v>692.64069264069258</c:v>
                </c:pt>
                <c:pt idx="4">
                  <c:v>1385.2813852813852</c:v>
                </c:pt>
                <c:pt idx="5">
                  <c:v>2770.5627705627703</c:v>
                </c:pt>
                <c:pt idx="6">
                  <c:v>5541.1255411255406</c:v>
                </c:pt>
                <c:pt idx="7">
                  <c:v>11082.251082251081</c:v>
                </c:pt>
                <c:pt idx="8">
                  <c:v>22164.502164502162</c:v>
                </c:pt>
                <c:pt idx="9">
                  <c:v>44329.004329004325</c:v>
                </c:pt>
                <c:pt idx="10">
                  <c:v>88658.00865800865</c:v>
                </c:pt>
                <c:pt idx="11">
                  <c:v>177316.0173160173</c:v>
                </c:pt>
                <c:pt idx="12">
                  <c:v>354632.0346320346</c:v>
                </c:pt>
                <c:pt idx="13">
                  <c:v>709264.0692640692</c:v>
                </c:pt>
              </c:numCache>
            </c:numRef>
          </c:val>
          <c:smooth val="0"/>
          <c:extLst>
            <c:ext xmlns:c16="http://schemas.microsoft.com/office/drawing/2014/chart" uri="{C3380CC4-5D6E-409C-BE32-E72D297353CC}">
              <c16:uniqueId val="{00000000-F25F-48C4-B767-01D2FE6F59F8}"/>
            </c:ext>
          </c:extLst>
        </c:ser>
        <c:ser>
          <c:idx val="1"/>
          <c:order val="1"/>
          <c:tx>
            <c:strRef>
              <c:f>About!$A$18</c:f>
              <c:strCache>
                <c:ptCount val="1"/>
                <c:pt idx="0">
                  <c:v>Asymptomatic (cumulative)</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About!$B$18:$AO$18</c15:sqref>
                  </c15:fullRef>
                </c:ext>
              </c:extLst>
              <c:f>(About!$B$18,About!$E$18,About!$H$18,About!$K$18,About!$N$18,About!$Q$18,About!$T$18,About!$W$18,About!$Z$18,About!$AC$18,About!$AF$18,About!$AI$18,About!$AL$18,About!$AO$18)</c:f>
              <c:numCache>
                <c:formatCode>#,##0</c:formatCode>
                <c:ptCount val="14"/>
                <c:pt idx="0">
                  <c:v>25.97402597402597</c:v>
                </c:pt>
                <c:pt idx="1">
                  <c:v>51.94805194805194</c:v>
                </c:pt>
                <c:pt idx="2">
                  <c:v>103.89610389610388</c:v>
                </c:pt>
                <c:pt idx="3">
                  <c:v>207.79220779220776</c:v>
                </c:pt>
                <c:pt idx="4">
                  <c:v>415.58441558441552</c:v>
                </c:pt>
                <c:pt idx="5">
                  <c:v>831.16883116883105</c:v>
                </c:pt>
                <c:pt idx="6">
                  <c:v>1662.3376623376621</c:v>
                </c:pt>
                <c:pt idx="7">
                  <c:v>3324.6753246753242</c:v>
                </c:pt>
                <c:pt idx="8">
                  <c:v>6649.3506493506484</c:v>
                </c:pt>
                <c:pt idx="9">
                  <c:v>13298.701298701297</c:v>
                </c:pt>
                <c:pt idx="10">
                  <c:v>26597.402597402594</c:v>
                </c:pt>
                <c:pt idx="11">
                  <c:v>53194.805194805187</c:v>
                </c:pt>
                <c:pt idx="12">
                  <c:v>106389.61038961037</c:v>
                </c:pt>
                <c:pt idx="13">
                  <c:v>212779.22077922075</c:v>
                </c:pt>
              </c:numCache>
            </c:numRef>
          </c:val>
          <c:smooth val="0"/>
          <c:extLst>
            <c:ext xmlns:c16="http://schemas.microsoft.com/office/drawing/2014/chart" uri="{C3380CC4-5D6E-409C-BE32-E72D297353CC}">
              <c16:uniqueId val="{00000001-F25F-48C4-B767-01D2FE6F59F8}"/>
            </c:ext>
          </c:extLst>
        </c:ser>
        <c:ser>
          <c:idx val="3"/>
          <c:order val="2"/>
          <c:tx>
            <c:strRef>
              <c:f>About!$A$20</c:f>
              <c:strCache>
                <c:ptCount val="1"/>
                <c:pt idx="0">
                  <c:v>Detected Infections (cumulative)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60.606060606060595</c:v>
                </c:pt>
                <c:pt idx="4">
                  <c:v>121.21212121212119</c:v>
                </c:pt>
                <c:pt idx="5">
                  <c:v>242.42424242424238</c:v>
                </c:pt>
                <c:pt idx="6">
                  <c:v>484.84848484848476</c:v>
                </c:pt>
                <c:pt idx="7">
                  <c:v>969.69696969696952</c:v>
                </c:pt>
                <c:pt idx="8">
                  <c:v>1939.393939393939</c:v>
                </c:pt>
                <c:pt idx="9">
                  <c:v>3878.7878787878781</c:v>
                </c:pt>
                <c:pt idx="10">
                  <c:v>7757.5757575757561</c:v>
                </c:pt>
                <c:pt idx="11">
                  <c:v>15515.151515151512</c:v>
                </c:pt>
                <c:pt idx="12">
                  <c:v>31030.303030303025</c:v>
                </c:pt>
                <c:pt idx="13">
                  <c:v>62060.606060606049</c:v>
                </c:pt>
              </c:numCache>
            </c:numRef>
          </c:val>
          <c:smooth val="0"/>
          <c:extLst>
            <c:ext xmlns:c16="http://schemas.microsoft.com/office/drawing/2014/chart" uri="{C3380CC4-5D6E-409C-BE32-E72D297353CC}">
              <c16:uniqueId val="{00000002-F25F-48C4-B767-01D2FE6F59F8}"/>
            </c:ext>
          </c:extLst>
        </c:ser>
        <c:dLbls>
          <c:showLegendKey val="0"/>
          <c:showVal val="0"/>
          <c:showCatName val="0"/>
          <c:showSerName val="0"/>
          <c:showPercent val="0"/>
          <c:showBubbleSize val="0"/>
        </c:dLbls>
        <c:smooth val="0"/>
        <c:axId val="711850920"/>
        <c:axId val="711846328"/>
      </c:lineChart>
      <c:dateAx>
        <c:axId val="7118509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46328"/>
        <c:crosses val="autoZero"/>
        <c:auto val="1"/>
        <c:lblOffset val="100"/>
        <c:baseTimeUnit val="days"/>
      </c:dateAx>
      <c:valAx>
        <c:axId val="71184632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50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Detected Infections and Hospitalisations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About!$A$20</c:f>
              <c:strCache>
                <c:ptCount val="1"/>
                <c:pt idx="0">
                  <c:v>Detected 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60.606060606060595</c:v>
                </c:pt>
                <c:pt idx="4">
                  <c:v>121.21212121212119</c:v>
                </c:pt>
                <c:pt idx="5">
                  <c:v>242.42424242424238</c:v>
                </c:pt>
                <c:pt idx="6">
                  <c:v>484.84848484848476</c:v>
                </c:pt>
                <c:pt idx="7">
                  <c:v>969.69696969696952</c:v>
                </c:pt>
                <c:pt idx="8">
                  <c:v>1939.393939393939</c:v>
                </c:pt>
                <c:pt idx="9">
                  <c:v>3878.7878787878781</c:v>
                </c:pt>
                <c:pt idx="10">
                  <c:v>7757.5757575757561</c:v>
                </c:pt>
                <c:pt idx="11">
                  <c:v>15515.151515151512</c:v>
                </c:pt>
                <c:pt idx="12">
                  <c:v>31030.303030303025</c:v>
                </c:pt>
                <c:pt idx="13">
                  <c:v>62060.606060606049</c:v>
                </c:pt>
              </c:numCache>
            </c:numRef>
          </c:val>
          <c:smooth val="0"/>
          <c:extLst>
            <c:ext xmlns:c16="http://schemas.microsoft.com/office/drawing/2014/chart" uri="{C3380CC4-5D6E-409C-BE32-E72D297353CC}">
              <c16:uniqueId val="{00000000-21E7-4DFE-B019-F4CAF9806853}"/>
            </c:ext>
          </c:extLst>
        </c:ser>
        <c:ser>
          <c:idx val="1"/>
          <c:order val="1"/>
          <c:tx>
            <c:strRef>
              <c:f>About!$A$21</c:f>
              <c:strCache>
                <c:ptCount val="1"/>
                <c:pt idx="0">
                  <c:v>Mild</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About!$B$21:$AO$21</c15:sqref>
                  </c15:fullRef>
                </c:ext>
              </c:extLst>
              <c:f>(About!$B$21,About!$E$21,About!$H$21,About!$K$21,About!$N$21,About!$Q$21,About!$T$21,About!$W$21,About!$Z$21,About!$AC$21,About!$AF$21,About!$AI$21,About!$AL$21,About!$AO$21)</c:f>
              <c:numCache>
                <c:formatCode>#,##0</c:formatCode>
                <c:ptCount val="14"/>
                <c:pt idx="2">
                  <c:v>60.606060606060602</c:v>
                </c:pt>
                <c:pt idx="3">
                  <c:v>121.2121212121212</c:v>
                </c:pt>
                <c:pt idx="4">
                  <c:v>196.36363636363637</c:v>
                </c:pt>
                <c:pt idx="5">
                  <c:v>392.72727272727275</c:v>
                </c:pt>
                <c:pt idx="6">
                  <c:v>785.4545454545455</c:v>
                </c:pt>
                <c:pt idx="7">
                  <c:v>1521.818181818182</c:v>
                </c:pt>
                <c:pt idx="8">
                  <c:v>3043.636363636364</c:v>
                </c:pt>
                <c:pt idx="9">
                  <c:v>6087.2727272727279</c:v>
                </c:pt>
                <c:pt idx="10">
                  <c:v>12174.545454545456</c:v>
                </c:pt>
                <c:pt idx="11">
                  <c:v>24349.090909090912</c:v>
                </c:pt>
                <c:pt idx="12">
                  <c:v>48747.272727272728</c:v>
                </c:pt>
                <c:pt idx="13">
                  <c:v>97494.545454545456</c:v>
                </c:pt>
              </c:numCache>
            </c:numRef>
          </c:val>
          <c:smooth val="0"/>
          <c:extLst>
            <c:ext xmlns:c16="http://schemas.microsoft.com/office/drawing/2014/chart" uri="{C3380CC4-5D6E-409C-BE32-E72D297353CC}">
              <c16:uniqueId val="{00000001-21E7-4DFE-B019-F4CAF9806853}"/>
            </c:ext>
          </c:extLst>
        </c:ser>
        <c:ser>
          <c:idx val="2"/>
          <c:order val="2"/>
          <c:tx>
            <c:strRef>
              <c:f>About!$A$22</c:f>
              <c:strCache>
                <c:ptCount val="1"/>
                <c:pt idx="0">
                  <c:v>Severe (hospitalisation)</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About!$B$22:$AP$22</c15:sqref>
                  </c15:fullRef>
                </c:ext>
              </c:extLst>
              <c:f>(About!$B$22,About!$E$22,About!$H$22,About!$K$22,About!$N$22,About!$Q$22,About!$T$22,About!$W$22,About!$Z$22,About!$AC$22,About!$AF$22,About!$AI$22,About!$AL$22,About!$AO$22)</c:f>
              <c:numCache>
                <c:formatCode>#,##0</c:formatCode>
                <c:ptCount val="14"/>
                <c:pt idx="4">
                  <c:v>46.060606060606055</c:v>
                </c:pt>
                <c:pt idx="5">
                  <c:v>92.12121212121211</c:v>
                </c:pt>
                <c:pt idx="6">
                  <c:v>135.75757575757575</c:v>
                </c:pt>
                <c:pt idx="7">
                  <c:v>271.5151515151515</c:v>
                </c:pt>
                <c:pt idx="8">
                  <c:v>543.030303030303</c:v>
                </c:pt>
                <c:pt idx="9">
                  <c:v>1086.060606060606</c:v>
                </c:pt>
                <c:pt idx="10">
                  <c:v>2172.121212121212</c:v>
                </c:pt>
                <c:pt idx="11">
                  <c:v>4344.242424242424</c:v>
                </c:pt>
                <c:pt idx="12">
                  <c:v>8688.484848484848</c:v>
                </c:pt>
                <c:pt idx="13">
                  <c:v>17376.969696969696</c:v>
                </c:pt>
              </c:numCache>
            </c:numRef>
          </c:val>
          <c:smooth val="0"/>
          <c:extLst>
            <c:ext xmlns:c16="http://schemas.microsoft.com/office/drawing/2014/chart" uri="{C3380CC4-5D6E-409C-BE32-E72D297353CC}">
              <c16:uniqueId val="{00000002-21E7-4DFE-B019-F4CAF9806853}"/>
            </c:ext>
          </c:extLst>
        </c:ser>
        <c:ser>
          <c:idx val="3"/>
          <c:order val="3"/>
          <c:tx>
            <c:strRef>
              <c:f>About!$A$23</c:f>
              <c:strCache>
                <c:ptCount val="1"/>
                <c:pt idx="0">
                  <c:v>Critical (ICU)</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43880.488586111111</c:v>
                </c:pt>
                <c:pt idx="1">
                  <c:v>43883.488586111111</c:v>
                </c:pt>
                <c:pt idx="2">
                  <c:v>43886.488586111111</c:v>
                </c:pt>
                <c:pt idx="3">
                  <c:v>43889.488586111111</c:v>
                </c:pt>
                <c:pt idx="4">
                  <c:v>43892.488586111111</c:v>
                </c:pt>
                <c:pt idx="5">
                  <c:v>43895.488586111111</c:v>
                </c:pt>
                <c:pt idx="6">
                  <c:v>43898.488586111111</c:v>
                </c:pt>
                <c:pt idx="7">
                  <c:v>43901.488586111111</c:v>
                </c:pt>
                <c:pt idx="8">
                  <c:v>43904.488586111111</c:v>
                </c:pt>
                <c:pt idx="9">
                  <c:v>43907.488586111111</c:v>
                </c:pt>
                <c:pt idx="10">
                  <c:v>43910.488586111111</c:v>
                </c:pt>
                <c:pt idx="11">
                  <c:v>43913.488586111111</c:v>
                </c:pt>
                <c:pt idx="12">
                  <c:v>43916.488586111111</c:v>
                </c:pt>
                <c:pt idx="13">
                  <c:v>43919.488586111111</c:v>
                </c:pt>
              </c:numCache>
            </c:numRef>
          </c:cat>
          <c:val>
            <c:numRef>
              <c:extLst>
                <c:ext xmlns:c15="http://schemas.microsoft.com/office/drawing/2012/chart" uri="{02D57815-91ED-43cb-92C2-25804820EDAC}">
                  <c15:fullRef>
                    <c15:sqref>About!$B$23:$AP$23</c15:sqref>
                  </c15:fullRef>
                </c:ext>
              </c:extLst>
              <c:f>(About!$B$23,About!$E$23,About!$H$23,About!$K$23,About!$N$23,About!$Q$23,About!$T$23,About!$W$23,About!$Z$23,About!$AC$23,About!$AF$23,About!$AI$23,About!$AL$23,About!$AO$23)</c:f>
              <c:numCache>
                <c:formatCode>#,##0</c:formatCode>
                <c:ptCount val="14"/>
                <c:pt idx="6">
                  <c:v>48.484848484848484</c:v>
                </c:pt>
                <c:pt idx="7">
                  <c:v>96.969696969696969</c:v>
                </c:pt>
                <c:pt idx="8">
                  <c:v>193.93939393939394</c:v>
                </c:pt>
                <c:pt idx="9">
                  <c:v>387.87878787878788</c:v>
                </c:pt>
                <c:pt idx="10">
                  <c:v>775.75757575757575</c:v>
                </c:pt>
                <c:pt idx="11">
                  <c:v>1551.5151515151515</c:v>
                </c:pt>
                <c:pt idx="12">
                  <c:v>3103.030303030303</c:v>
                </c:pt>
                <c:pt idx="13">
                  <c:v>6206.060606060606</c:v>
                </c:pt>
              </c:numCache>
            </c:numRef>
          </c:val>
          <c:smooth val="0"/>
          <c:extLst>
            <c:ext xmlns:c16="http://schemas.microsoft.com/office/drawing/2014/chart" uri="{C3380CC4-5D6E-409C-BE32-E72D297353CC}">
              <c16:uniqueId val="{00000003-21E7-4DFE-B019-F4CAF9806853}"/>
            </c:ext>
          </c:extLst>
        </c:ser>
        <c:dLbls>
          <c:showLegendKey val="0"/>
          <c:showVal val="0"/>
          <c:showCatName val="0"/>
          <c:showSerName val="0"/>
          <c:showPercent val="0"/>
          <c:showBubbleSize val="0"/>
        </c:dLbls>
        <c:smooth val="0"/>
        <c:axId val="546649856"/>
        <c:axId val="546653136"/>
      </c:lineChart>
      <c:dateAx>
        <c:axId val="546649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53136"/>
        <c:crosses val="autoZero"/>
        <c:auto val="1"/>
        <c:lblOffset val="100"/>
        <c:baseTimeUnit val="days"/>
      </c:dateAx>
      <c:valAx>
        <c:axId val="546653136"/>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4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Hospitalisation Numbers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688864268909969E-2"/>
          <c:y val="0.16402429427241846"/>
          <c:w val="0.54877376992928728"/>
          <c:h val="0.66019671368499344"/>
        </c:manualLayout>
      </c:layout>
      <c:lineChart>
        <c:grouping val="standard"/>
        <c:varyColors val="0"/>
        <c:ser>
          <c:idx val="3"/>
          <c:order val="0"/>
          <c:tx>
            <c:strRef>
              <c:f>Projections!$A$20</c:f>
              <c:strCache>
                <c:ptCount val="1"/>
                <c:pt idx="0">
                  <c:v>Cumulative Severe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Projections!$G$20:$AA$20</c15:sqref>
                  </c15:fullRef>
                </c:ext>
              </c:extLst>
              <c:f>Projections!$G$20:$Z$20</c:f>
              <c:numCache>
                <c:formatCode>#,##0</c:formatCode>
                <c:ptCount val="20"/>
                <c:pt idx="2">
                  <c:v>5.9375</c:v>
                </c:pt>
                <c:pt idx="3">
                  <c:v>11.875</c:v>
                </c:pt>
                <c:pt idx="4">
                  <c:v>23.75</c:v>
                </c:pt>
                <c:pt idx="5">
                  <c:v>47.5</c:v>
                </c:pt>
                <c:pt idx="6">
                  <c:v>47.5</c:v>
                </c:pt>
                <c:pt idx="7">
                  <c:v>190</c:v>
                </c:pt>
                <c:pt idx="8">
                  <c:v>380</c:v>
                </c:pt>
                <c:pt idx="9">
                  <c:v>760</c:v>
                </c:pt>
                <c:pt idx="10">
                  <c:v>1520</c:v>
                </c:pt>
                <c:pt idx="11">
                  <c:v>3040</c:v>
                </c:pt>
                <c:pt idx="12">
                  <c:v>6080</c:v>
                </c:pt>
                <c:pt idx="13">
                  <c:v>12160</c:v>
                </c:pt>
                <c:pt idx="14">
                  <c:v>24320</c:v>
                </c:pt>
                <c:pt idx="15">
                  <c:v>48640</c:v>
                </c:pt>
                <c:pt idx="16">
                  <c:v>97280</c:v>
                </c:pt>
                <c:pt idx="17">
                  <c:v>194560</c:v>
                </c:pt>
                <c:pt idx="18">
                  <c:v>389120</c:v>
                </c:pt>
                <c:pt idx="19">
                  <c:v>778240</c:v>
                </c:pt>
              </c:numCache>
            </c:numRef>
          </c:val>
          <c:smooth val="0"/>
          <c:extLst>
            <c:ext xmlns:c16="http://schemas.microsoft.com/office/drawing/2014/chart" uri="{C3380CC4-5D6E-409C-BE32-E72D297353CC}">
              <c16:uniqueId val="{00000003-5231-4BE2-97ED-54F0C3DB105C}"/>
            </c:ext>
          </c:extLst>
        </c:ser>
        <c:ser>
          <c:idx val="2"/>
          <c:order val="1"/>
          <c:tx>
            <c:strRef>
              <c:f>Projections!$A$21</c:f>
              <c:strCache>
                <c:ptCount val="1"/>
                <c:pt idx="0">
                  <c:v>Number Severe</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Projections!$G$21:$AA$21</c15:sqref>
                  </c15:fullRef>
                </c:ext>
              </c:extLst>
              <c:f>Projections!$G$21:$Z$21</c:f>
              <c:numCache>
                <c:formatCode>#,##0</c:formatCode>
                <c:ptCount val="20"/>
                <c:pt idx="2">
                  <c:v>5.9375</c:v>
                </c:pt>
                <c:pt idx="3">
                  <c:v>11.875</c:v>
                </c:pt>
                <c:pt idx="4">
                  <c:v>22.1875</c:v>
                </c:pt>
                <c:pt idx="5">
                  <c:v>44.375</c:v>
                </c:pt>
                <c:pt idx="6">
                  <c:v>41.25</c:v>
                </c:pt>
                <c:pt idx="7">
                  <c:v>177.5</c:v>
                </c:pt>
                <c:pt idx="8">
                  <c:v>355</c:v>
                </c:pt>
                <c:pt idx="9">
                  <c:v>661.09375</c:v>
                </c:pt>
                <c:pt idx="10">
                  <c:v>1321.09375</c:v>
                </c:pt>
                <c:pt idx="11">
                  <c:v>2646.5625</c:v>
                </c:pt>
                <c:pt idx="12">
                  <c:v>5294.6875</c:v>
                </c:pt>
                <c:pt idx="13">
                  <c:v>10624.375</c:v>
                </c:pt>
                <c:pt idx="14">
                  <c:v>21186.875</c:v>
                </c:pt>
                <c:pt idx="15">
                  <c:v>42326.25</c:v>
                </c:pt>
                <c:pt idx="16">
                  <c:v>84747.5</c:v>
                </c:pt>
                <c:pt idx="17">
                  <c:v>169495</c:v>
                </c:pt>
                <c:pt idx="18">
                  <c:v>338180</c:v>
                </c:pt>
                <c:pt idx="19">
                  <c:v>676360</c:v>
                </c:pt>
              </c:numCache>
            </c:numRef>
          </c:val>
          <c:smooth val="0"/>
          <c:extLst>
            <c:ext xmlns:c16="http://schemas.microsoft.com/office/drawing/2014/chart" uri="{C3380CC4-5D6E-409C-BE32-E72D297353CC}">
              <c16:uniqueId val="{00000002-9381-4A4E-BB43-DCD8EC2F4E00}"/>
            </c:ext>
          </c:extLst>
        </c:ser>
        <c:ser>
          <c:idx val="0"/>
          <c:order val="2"/>
          <c:tx>
            <c:strRef>
              <c:f>Projections!$A$22</c:f>
              <c:strCache>
                <c:ptCount val="1"/>
                <c:pt idx="0">
                  <c:v>Cumulative Critical</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Projections!$G$22:$AA$22</c15:sqref>
                  </c15:fullRef>
                </c:ext>
              </c:extLst>
              <c:f>Projections!$G$22:$Z$22</c:f>
              <c:numCache>
                <c:formatCode>#,##0</c:formatCode>
                <c:ptCount val="20"/>
                <c:pt idx="4">
                  <c:v>1.5625</c:v>
                </c:pt>
                <c:pt idx="5">
                  <c:v>3.125</c:v>
                </c:pt>
                <c:pt idx="6">
                  <c:v>6.25</c:v>
                </c:pt>
                <c:pt idx="7">
                  <c:v>12.5</c:v>
                </c:pt>
                <c:pt idx="8">
                  <c:v>25</c:v>
                </c:pt>
                <c:pt idx="9">
                  <c:v>100</c:v>
                </c:pt>
                <c:pt idx="10">
                  <c:v>200</c:v>
                </c:pt>
                <c:pt idx="11">
                  <c:v>400</c:v>
                </c:pt>
                <c:pt idx="12">
                  <c:v>800</c:v>
                </c:pt>
                <c:pt idx="13">
                  <c:v>1600</c:v>
                </c:pt>
                <c:pt idx="14">
                  <c:v>3200</c:v>
                </c:pt>
                <c:pt idx="15">
                  <c:v>6400</c:v>
                </c:pt>
                <c:pt idx="16">
                  <c:v>12800</c:v>
                </c:pt>
                <c:pt idx="17">
                  <c:v>25600</c:v>
                </c:pt>
                <c:pt idx="18">
                  <c:v>51200</c:v>
                </c:pt>
                <c:pt idx="19">
                  <c:v>102400</c:v>
                </c:pt>
              </c:numCache>
            </c:numRef>
          </c:val>
          <c:smooth val="0"/>
          <c:extLst>
            <c:ext xmlns:c16="http://schemas.microsoft.com/office/drawing/2014/chart" uri="{C3380CC4-5D6E-409C-BE32-E72D297353CC}">
              <c16:uniqueId val="{00000000-9381-4A4E-BB43-DCD8EC2F4E00}"/>
            </c:ext>
          </c:extLst>
        </c:ser>
        <c:ser>
          <c:idx val="4"/>
          <c:order val="3"/>
          <c:tx>
            <c:strRef>
              <c:f>Projections!$A$23</c:f>
              <c:strCache>
                <c:ptCount val="1"/>
                <c:pt idx="0">
                  <c:v>Number Critical</c:v>
                </c:pt>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Projections!$G$23:$AA$23</c15:sqref>
                  </c15:fullRef>
                </c:ext>
              </c:extLst>
              <c:f>Projections!$G$23:$Z$23</c:f>
              <c:numCache>
                <c:formatCode>#,##0</c:formatCode>
                <c:ptCount val="20"/>
                <c:pt idx="4">
                  <c:v>1.5625</c:v>
                </c:pt>
                <c:pt idx="5">
                  <c:v>3.125</c:v>
                </c:pt>
                <c:pt idx="6">
                  <c:v>6.25</c:v>
                </c:pt>
                <c:pt idx="7">
                  <c:v>12.5</c:v>
                </c:pt>
                <c:pt idx="8">
                  <c:v>25</c:v>
                </c:pt>
                <c:pt idx="9">
                  <c:v>98.90625</c:v>
                </c:pt>
                <c:pt idx="10">
                  <c:v>198.90625</c:v>
                </c:pt>
                <c:pt idx="11">
                  <c:v>393.4375</c:v>
                </c:pt>
                <c:pt idx="12">
                  <c:v>785.3125</c:v>
                </c:pt>
                <c:pt idx="13">
                  <c:v>1535.625</c:v>
                </c:pt>
                <c:pt idx="14">
                  <c:v>3082.5</c:v>
                </c:pt>
                <c:pt idx="15">
                  <c:v>6212.5</c:v>
                </c:pt>
                <c:pt idx="16">
                  <c:v>12330</c:v>
                </c:pt>
                <c:pt idx="17">
                  <c:v>24660</c:v>
                </c:pt>
                <c:pt idx="18">
                  <c:v>49320</c:v>
                </c:pt>
                <c:pt idx="19">
                  <c:v>98640</c:v>
                </c:pt>
              </c:numCache>
            </c:numRef>
          </c:val>
          <c:smooth val="0"/>
          <c:extLst>
            <c:ext xmlns:c16="http://schemas.microsoft.com/office/drawing/2014/chart" uri="{C3380CC4-5D6E-409C-BE32-E72D297353CC}">
              <c16:uniqueId val="{00000003-9381-4A4E-BB43-DCD8EC2F4E00}"/>
            </c:ext>
          </c:extLst>
        </c:ser>
        <c:ser>
          <c:idx val="1"/>
          <c:order val="4"/>
          <c:tx>
            <c:strRef>
              <c:f>Projections!$A$24</c:f>
              <c:strCache>
                <c:ptCount val="1"/>
                <c:pt idx="0">
                  <c:v>Projected Cumulative Mortality Count (future projection)</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Projections!$G$24:$AA$24</c15:sqref>
                  </c15:fullRef>
                </c:ext>
              </c:extLst>
              <c:f>Projections!$G$24:$Z$24</c:f>
              <c:numCache>
                <c:formatCode>#,##0</c:formatCode>
                <c:ptCount val="20"/>
                <c:pt idx="0">
                  <c:v>1.09375</c:v>
                </c:pt>
                <c:pt idx="1">
                  <c:v>2.1875</c:v>
                </c:pt>
                <c:pt idx="2">
                  <c:v>4.375</c:v>
                </c:pt>
                <c:pt idx="3">
                  <c:v>8.75</c:v>
                </c:pt>
                <c:pt idx="4">
                  <c:v>17.5</c:v>
                </c:pt>
                <c:pt idx="5">
                  <c:v>35</c:v>
                </c:pt>
                <c:pt idx="6">
                  <c:v>70</c:v>
                </c:pt>
                <c:pt idx="7">
                  <c:v>140</c:v>
                </c:pt>
                <c:pt idx="8">
                  <c:v>280</c:v>
                </c:pt>
                <c:pt idx="9">
                  <c:v>560</c:v>
                </c:pt>
                <c:pt idx="10">
                  <c:v>1120</c:v>
                </c:pt>
                <c:pt idx="11">
                  <c:v>2240</c:v>
                </c:pt>
                <c:pt idx="12">
                  <c:v>4480</c:v>
                </c:pt>
                <c:pt idx="13">
                  <c:v>8960</c:v>
                </c:pt>
                <c:pt idx="14">
                  <c:v>17920</c:v>
                </c:pt>
                <c:pt idx="15">
                  <c:v>35840</c:v>
                </c:pt>
                <c:pt idx="16">
                  <c:v>71680</c:v>
                </c:pt>
                <c:pt idx="17">
                  <c:v>143360</c:v>
                </c:pt>
                <c:pt idx="18">
                  <c:v>286720</c:v>
                </c:pt>
                <c:pt idx="19">
                  <c:v>573440</c:v>
                </c:pt>
              </c:numCache>
            </c:numRef>
          </c:val>
          <c:smooth val="0"/>
          <c:extLst>
            <c:ext xmlns:c16="http://schemas.microsoft.com/office/drawing/2014/chart" uri="{C3380CC4-5D6E-409C-BE32-E72D297353CC}">
              <c16:uniqueId val="{00000001-9381-4A4E-BB43-DCD8EC2F4E00}"/>
            </c:ext>
          </c:extLst>
        </c:ser>
        <c:dLbls>
          <c:showLegendKey val="0"/>
          <c:showVal val="0"/>
          <c:showCatName val="0"/>
          <c:showSerName val="0"/>
          <c:showPercent val="0"/>
          <c:showBubbleSize val="0"/>
        </c:dLbls>
        <c:smooth val="0"/>
        <c:axId val="485124952"/>
        <c:axId val="485122000"/>
      </c:lineChart>
      <c:dateAx>
        <c:axId val="485124952"/>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2000"/>
        <c:crosses val="autoZero"/>
        <c:auto val="1"/>
        <c:lblOffset val="100"/>
        <c:baseTimeUnit val="days"/>
      </c:dateAx>
      <c:valAx>
        <c:axId val="4851220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4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a:t>
            </a:r>
            <a:r>
              <a:rPr lang="en-AU" baseline="0"/>
              <a:t> COVID-19 Cumulative Infections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Projections!$A$40</c:f>
              <c:strCache>
                <c:ptCount val="1"/>
                <c:pt idx="0">
                  <c:v>80+</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Projections!$G$40:$AA$40</c15:sqref>
                  </c15:fullRef>
                </c:ext>
              </c:extLst>
              <c:f>Projections!$G$40:$Z$40</c:f>
              <c:numCache>
                <c:formatCode>#,##0</c:formatCode>
                <c:ptCount val="20"/>
                <c:pt idx="0">
                  <c:v>0.84481844685926311</c:v>
                </c:pt>
                <c:pt idx="1">
                  <c:v>1.6896368937185262</c:v>
                </c:pt>
                <c:pt idx="2">
                  <c:v>3.3792737874370524</c:v>
                </c:pt>
                <c:pt idx="3">
                  <c:v>6.7585475748741048</c:v>
                </c:pt>
                <c:pt idx="4">
                  <c:v>13.51709514974821</c:v>
                </c:pt>
                <c:pt idx="5">
                  <c:v>27.034190299496419</c:v>
                </c:pt>
                <c:pt idx="6">
                  <c:v>54.068380598992839</c:v>
                </c:pt>
                <c:pt idx="7">
                  <c:v>108.13676119798568</c:v>
                </c:pt>
                <c:pt idx="8">
                  <c:v>216.27352239597136</c:v>
                </c:pt>
                <c:pt idx="9">
                  <c:v>432.54704479194271</c:v>
                </c:pt>
                <c:pt idx="10">
                  <c:v>865.09408958388542</c:v>
                </c:pt>
                <c:pt idx="11">
                  <c:v>1730.1881791677708</c:v>
                </c:pt>
                <c:pt idx="12">
                  <c:v>3460.3763583355417</c:v>
                </c:pt>
                <c:pt idx="13">
                  <c:v>6920.7527166710834</c:v>
                </c:pt>
                <c:pt idx="14">
                  <c:v>13841.505433342167</c:v>
                </c:pt>
                <c:pt idx="15">
                  <c:v>27683.010866684333</c:v>
                </c:pt>
                <c:pt idx="16">
                  <c:v>55366.021733368667</c:v>
                </c:pt>
                <c:pt idx="17">
                  <c:v>110732.04346673733</c:v>
                </c:pt>
                <c:pt idx="18">
                  <c:v>221464.08693347467</c:v>
                </c:pt>
                <c:pt idx="19">
                  <c:v>442928.17386694934</c:v>
                </c:pt>
              </c:numCache>
            </c:numRef>
          </c:val>
          <c:smooth val="0"/>
          <c:extLst>
            <c:ext xmlns:c16="http://schemas.microsoft.com/office/drawing/2014/chart" uri="{C3380CC4-5D6E-409C-BE32-E72D297353CC}">
              <c16:uniqueId val="{00000000-04B6-450D-AD81-6BF382C059D1}"/>
            </c:ext>
          </c:extLst>
        </c:ser>
        <c:ser>
          <c:idx val="2"/>
          <c:order val="1"/>
          <c:tx>
            <c:strRef>
              <c:f>Projections!$A$42</c:f>
              <c:strCache>
                <c:ptCount val="1"/>
                <c:pt idx="0">
                  <c:v>70-79</c:v>
                </c:pt>
              </c:strCache>
            </c:strRef>
          </c:tx>
          <c:spPr>
            <a:ln w="28575" cap="rnd">
              <a:solidFill>
                <a:schemeClr val="accent2">
                  <a:lumMod val="5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Projections!$G$42:$AA$42</c15:sqref>
                  </c15:fullRef>
                </c:ext>
              </c:extLst>
              <c:f>Projections!$G$42:$Z$42</c:f>
              <c:numCache>
                <c:formatCode>#,##0</c:formatCode>
                <c:ptCount val="20"/>
                <c:pt idx="0">
                  <c:v>3.5200768619135965</c:v>
                </c:pt>
                <c:pt idx="1">
                  <c:v>7.040153723827193</c:v>
                </c:pt>
                <c:pt idx="2">
                  <c:v>14.080307447654386</c:v>
                </c:pt>
                <c:pt idx="3">
                  <c:v>28.160614895308772</c:v>
                </c:pt>
                <c:pt idx="4">
                  <c:v>56.321229790617544</c:v>
                </c:pt>
                <c:pt idx="5">
                  <c:v>112.64245958123509</c:v>
                </c:pt>
                <c:pt idx="6">
                  <c:v>225.28491916247017</c:v>
                </c:pt>
                <c:pt idx="7">
                  <c:v>450.56983832494035</c:v>
                </c:pt>
                <c:pt idx="8">
                  <c:v>901.1396766498807</c:v>
                </c:pt>
                <c:pt idx="9">
                  <c:v>1802.2793532997614</c:v>
                </c:pt>
                <c:pt idx="10">
                  <c:v>3604.5587065995228</c:v>
                </c:pt>
                <c:pt idx="11">
                  <c:v>7209.1174131990456</c:v>
                </c:pt>
                <c:pt idx="12">
                  <c:v>14418.234826398091</c:v>
                </c:pt>
                <c:pt idx="13">
                  <c:v>28836.469652796182</c:v>
                </c:pt>
                <c:pt idx="14">
                  <c:v>57672.939305592365</c:v>
                </c:pt>
                <c:pt idx="15">
                  <c:v>115345.87861118473</c:v>
                </c:pt>
                <c:pt idx="16">
                  <c:v>230691.75722236946</c:v>
                </c:pt>
                <c:pt idx="17">
                  <c:v>461383.51444473892</c:v>
                </c:pt>
                <c:pt idx="18">
                  <c:v>922767.02888947784</c:v>
                </c:pt>
                <c:pt idx="19">
                  <c:v>1845534.0577789557</c:v>
                </c:pt>
              </c:numCache>
            </c:numRef>
          </c:val>
          <c:smooth val="0"/>
          <c:extLst>
            <c:ext xmlns:c16="http://schemas.microsoft.com/office/drawing/2014/chart" uri="{C3380CC4-5D6E-409C-BE32-E72D297353CC}">
              <c16:uniqueId val="{00000002-04B6-450D-AD81-6BF382C059D1}"/>
            </c:ext>
          </c:extLst>
        </c:ser>
        <c:ser>
          <c:idx val="4"/>
          <c:order val="2"/>
          <c:tx>
            <c:strRef>
              <c:f>Projections!$A$44</c:f>
              <c:strCache>
                <c:ptCount val="1"/>
                <c:pt idx="0">
                  <c:v>60-69</c:v>
                </c:pt>
              </c:strCache>
            </c:strRef>
          </c:tx>
          <c:spPr>
            <a:ln w="28575" cap="rnd">
              <a:solidFill>
                <a:schemeClr val="accent4">
                  <a:lumMod val="6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Projections!$G$44:$AA$44</c15:sqref>
                  </c15:fullRef>
                </c:ext>
              </c:extLst>
              <c:f>Projections!$G$44:$Z$44</c:f>
              <c:numCache>
                <c:formatCode>#,##0</c:formatCode>
                <c:ptCount val="20"/>
                <c:pt idx="0">
                  <c:v>5.4002120328650944</c:v>
                </c:pt>
                <c:pt idx="1">
                  <c:v>10.800424065730189</c:v>
                </c:pt>
                <c:pt idx="2">
                  <c:v>21.600848131460378</c:v>
                </c:pt>
                <c:pt idx="3">
                  <c:v>43.201696262920755</c:v>
                </c:pt>
                <c:pt idx="4">
                  <c:v>86.403392525841511</c:v>
                </c:pt>
                <c:pt idx="5">
                  <c:v>172.80678505168302</c:v>
                </c:pt>
                <c:pt idx="6">
                  <c:v>345.61357010336604</c:v>
                </c:pt>
                <c:pt idx="7">
                  <c:v>691.22714020673209</c:v>
                </c:pt>
                <c:pt idx="8">
                  <c:v>1382.4542804134642</c:v>
                </c:pt>
                <c:pt idx="9">
                  <c:v>2764.9085608269284</c:v>
                </c:pt>
                <c:pt idx="10">
                  <c:v>5529.8171216538567</c:v>
                </c:pt>
                <c:pt idx="11">
                  <c:v>11059.634243307713</c:v>
                </c:pt>
                <c:pt idx="12">
                  <c:v>22119.268486615427</c:v>
                </c:pt>
                <c:pt idx="13">
                  <c:v>44238.536973230854</c:v>
                </c:pt>
                <c:pt idx="14">
                  <c:v>88477.073946461707</c:v>
                </c:pt>
                <c:pt idx="15">
                  <c:v>176954.14789292341</c:v>
                </c:pt>
                <c:pt idx="16">
                  <c:v>353908.29578584683</c:v>
                </c:pt>
                <c:pt idx="17">
                  <c:v>707816.59157169366</c:v>
                </c:pt>
                <c:pt idx="18">
                  <c:v>1415633.1831433873</c:v>
                </c:pt>
                <c:pt idx="19">
                  <c:v>2831266.3662867746</c:v>
                </c:pt>
              </c:numCache>
            </c:numRef>
          </c:val>
          <c:smooth val="0"/>
          <c:extLst>
            <c:ext xmlns:c16="http://schemas.microsoft.com/office/drawing/2014/chart" uri="{C3380CC4-5D6E-409C-BE32-E72D297353CC}">
              <c16:uniqueId val="{00000004-04B6-450D-AD81-6BF382C059D1}"/>
            </c:ext>
          </c:extLst>
        </c:ser>
        <c:ser>
          <c:idx val="6"/>
          <c:order val="3"/>
          <c:tx>
            <c:strRef>
              <c:f>Projections!$A$46</c:f>
              <c:strCache>
                <c:ptCount val="1"/>
                <c:pt idx="0">
                  <c:v>50-59</c:v>
                </c:pt>
              </c:strCache>
            </c:strRef>
          </c:tx>
          <c:spPr>
            <a:ln w="28575" cap="rnd">
              <a:solidFill>
                <a:schemeClr val="accent2">
                  <a:lumMod val="80000"/>
                  <a:lumOff val="2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Projections!$G$46:$AA$46</c15:sqref>
                  </c15:fullRef>
                </c:ext>
              </c:extLst>
              <c:f>Projections!$G$46:$Z$46</c:f>
              <c:numCache>
                <c:formatCode>#,##0</c:formatCode>
                <c:ptCount val="20"/>
                <c:pt idx="0">
                  <c:v>4.9943678770209381</c:v>
                </c:pt>
                <c:pt idx="1">
                  <c:v>9.9887357540418762</c:v>
                </c:pt>
                <c:pt idx="2">
                  <c:v>19.977471508083752</c:v>
                </c:pt>
                <c:pt idx="3">
                  <c:v>39.954943016167505</c:v>
                </c:pt>
                <c:pt idx="4">
                  <c:v>79.90988603233501</c:v>
                </c:pt>
                <c:pt idx="5">
                  <c:v>159.81977206467002</c:v>
                </c:pt>
                <c:pt idx="6">
                  <c:v>319.63954412934004</c:v>
                </c:pt>
                <c:pt idx="7">
                  <c:v>639.27908825868008</c:v>
                </c:pt>
                <c:pt idx="8">
                  <c:v>1278.5581765173602</c:v>
                </c:pt>
                <c:pt idx="9">
                  <c:v>2557.1163530347203</c:v>
                </c:pt>
                <c:pt idx="10">
                  <c:v>5114.2327060694406</c:v>
                </c:pt>
                <c:pt idx="11">
                  <c:v>10228.465412138881</c:v>
                </c:pt>
                <c:pt idx="12">
                  <c:v>20456.930824277762</c:v>
                </c:pt>
                <c:pt idx="13">
                  <c:v>40913.861648555525</c:v>
                </c:pt>
                <c:pt idx="14">
                  <c:v>81827.72329711105</c:v>
                </c:pt>
                <c:pt idx="15">
                  <c:v>163655.4465942221</c:v>
                </c:pt>
                <c:pt idx="16">
                  <c:v>327310.8931884442</c:v>
                </c:pt>
                <c:pt idx="17">
                  <c:v>654621.7863768884</c:v>
                </c:pt>
                <c:pt idx="18">
                  <c:v>1309243.5727537768</c:v>
                </c:pt>
                <c:pt idx="19">
                  <c:v>2618487.1455075536</c:v>
                </c:pt>
              </c:numCache>
            </c:numRef>
          </c:val>
          <c:smooth val="0"/>
          <c:extLst>
            <c:ext xmlns:c16="http://schemas.microsoft.com/office/drawing/2014/chart" uri="{C3380CC4-5D6E-409C-BE32-E72D297353CC}">
              <c16:uniqueId val="{00000006-04B6-450D-AD81-6BF382C059D1}"/>
            </c:ext>
          </c:extLst>
        </c:ser>
        <c:ser>
          <c:idx val="8"/>
          <c:order val="4"/>
          <c:tx>
            <c:strRef>
              <c:f>Projections!$A$48</c:f>
              <c:strCache>
                <c:ptCount val="1"/>
                <c:pt idx="0">
                  <c:v>40-49</c:v>
                </c:pt>
              </c:strCache>
            </c:strRef>
          </c:tx>
          <c:spPr>
            <a:ln w="28575" cap="rnd">
              <a:solidFill>
                <a:schemeClr val="accent6">
                  <a:lumMod val="80000"/>
                  <a:lumOff val="2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Projections!$G$48:$AA$48</c15:sqref>
                  </c15:fullRef>
                </c:ext>
              </c:extLst>
              <c:f>Projections!$G$48:$Z$48</c:f>
              <c:numCache>
                <c:formatCode>#,##0</c:formatCode>
                <c:ptCount val="20"/>
                <c:pt idx="0">
                  <c:v>4.1412668963689372</c:v>
                </c:pt>
                <c:pt idx="1">
                  <c:v>8.2825337927378744</c:v>
                </c:pt>
                <c:pt idx="2">
                  <c:v>16.565067585475749</c:v>
                </c:pt>
                <c:pt idx="3">
                  <c:v>33.130135170951498</c:v>
                </c:pt>
                <c:pt idx="4">
                  <c:v>66.260270341902995</c:v>
                </c:pt>
                <c:pt idx="5">
                  <c:v>132.52054068380599</c:v>
                </c:pt>
                <c:pt idx="6">
                  <c:v>265.04108136761198</c:v>
                </c:pt>
                <c:pt idx="7">
                  <c:v>530.08216273522396</c:v>
                </c:pt>
                <c:pt idx="8">
                  <c:v>1060.1643254704479</c:v>
                </c:pt>
                <c:pt idx="9">
                  <c:v>2120.3286509408958</c:v>
                </c:pt>
                <c:pt idx="10">
                  <c:v>4240.6573018817917</c:v>
                </c:pt>
                <c:pt idx="11">
                  <c:v>8481.3146037635834</c:v>
                </c:pt>
                <c:pt idx="12">
                  <c:v>16962.629207527167</c:v>
                </c:pt>
                <c:pt idx="13">
                  <c:v>33925.258415054333</c:v>
                </c:pt>
                <c:pt idx="14">
                  <c:v>67850.516830108667</c:v>
                </c:pt>
                <c:pt idx="15">
                  <c:v>135701.03366021733</c:v>
                </c:pt>
                <c:pt idx="16">
                  <c:v>271402.06732043467</c:v>
                </c:pt>
                <c:pt idx="17">
                  <c:v>542804.13464086934</c:v>
                </c:pt>
                <c:pt idx="18">
                  <c:v>1085608.2692817387</c:v>
                </c:pt>
                <c:pt idx="19">
                  <c:v>2171216.5385634773</c:v>
                </c:pt>
              </c:numCache>
            </c:numRef>
          </c:val>
          <c:smooth val="0"/>
          <c:extLst>
            <c:ext xmlns:c16="http://schemas.microsoft.com/office/drawing/2014/chart" uri="{C3380CC4-5D6E-409C-BE32-E72D297353CC}">
              <c16:uniqueId val="{00000008-04B6-450D-AD81-6BF382C059D1}"/>
            </c:ext>
          </c:extLst>
        </c:ser>
        <c:ser>
          <c:idx val="10"/>
          <c:order val="5"/>
          <c:tx>
            <c:strRef>
              <c:f>Projections!$A$50</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Projections!$G$50:$AA$50</c15:sqref>
                  </c15:fullRef>
                </c:ext>
              </c:extLst>
              <c:f>Projections!$G$50:$Z$50</c:f>
              <c:numCache>
                <c:formatCode>#,##0</c:formatCode>
                <c:ptCount val="20"/>
                <c:pt idx="0">
                  <c:v>4.9446726742645115</c:v>
                </c:pt>
                <c:pt idx="1">
                  <c:v>9.889345348529023</c:v>
                </c:pt>
                <c:pt idx="2">
                  <c:v>19.778690697058046</c:v>
                </c:pt>
                <c:pt idx="3">
                  <c:v>39.557381394116092</c:v>
                </c:pt>
                <c:pt idx="4">
                  <c:v>79.114762788232184</c:v>
                </c:pt>
                <c:pt idx="5">
                  <c:v>158.22952557646437</c:v>
                </c:pt>
                <c:pt idx="6">
                  <c:v>316.45905115292874</c:v>
                </c:pt>
                <c:pt idx="7">
                  <c:v>632.91810230585747</c:v>
                </c:pt>
                <c:pt idx="8">
                  <c:v>1265.8362046117149</c:v>
                </c:pt>
                <c:pt idx="9">
                  <c:v>2531.6724092234299</c:v>
                </c:pt>
                <c:pt idx="10">
                  <c:v>5063.3448184468598</c:v>
                </c:pt>
                <c:pt idx="11">
                  <c:v>10126.68963689372</c:v>
                </c:pt>
                <c:pt idx="12">
                  <c:v>20253.379273787439</c:v>
                </c:pt>
                <c:pt idx="13">
                  <c:v>40506.758547574878</c:v>
                </c:pt>
                <c:pt idx="14">
                  <c:v>81013.517095149757</c:v>
                </c:pt>
                <c:pt idx="15">
                  <c:v>162027.03419029951</c:v>
                </c:pt>
                <c:pt idx="16">
                  <c:v>324054.06838059903</c:v>
                </c:pt>
                <c:pt idx="17">
                  <c:v>648108.13676119805</c:v>
                </c:pt>
                <c:pt idx="18">
                  <c:v>1296216.2735223961</c:v>
                </c:pt>
                <c:pt idx="19">
                  <c:v>2592432.5470447922</c:v>
                </c:pt>
              </c:numCache>
            </c:numRef>
          </c:val>
          <c:smooth val="0"/>
          <c:extLst>
            <c:ext xmlns:c16="http://schemas.microsoft.com/office/drawing/2014/chart" uri="{C3380CC4-5D6E-409C-BE32-E72D297353CC}">
              <c16:uniqueId val="{0000000A-04B6-450D-AD81-6BF382C059D1}"/>
            </c:ext>
          </c:extLst>
        </c:ser>
        <c:ser>
          <c:idx val="12"/>
          <c:order val="6"/>
          <c:tx>
            <c:strRef>
              <c:f>Projections!$A$52</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Projections!$G$52:$AA$52</c15:sqref>
                  </c15:fullRef>
                </c:ext>
              </c:extLst>
              <c:f>Projections!$G$52:$Z$52</c:f>
              <c:numCache>
                <c:formatCode>#,##0</c:formatCode>
                <c:ptCount val="20"/>
                <c:pt idx="0">
                  <c:v>6.3775510204081636</c:v>
                </c:pt>
                <c:pt idx="1">
                  <c:v>12.755102040816327</c:v>
                </c:pt>
                <c:pt idx="2">
                  <c:v>25.510204081632654</c:v>
                </c:pt>
                <c:pt idx="3">
                  <c:v>51.020408163265309</c:v>
                </c:pt>
                <c:pt idx="4">
                  <c:v>102.04081632653062</c:v>
                </c:pt>
                <c:pt idx="5">
                  <c:v>204.08163265306123</c:v>
                </c:pt>
                <c:pt idx="6">
                  <c:v>408.16326530612247</c:v>
                </c:pt>
                <c:pt idx="7">
                  <c:v>816.32653061224494</c:v>
                </c:pt>
                <c:pt idx="8">
                  <c:v>1632.6530612244899</c:v>
                </c:pt>
                <c:pt idx="9">
                  <c:v>3265.3061224489797</c:v>
                </c:pt>
                <c:pt idx="10">
                  <c:v>6530.6122448979595</c:v>
                </c:pt>
                <c:pt idx="11">
                  <c:v>13061.224489795919</c:v>
                </c:pt>
                <c:pt idx="12">
                  <c:v>26122.448979591838</c:v>
                </c:pt>
                <c:pt idx="13">
                  <c:v>52244.897959183676</c:v>
                </c:pt>
                <c:pt idx="14">
                  <c:v>104489.79591836735</c:v>
                </c:pt>
                <c:pt idx="15">
                  <c:v>208979.5918367347</c:v>
                </c:pt>
                <c:pt idx="16">
                  <c:v>417959.18367346941</c:v>
                </c:pt>
                <c:pt idx="17">
                  <c:v>835918.36734693882</c:v>
                </c:pt>
                <c:pt idx="18">
                  <c:v>1671836.7346938776</c:v>
                </c:pt>
                <c:pt idx="19">
                  <c:v>3343673.4693877553</c:v>
                </c:pt>
              </c:numCache>
            </c:numRef>
          </c:val>
          <c:smooth val="0"/>
          <c:extLst>
            <c:ext xmlns:c16="http://schemas.microsoft.com/office/drawing/2014/chart" uri="{C3380CC4-5D6E-409C-BE32-E72D297353CC}">
              <c16:uniqueId val="{0000000C-04B6-450D-AD81-6BF382C059D1}"/>
            </c:ext>
          </c:extLst>
        </c:ser>
        <c:ser>
          <c:idx val="14"/>
          <c:order val="7"/>
          <c:tx>
            <c:strRef>
              <c:f>Projections!$A$54</c:f>
              <c:strCache>
                <c:ptCount val="1"/>
                <c:pt idx="0">
                  <c:v>10-19</c:v>
                </c:pt>
              </c:strCache>
            </c:strRef>
          </c:tx>
          <c:spPr>
            <a:ln w="28575" cap="rnd">
              <a:solidFill>
                <a:schemeClr val="accent6">
                  <a:lumMod val="60000"/>
                  <a:lumOff val="4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Projections!$G$54:$AA$54</c15:sqref>
                  </c15:fullRef>
                </c:ext>
              </c:extLst>
              <c:f>Projections!$G$54:$Z$54</c:f>
              <c:numCache>
                <c:formatCode>#,##0</c:formatCode>
                <c:ptCount val="20"/>
                <c:pt idx="0">
                  <c:v>0.80340577789557377</c:v>
                </c:pt>
                <c:pt idx="1">
                  <c:v>1.6068115557911475</c:v>
                </c:pt>
                <c:pt idx="2">
                  <c:v>3.2136231115822951</c:v>
                </c:pt>
                <c:pt idx="3">
                  <c:v>6.4272462231645902</c:v>
                </c:pt>
                <c:pt idx="4">
                  <c:v>12.85449244632918</c:v>
                </c:pt>
                <c:pt idx="5">
                  <c:v>25.708984892658361</c:v>
                </c:pt>
                <c:pt idx="6">
                  <c:v>51.417969785316721</c:v>
                </c:pt>
                <c:pt idx="7">
                  <c:v>102.83593957063344</c:v>
                </c:pt>
                <c:pt idx="8">
                  <c:v>205.67187914126688</c:v>
                </c:pt>
                <c:pt idx="9">
                  <c:v>411.34375828253377</c:v>
                </c:pt>
                <c:pt idx="10">
                  <c:v>822.68751656506754</c:v>
                </c:pt>
                <c:pt idx="11">
                  <c:v>1645.3750331301351</c:v>
                </c:pt>
                <c:pt idx="12">
                  <c:v>3290.7500662602702</c:v>
                </c:pt>
                <c:pt idx="13">
                  <c:v>6581.5001325205403</c:v>
                </c:pt>
                <c:pt idx="14">
                  <c:v>13163.000265041081</c:v>
                </c:pt>
                <c:pt idx="15">
                  <c:v>26326.000530082161</c:v>
                </c:pt>
                <c:pt idx="16">
                  <c:v>52652.001060164323</c:v>
                </c:pt>
                <c:pt idx="17">
                  <c:v>105304.00212032865</c:v>
                </c:pt>
                <c:pt idx="18">
                  <c:v>210608.00424065729</c:v>
                </c:pt>
                <c:pt idx="19">
                  <c:v>421216.00848131458</c:v>
                </c:pt>
              </c:numCache>
            </c:numRef>
          </c:val>
          <c:smooth val="0"/>
          <c:extLst>
            <c:ext xmlns:c16="http://schemas.microsoft.com/office/drawing/2014/chart" uri="{C3380CC4-5D6E-409C-BE32-E72D297353CC}">
              <c16:uniqueId val="{0000000E-04B6-450D-AD81-6BF382C059D1}"/>
            </c:ext>
          </c:extLst>
        </c:ser>
        <c:ser>
          <c:idx val="16"/>
          <c:order val="8"/>
          <c:tx>
            <c:strRef>
              <c:f>Projections!$A$56</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Projections!$G$56:$AA$56</c15:sqref>
                  </c15:fullRef>
                </c:ext>
              </c:extLst>
              <c:f>Projections!$G$56:$Z$56</c:f>
              <c:numCache>
                <c:formatCode>#,##0</c:formatCode>
                <c:ptCount val="20"/>
                <c:pt idx="0">
                  <c:v>0.22362841240392262</c:v>
                </c:pt>
                <c:pt idx="1">
                  <c:v>0.44725682480784523</c:v>
                </c:pt>
                <c:pt idx="2">
                  <c:v>0.89451364961569046</c:v>
                </c:pt>
                <c:pt idx="3">
                  <c:v>1.7890272992313809</c:v>
                </c:pt>
                <c:pt idx="4">
                  <c:v>3.5780545984627619</c:v>
                </c:pt>
                <c:pt idx="5">
                  <c:v>7.1561091969255237</c:v>
                </c:pt>
                <c:pt idx="6">
                  <c:v>14.312218393851047</c:v>
                </c:pt>
                <c:pt idx="7">
                  <c:v>28.624436787702095</c:v>
                </c:pt>
                <c:pt idx="8">
                  <c:v>57.24887357540419</c:v>
                </c:pt>
                <c:pt idx="9">
                  <c:v>114.49774715080838</c:v>
                </c:pt>
                <c:pt idx="10">
                  <c:v>228.99549430161676</c:v>
                </c:pt>
                <c:pt idx="11">
                  <c:v>457.99098860323352</c:v>
                </c:pt>
                <c:pt idx="12">
                  <c:v>915.98197720646704</c:v>
                </c:pt>
                <c:pt idx="13">
                  <c:v>1831.9639544129341</c:v>
                </c:pt>
                <c:pt idx="14">
                  <c:v>3663.9279088258681</c:v>
                </c:pt>
                <c:pt idx="15">
                  <c:v>7327.8558176517363</c:v>
                </c:pt>
                <c:pt idx="16">
                  <c:v>14655.711635303473</c:v>
                </c:pt>
                <c:pt idx="17">
                  <c:v>29311.423270606945</c:v>
                </c:pt>
                <c:pt idx="18">
                  <c:v>58622.84654121389</c:v>
                </c:pt>
                <c:pt idx="19">
                  <c:v>117245.69308242778</c:v>
                </c:pt>
              </c:numCache>
            </c:numRef>
          </c:val>
          <c:smooth val="0"/>
          <c:extLst>
            <c:ext xmlns:c16="http://schemas.microsoft.com/office/drawing/2014/chart" uri="{C3380CC4-5D6E-409C-BE32-E72D297353CC}">
              <c16:uniqueId val="{00000010-04B6-450D-AD81-6BF382C059D1}"/>
            </c:ext>
          </c:extLst>
        </c:ser>
        <c:dLbls>
          <c:showLegendKey val="0"/>
          <c:showVal val="0"/>
          <c:showCatName val="0"/>
          <c:showSerName val="0"/>
          <c:showPercent val="0"/>
          <c:showBubbleSize val="0"/>
        </c:dLbls>
        <c:smooth val="0"/>
        <c:axId val="594920464"/>
        <c:axId val="585298016"/>
      </c:lineChart>
      <c:dateAx>
        <c:axId val="59492046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98016"/>
        <c:crosses val="autoZero"/>
        <c:auto val="1"/>
        <c:lblOffset val="100"/>
        <c:baseTimeUnit val="days"/>
      </c:dateAx>
      <c:valAx>
        <c:axId val="5852980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Projections!$A$40</c:f>
              <c:strCache>
                <c:ptCount val="1"/>
                <c:pt idx="0">
                  <c:v>80+</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Projections!$G$41:$AA$41</c15:sqref>
                  </c15:fullRef>
                </c:ext>
              </c:extLst>
              <c:f>Projections!$G$41:$Z$41</c:f>
              <c:numCache>
                <c:formatCode>#,##0</c:formatCode>
                <c:ptCount val="20"/>
                <c:pt idx="0">
                  <c:v>0.12503313013517092</c:v>
                </c:pt>
                <c:pt idx="1">
                  <c:v>0.25006626027034184</c:v>
                </c:pt>
                <c:pt idx="2">
                  <c:v>0.50013252054068369</c:v>
                </c:pt>
                <c:pt idx="3">
                  <c:v>1.0002650410813674</c:v>
                </c:pt>
                <c:pt idx="4">
                  <c:v>2.0005300821627348</c:v>
                </c:pt>
                <c:pt idx="5">
                  <c:v>4.0010601643254695</c:v>
                </c:pt>
                <c:pt idx="6">
                  <c:v>8.002120328650939</c:v>
                </c:pt>
                <c:pt idx="7">
                  <c:v>16.004240657301878</c:v>
                </c:pt>
                <c:pt idx="8">
                  <c:v>32.008481314603756</c:v>
                </c:pt>
                <c:pt idx="9">
                  <c:v>64.016962629207512</c:v>
                </c:pt>
                <c:pt idx="10">
                  <c:v>128.03392525841502</c:v>
                </c:pt>
                <c:pt idx="11">
                  <c:v>256.06785051683005</c:v>
                </c:pt>
                <c:pt idx="12">
                  <c:v>512.1357010336601</c:v>
                </c:pt>
                <c:pt idx="13">
                  <c:v>1024.2714020673202</c:v>
                </c:pt>
                <c:pt idx="14">
                  <c:v>2048.5428041346404</c:v>
                </c:pt>
                <c:pt idx="15">
                  <c:v>4097.0856082692808</c:v>
                </c:pt>
                <c:pt idx="16">
                  <c:v>8194.1712165385616</c:v>
                </c:pt>
                <c:pt idx="17">
                  <c:v>16388.342433077123</c:v>
                </c:pt>
                <c:pt idx="18">
                  <c:v>32776.684866154246</c:v>
                </c:pt>
                <c:pt idx="19">
                  <c:v>65553.369732308493</c:v>
                </c:pt>
              </c:numCache>
            </c:numRef>
          </c:val>
          <c:smooth val="0"/>
          <c:extLst>
            <c:ext xmlns:c16="http://schemas.microsoft.com/office/drawing/2014/chart" uri="{C3380CC4-5D6E-409C-BE32-E72D297353CC}">
              <c16:uniqueId val="{00000001-EBAD-48A5-9277-83F388186C0C}"/>
            </c:ext>
          </c:extLst>
        </c:ser>
        <c:ser>
          <c:idx val="3"/>
          <c:order val="1"/>
          <c:tx>
            <c:strRef>
              <c:f>Projections!$A$42</c:f>
              <c:strCache>
                <c:ptCount val="1"/>
                <c:pt idx="0">
                  <c:v>70-79</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Projections!$G$43:$AA$43</c15:sqref>
                  </c15:fullRef>
                </c:ext>
              </c:extLst>
              <c:f>Projections!$G$43:$Z$43</c:f>
              <c:numCache>
                <c:formatCode>#,##0</c:formatCode>
                <c:ptCount val="20"/>
                <c:pt idx="0">
                  <c:v>0.28160614895308772</c:v>
                </c:pt>
                <c:pt idx="1">
                  <c:v>0.56321229790617544</c:v>
                </c:pt>
                <c:pt idx="2">
                  <c:v>1.1264245958123509</c:v>
                </c:pt>
                <c:pt idx="3">
                  <c:v>2.2528491916247018</c:v>
                </c:pt>
                <c:pt idx="4">
                  <c:v>4.5056983832494035</c:v>
                </c:pt>
                <c:pt idx="5">
                  <c:v>9.0113967664988071</c:v>
                </c:pt>
                <c:pt idx="6">
                  <c:v>18.022793532997614</c:v>
                </c:pt>
                <c:pt idx="7">
                  <c:v>36.045587065995228</c:v>
                </c:pt>
                <c:pt idx="8">
                  <c:v>72.091174131990456</c:v>
                </c:pt>
                <c:pt idx="9">
                  <c:v>144.18234826398091</c:v>
                </c:pt>
                <c:pt idx="10">
                  <c:v>288.36469652796183</c:v>
                </c:pt>
                <c:pt idx="11">
                  <c:v>576.72939305592365</c:v>
                </c:pt>
                <c:pt idx="12">
                  <c:v>1153.4587861118473</c:v>
                </c:pt>
                <c:pt idx="13">
                  <c:v>2306.9175722236946</c:v>
                </c:pt>
                <c:pt idx="14">
                  <c:v>4613.8351444473892</c:v>
                </c:pt>
                <c:pt idx="15">
                  <c:v>9227.6702888947784</c:v>
                </c:pt>
                <c:pt idx="16">
                  <c:v>18455.340577789557</c:v>
                </c:pt>
                <c:pt idx="17">
                  <c:v>36910.681155579114</c:v>
                </c:pt>
                <c:pt idx="18">
                  <c:v>73821.362311158227</c:v>
                </c:pt>
                <c:pt idx="19">
                  <c:v>147642.72462231645</c:v>
                </c:pt>
              </c:numCache>
            </c:numRef>
          </c:val>
          <c:smooth val="0"/>
          <c:extLst>
            <c:ext xmlns:c16="http://schemas.microsoft.com/office/drawing/2014/chart" uri="{C3380CC4-5D6E-409C-BE32-E72D297353CC}">
              <c16:uniqueId val="{00000003-EBAD-48A5-9277-83F388186C0C}"/>
            </c:ext>
          </c:extLst>
        </c:ser>
        <c:ser>
          <c:idx val="5"/>
          <c:order val="2"/>
          <c:tx>
            <c:strRef>
              <c:f>Projections!$A$44</c:f>
              <c:strCache>
                <c:ptCount val="1"/>
                <c:pt idx="0">
                  <c:v>60-69</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Projections!$G$45:$AA$45</c15:sqref>
                  </c15:fullRef>
                </c:ext>
              </c:extLst>
              <c:f>Projections!$G$45:$Z$45</c:f>
              <c:numCache>
                <c:formatCode>#,##0</c:formatCode>
                <c:ptCount val="20"/>
                <c:pt idx="0">
                  <c:v>0.19440763318314339</c:v>
                </c:pt>
                <c:pt idx="1">
                  <c:v>0.38881526636628677</c:v>
                </c:pt>
                <c:pt idx="2">
                  <c:v>0.77763053273257354</c:v>
                </c:pt>
                <c:pt idx="3">
                  <c:v>1.5552610654651471</c:v>
                </c:pt>
                <c:pt idx="4">
                  <c:v>3.1105221309302942</c:v>
                </c:pt>
                <c:pt idx="5">
                  <c:v>6.2210442618605883</c:v>
                </c:pt>
                <c:pt idx="6">
                  <c:v>12.442088523721177</c:v>
                </c:pt>
                <c:pt idx="7">
                  <c:v>24.884177047442353</c:v>
                </c:pt>
                <c:pt idx="8">
                  <c:v>49.768354094884707</c:v>
                </c:pt>
                <c:pt idx="9">
                  <c:v>99.536708189769413</c:v>
                </c:pt>
                <c:pt idx="10">
                  <c:v>199.07341637953883</c:v>
                </c:pt>
                <c:pt idx="11">
                  <c:v>398.14683275907765</c:v>
                </c:pt>
                <c:pt idx="12">
                  <c:v>796.29366551815531</c:v>
                </c:pt>
                <c:pt idx="13">
                  <c:v>1592.5873310363106</c:v>
                </c:pt>
                <c:pt idx="14">
                  <c:v>3185.1746620726212</c:v>
                </c:pt>
                <c:pt idx="15">
                  <c:v>6370.3493241452425</c:v>
                </c:pt>
                <c:pt idx="16">
                  <c:v>12740.698648290485</c:v>
                </c:pt>
                <c:pt idx="17">
                  <c:v>25481.39729658097</c:v>
                </c:pt>
                <c:pt idx="18">
                  <c:v>50962.79459316194</c:v>
                </c:pt>
                <c:pt idx="19">
                  <c:v>101925.58918632388</c:v>
                </c:pt>
              </c:numCache>
            </c:numRef>
          </c:val>
          <c:smooth val="0"/>
          <c:extLst>
            <c:ext xmlns:c16="http://schemas.microsoft.com/office/drawing/2014/chart" uri="{C3380CC4-5D6E-409C-BE32-E72D297353CC}">
              <c16:uniqueId val="{00000005-EBAD-48A5-9277-83F388186C0C}"/>
            </c:ext>
          </c:extLst>
        </c:ser>
        <c:ser>
          <c:idx val="7"/>
          <c:order val="3"/>
          <c:tx>
            <c:strRef>
              <c:f>Projections!$A$46</c:f>
              <c:strCache>
                <c:ptCount val="1"/>
                <c:pt idx="0">
                  <c:v>50-59</c:v>
                </c:pt>
              </c:strCache>
            </c:strRef>
          </c:tx>
          <c:spPr>
            <a:ln w="28575" cap="rnd">
              <a:solidFill>
                <a:schemeClr val="accent1">
                  <a:lumMod val="60000"/>
                  <a:lumOff val="4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Projections!$G$47:$AA$47</c15:sqref>
                  </c15:fullRef>
                </c:ext>
              </c:extLst>
              <c:f>Projections!$G$47:$Z$47</c:f>
              <c:numCache>
                <c:formatCode>#,##0</c:formatCode>
                <c:ptCount val="20"/>
                <c:pt idx="0">
                  <c:v>6.4926782401272198E-2</c:v>
                </c:pt>
                <c:pt idx="1">
                  <c:v>0.1298535648025444</c:v>
                </c:pt>
                <c:pt idx="2">
                  <c:v>0.25970712960508879</c:v>
                </c:pt>
                <c:pt idx="3">
                  <c:v>0.51941425921017759</c:v>
                </c:pt>
                <c:pt idx="4">
                  <c:v>1.0388285184203552</c:v>
                </c:pt>
                <c:pt idx="5">
                  <c:v>2.0776570368407103</c:v>
                </c:pt>
                <c:pt idx="6">
                  <c:v>4.1553140736814207</c:v>
                </c:pt>
                <c:pt idx="7">
                  <c:v>8.3106281473628414</c:v>
                </c:pt>
                <c:pt idx="8">
                  <c:v>16.621256294725683</c:v>
                </c:pt>
                <c:pt idx="9">
                  <c:v>33.242512589451366</c:v>
                </c:pt>
                <c:pt idx="10">
                  <c:v>66.485025178902731</c:v>
                </c:pt>
                <c:pt idx="11">
                  <c:v>132.97005035780546</c:v>
                </c:pt>
                <c:pt idx="12">
                  <c:v>265.94010071561092</c:v>
                </c:pt>
                <c:pt idx="13">
                  <c:v>531.88020143122185</c:v>
                </c:pt>
                <c:pt idx="14">
                  <c:v>1063.7604028624437</c:v>
                </c:pt>
                <c:pt idx="15">
                  <c:v>2127.5208057248874</c:v>
                </c:pt>
                <c:pt idx="16">
                  <c:v>4255.0416114497748</c:v>
                </c:pt>
                <c:pt idx="17">
                  <c:v>8510.0832228995496</c:v>
                </c:pt>
                <c:pt idx="18">
                  <c:v>17020.166445799099</c:v>
                </c:pt>
                <c:pt idx="19">
                  <c:v>34040.332891598198</c:v>
                </c:pt>
              </c:numCache>
            </c:numRef>
          </c:val>
          <c:smooth val="0"/>
          <c:extLst>
            <c:ext xmlns:c16="http://schemas.microsoft.com/office/drawing/2014/chart" uri="{C3380CC4-5D6E-409C-BE32-E72D297353CC}">
              <c16:uniqueId val="{00000007-EBAD-48A5-9277-83F388186C0C}"/>
            </c:ext>
          </c:extLst>
        </c:ser>
        <c:ser>
          <c:idx val="9"/>
          <c:order val="4"/>
          <c:tx>
            <c:strRef>
              <c:f>Projections!$A$48</c:f>
              <c:strCache>
                <c:ptCount val="1"/>
                <c:pt idx="0">
                  <c:v>40-49</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Projections!$G$49:$AA$49</c15:sqref>
                  </c15:fullRef>
                </c:ext>
              </c:extLst>
              <c:f>Projections!$G$49:$Z$49</c:f>
              <c:numCache>
                <c:formatCode>#,##0</c:formatCode>
                <c:ptCount val="20"/>
                <c:pt idx="0">
                  <c:v>1.6565067585475751E-2</c:v>
                </c:pt>
                <c:pt idx="1">
                  <c:v>3.3130135170951501E-2</c:v>
                </c:pt>
                <c:pt idx="2">
                  <c:v>6.6260270341903002E-2</c:v>
                </c:pt>
                <c:pt idx="3">
                  <c:v>0.132520540683806</c:v>
                </c:pt>
                <c:pt idx="4">
                  <c:v>0.26504108136761201</c:v>
                </c:pt>
                <c:pt idx="5">
                  <c:v>0.53008216273522402</c:v>
                </c:pt>
                <c:pt idx="6">
                  <c:v>1.060164325470448</c:v>
                </c:pt>
                <c:pt idx="7">
                  <c:v>2.1203286509408961</c:v>
                </c:pt>
                <c:pt idx="8">
                  <c:v>4.2406573018817921</c:v>
                </c:pt>
                <c:pt idx="9">
                  <c:v>8.4813146037635843</c:v>
                </c:pt>
                <c:pt idx="10">
                  <c:v>16.962629207527169</c:v>
                </c:pt>
                <c:pt idx="11">
                  <c:v>33.925258415054337</c:v>
                </c:pt>
                <c:pt idx="12">
                  <c:v>67.850516830108674</c:v>
                </c:pt>
                <c:pt idx="13">
                  <c:v>135.70103366021735</c:v>
                </c:pt>
                <c:pt idx="14">
                  <c:v>271.4020673204347</c:v>
                </c:pt>
                <c:pt idx="15">
                  <c:v>542.80413464086939</c:v>
                </c:pt>
                <c:pt idx="16">
                  <c:v>1085.6082692817388</c:v>
                </c:pt>
                <c:pt idx="17">
                  <c:v>2171.2165385634776</c:v>
                </c:pt>
                <c:pt idx="18">
                  <c:v>4342.4330771269551</c:v>
                </c:pt>
                <c:pt idx="19">
                  <c:v>8684.8661542539103</c:v>
                </c:pt>
              </c:numCache>
            </c:numRef>
          </c:val>
          <c:smooth val="0"/>
          <c:extLst>
            <c:ext xmlns:c16="http://schemas.microsoft.com/office/drawing/2014/chart" uri="{C3380CC4-5D6E-409C-BE32-E72D297353CC}">
              <c16:uniqueId val="{00000009-EBAD-48A5-9277-83F388186C0C}"/>
            </c:ext>
          </c:extLst>
        </c:ser>
        <c:ser>
          <c:idx val="11"/>
          <c:order val="5"/>
          <c:tx>
            <c:strRef>
              <c:f>Projections!$A$50</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Projections!$G$51:$AA$51</c15:sqref>
                  </c15:fullRef>
                </c:ext>
              </c:extLst>
              <c:f>Projections!$G$51:$Z$51</c:f>
              <c:numCache>
                <c:formatCode>#,##0</c:formatCode>
                <c:ptCount val="20"/>
                <c:pt idx="0">
                  <c:v>9.8893453485290224E-3</c:v>
                </c:pt>
                <c:pt idx="1">
                  <c:v>1.9778690697058045E-2</c:v>
                </c:pt>
                <c:pt idx="2">
                  <c:v>3.955738139411609E-2</c:v>
                </c:pt>
                <c:pt idx="3">
                  <c:v>7.9114762788232179E-2</c:v>
                </c:pt>
                <c:pt idx="4">
                  <c:v>0.15822952557646436</c:v>
                </c:pt>
                <c:pt idx="5">
                  <c:v>0.31645905115292872</c:v>
                </c:pt>
                <c:pt idx="6">
                  <c:v>0.63291810230585743</c:v>
                </c:pt>
                <c:pt idx="7">
                  <c:v>1.2658362046117149</c:v>
                </c:pt>
                <c:pt idx="8">
                  <c:v>2.5316724092234297</c:v>
                </c:pt>
                <c:pt idx="9">
                  <c:v>5.0633448184468595</c:v>
                </c:pt>
                <c:pt idx="10">
                  <c:v>10.126689636893719</c:v>
                </c:pt>
                <c:pt idx="11">
                  <c:v>20.253379273787438</c:v>
                </c:pt>
                <c:pt idx="12">
                  <c:v>40.506758547574876</c:v>
                </c:pt>
                <c:pt idx="13">
                  <c:v>81.013517095149751</c:v>
                </c:pt>
                <c:pt idx="14">
                  <c:v>162.0270341902995</c:v>
                </c:pt>
                <c:pt idx="15">
                  <c:v>324.05406838059901</c:v>
                </c:pt>
                <c:pt idx="16">
                  <c:v>648.10813676119801</c:v>
                </c:pt>
                <c:pt idx="17">
                  <c:v>1296.216273522396</c:v>
                </c:pt>
                <c:pt idx="18">
                  <c:v>2592.432547044792</c:v>
                </c:pt>
                <c:pt idx="19">
                  <c:v>5184.8650940895841</c:v>
                </c:pt>
              </c:numCache>
            </c:numRef>
          </c:val>
          <c:smooth val="0"/>
          <c:extLst>
            <c:ext xmlns:c16="http://schemas.microsoft.com/office/drawing/2014/chart" uri="{C3380CC4-5D6E-409C-BE32-E72D297353CC}">
              <c16:uniqueId val="{0000000B-EBAD-48A5-9277-83F388186C0C}"/>
            </c:ext>
          </c:extLst>
        </c:ser>
        <c:ser>
          <c:idx val="13"/>
          <c:order val="6"/>
          <c:tx>
            <c:strRef>
              <c:f>Projections!$A$52</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Projections!$G$53:$AA$53</c15:sqref>
                  </c15:fullRef>
                </c:ext>
              </c:extLst>
              <c:f>Projections!$G$53:$Z$53</c:f>
              <c:numCache>
                <c:formatCode>#,##0</c:formatCode>
                <c:ptCount val="20"/>
                <c:pt idx="0">
                  <c:v>1.2755102040816327E-2</c:v>
                </c:pt>
                <c:pt idx="1">
                  <c:v>2.5510204081632654E-2</c:v>
                </c:pt>
                <c:pt idx="2">
                  <c:v>5.1020408163265307E-2</c:v>
                </c:pt>
                <c:pt idx="3">
                  <c:v>0.10204081632653061</c:v>
                </c:pt>
                <c:pt idx="4">
                  <c:v>0.20408163265306123</c:v>
                </c:pt>
                <c:pt idx="5">
                  <c:v>0.40816326530612246</c:v>
                </c:pt>
                <c:pt idx="6">
                  <c:v>0.81632653061224492</c:v>
                </c:pt>
                <c:pt idx="7">
                  <c:v>1.6326530612244898</c:v>
                </c:pt>
                <c:pt idx="8">
                  <c:v>3.2653061224489797</c:v>
                </c:pt>
                <c:pt idx="9">
                  <c:v>6.5306122448979593</c:v>
                </c:pt>
                <c:pt idx="10">
                  <c:v>13.061224489795919</c:v>
                </c:pt>
                <c:pt idx="11">
                  <c:v>26.122448979591837</c:v>
                </c:pt>
                <c:pt idx="12">
                  <c:v>52.244897959183675</c:v>
                </c:pt>
                <c:pt idx="13">
                  <c:v>104.48979591836735</c:v>
                </c:pt>
                <c:pt idx="14">
                  <c:v>208.9795918367347</c:v>
                </c:pt>
                <c:pt idx="15">
                  <c:v>417.9591836734694</c:v>
                </c:pt>
                <c:pt idx="16">
                  <c:v>835.91836734693879</c:v>
                </c:pt>
                <c:pt idx="17">
                  <c:v>1671.8367346938776</c:v>
                </c:pt>
                <c:pt idx="18">
                  <c:v>3343.6734693877552</c:v>
                </c:pt>
                <c:pt idx="19">
                  <c:v>6687.3469387755104</c:v>
                </c:pt>
              </c:numCache>
            </c:numRef>
          </c:val>
          <c:smooth val="0"/>
          <c:extLst>
            <c:ext xmlns:c16="http://schemas.microsoft.com/office/drawing/2014/chart" uri="{C3380CC4-5D6E-409C-BE32-E72D297353CC}">
              <c16:uniqueId val="{0000000D-EBAD-48A5-9277-83F388186C0C}"/>
            </c:ext>
          </c:extLst>
        </c:ser>
        <c:ser>
          <c:idx val="15"/>
          <c:order val="7"/>
          <c:tx>
            <c:strRef>
              <c:f>Projections!$A$54</c:f>
              <c:strCache>
                <c:ptCount val="1"/>
                <c:pt idx="0">
                  <c:v>10-19</c:v>
                </c:pt>
              </c:strCache>
            </c:strRef>
          </c:tx>
          <c:spPr>
            <a:ln w="28575" cap="rnd">
              <a:solidFill>
                <a:srgbClr val="92D05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Projections!$G$55:$AA$55</c15:sqref>
                  </c15:fullRef>
                </c:ext>
              </c:extLst>
              <c:f>Projections!$G$55:$Z$55</c:f>
              <c:numCache>
                <c:formatCode>#,##0</c:formatCode>
                <c:ptCount val="20"/>
                <c:pt idx="0">
                  <c:v>1.6068115557911476E-3</c:v>
                </c:pt>
                <c:pt idx="1">
                  <c:v>3.2136231115822951E-3</c:v>
                </c:pt>
                <c:pt idx="2">
                  <c:v>6.4272462231645903E-3</c:v>
                </c:pt>
                <c:pt idx="3">
                  <c:v>1.2854492446329181E-2</c:v>
                </c:pt>
                <c:pt idx="4">
                  <c:v>2.5708984892658361E-2</c:v>
                </c:pt>
                <c:pt idx="5">
                  <c:v>5.1417969785316722E-2</c:v>
                </c:pt>
                <c:pt idx="6">
                  <c:v>0.10283593957063344</c:v>
                </c:pt>
                <c:pt idx="7">
                  <c:v>0.20567187914126689</c:v>
                </c:pt>
                <c:pt idx="8">
                  <c:v>0.41134375828253378</c:v>
                </c:pt>
                <c:pt idx="9">
                  <c:v>0.82268751656506756</c:v>
                </c:pt>
                <c:pt idx="10">
                  <c:v>1.6453750331301351</c:v>
                </c:pt>
                <c:pt idx="11">
                  <c:v>3.2907500662602702</c:v>
                </c:pt>
                <c:pt idx="12">
                  <c:v>6.5815001325205404</c:v>
                </c:pt>
                <c:pt idx="13">
                  <c:v>13.163000265041081</c:v>
                </c:pt>
                <c:pt idx="14">
                  <c:v>26.326000530082162</c:v>
                </c:pt>
                <c:pt idx="15">
                  <c:v>52.652001060164324</c:v>
                </c:pt>
                <c:pt idx="16">
                  <c:v>105.30400212032865</c:v>
                </c:pt>
                <c:pt idx="17">
                  <c:v>210.60800424065729</c:v>
                </c:pt>
                <c:pt idx="18">
                  <c:v>421.21600848131459</c:v>
                </c:pt>
                <c:pt idx="19">
                  <c:v>842.43201696262918</c:v>
                </c:pt>
              </c:numCache>
            </c:numRef>
          </c:val>
          <c:smooth val="0"/>
          <c:extLst>
            <c:ext xmlns:c16="http://schemas.microsoft.com/office/drawing/2014/chart" uri="{C3380CC4-5D6E-409C-BE32-E72D297353CC}">
              <c16:uniqueId val="{0000000F-EBAD-48A5-9277-83F388186C0C}"/>
            </c:ext>
          </c:extLst>
        </c:ser>
        <c:ser>
          <c:idx val="17"/>
          <c:order val="8"/>
          <c:tx>
            <c:strRef>
              <c:f>Projections!$A$56</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Projections!$G$57:$AA$57</c15:sqref>
                  </c15:fullRef>
                </c:ext>
              </c:extLst>
              <c:f>Projections!$G$57:$Z$57</c:f>
              <c:numCache>
                <c:formatCode>#,##0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11-EBAD-48A5-9277-83F388186C0C}"/>
            </c:ext>
          </c:extLst>
        </c:ser>
        <c:dLbls>
          <c:showLegendKey val="0"/>
          <c:showVal val="0"/>
          <c:showCatName val="0"/>
          <c:showSerName val="0"/>
          <c:showPercent val="0"/>
          <c:showBubbleSize val="0"/>
        </c:dLbls>
        <c:smooth val="0"/>
        <c:axId val="677647896"/>
        <c:axId val="677648224"/>
      </c:lineChart>
      <c:dateAx>
        <c:axId val="677647896"/>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8224"/>
        <c:crosses val="autoZero"/>
        <c:auto val="1"/>
        <c:lblOffset val="100"/>
        <c:baseTimeUnit val="days"/>
      </c:dateAx>
      <c:valAx>
        <c:axId val="677648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Cumulative Infections</a:t>
            </a:r>
            <a:r>
              <a:rPr lang="en-AU" baseline="0"/>
              <a:t>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6"/>
          <c:order val="0"/>
          <c:tx>
            <c:strRef>
              <c:f>Projections!$A$69</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Projections!$G$69:$AA$69</c15:sqref>
                  </c15:fullRef>
                </c:ext>
              </c:extLst>
              <c:f>Projections!$G$69:$Z$69</c:f>
              <c:numCache>
                <c:formatCode>#,##0</c:formatCode>
                <c:ptCount val="20"/>
                <c:pt idx="0">
                  <c:v>10.53125</c:v>
                </c:pt>
                <c:pt idx="1">
                  <c:v>21.0625</c:v>
                </c:pt>
                <c:pt idx="2">
                  <c:v>42.125</c:v>
                </c:pt>
                <c:pt idx="3">
                  <c:v>84.25</c:v>
                </c:pt>
                <c:pt idx="4">
                  <c:v>168.5</c:v>
                </c:pt>
                <c:pt idx="5">
                  <c:v>337</c:v>
                </c:pt>
                <c:pt idx="6">
                  <c:v>674</c:v>
                </c:pt>
                <c:pt idx="7">
                  <c:v>1348</c:v>
                </c:pt>
                <c:pt idx="8">
                  <c:v>2696</c:v>
                </c:pt>
                <c:pt idx="9">
                  <c:v>5392</c:v>
                </c:pt>
                <c:pt idx="10">
                  <c:v>10784</c:v>
                </c:pt>
                <c:pt idx="11">
                  <c:v>21568</c:v>
                </c:pt>
                <c:pt idx="12">
                  <c:v>43136</c:v>
                </c:pt>
                <c:pt idx="13">
                  <c:v>86272</c:v>
                </c:pt>
                <c:pt idx="14">
                  <c:v>172544</c:v>
                </c:pt>
                <c:pt idx="15">
                  <c:v>345088</c:v>
                </c:pt>
                <c:pt idx="16">
                  <c:v>690176</c:v>
                </c:pt>
                <c:pt idx="17">
                  <c:v>1380352</c:v>
                </c:pt>
                <c:pt idx="18">
                  <c:v>2760704</c:v>
                </c:pt>
                <c:pt idx="19">
                  <c:v>5521408</c:v>
                </c:pt>
              </c:numCache>
            </c:numRef>
          </c:val>
          <c:smooth val="0"/>
          <c:extLst>
            <c:ext xmlns:c16="http://schemas.microsoft.com/office/drawing/2014/chart" uri="{C3380CC4-5D6E-409C-BE32-E72D297353CC}">
              <c16:uniqueId val="{0000001E-05DD-4DD4-A5B5-12D162507280}"/>
            </c:ext>
          </c:extLst>
        </c:ser>
        <c:ser>
          <c:idx val="4"/>
          <c:order val="1"/>
          <c:tx>
            <c:strRef>
              <c:f>Projections!$A$67</c:f>
              <c:strCache>
                <c:ptCount val="1"/>
                <c:pt idx="0">
                  <c:v>Chronic Respiratory Disease</c:v>
                </c:pt>
              </c:strCache>
            </c:strRef>
          </c:tx>
          <c:spPr>
            <a:ln w="28575" cap="rnd">
              <a:solidFill>
                <a:schemeClr val="accent6">
                  <a:lumMod val="75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Projections!$G$67:$AA$67</c15:sqref>
                  </c15:fullRef>
                </c:ext>
              </c:extLst>
              <c:f>Projections!$G$67:$Z$67</c:f>
              <c:numCache>
                <c:formatCode>#,##0</c:formatCode>
                <c:ptCount val="20"/>
                <c:pt idx="0">
                  <c:v>9.6875</c:v>
                </c:pt>
                <c:pt idx="1">
                  <c:v>19.375</c:v>
                </c:pt>
                <c:pt idx="2">
                  <c:v>38.75</c:v>
                </c:pt>
                <c:pt idx="3">
                  <c:v>77.5</c:v>
                </c:pt>
                <c:pt idx="4">
                  <c:v>155</c:v>
                </c:pt>
                <c:pt idx="5">
                  <c:v>310</c:v>
                </c:pt>
                <c:pt idx="6">
                  <c:v>620</c:v>
                </c:pt>
                <c:pt idx="7">
                  <c:v>1240</c:v>
                </c:pt>
                <c:pt idx="8">
                  <c:v>2480</c:v>
                </c:pt>
                <c:pt idx="9">
                  <c:v>4960</c:v>
                </c:pt>
                <c:pt idx="10">
                  <c:v>9920</c:v>
                </c:pt>
                <c:pt idx="11">
                  <c:v>19840</c:v>
                </c:pt>
                <c:pt idx="12">
                  <c:v>39680</c:v>
                </c:pt>
                <c:pt idx="13">
                  <c:v>79360</c:v>
                </c:pt>
                <c:pt idx="14">
                  <c:v>158720</c:v>
                </c:pt>
                <c:pt idx="15">
                  <c:v>317440</c:v>
                </c:pt>
                <c:pt idx="16">
                  <c:v>634880</c:v>
                </c:pt>
                <c:pt idx="17">
                  <c:v>1269760</c:v>
                </c:pt>
                <c:pt idx="18">
                  <c:v>2539520</c:v>
                </c:pt>
                <c:pt idx="19">
                  <c:v>5079040</c:v>
                </c:pt>
              </c:numCache>
            </c:numRef>
          </c:val>
          <c:smooth val="0"/>
          <c:extLst>
            <c:ext xmlns:c16="http://schemas.microsoft.com/office/drawing/2014/chart" uri="{C3380CC4-5D6E-409C-BE32-E72D297353CC}">
              <c16:uniqueId val="{0000001C-05DD-4DD4-A5B5-12D162507280}"/>
            </c:ext>
          </c:extLst>
        </c:ser>
        <c:ser>
          <c:idx val="10"/>
          <c:order val="2"/>
          <c:tx>
            <c:strRef>
              <c:f>Projections!$A$73</c:f>
              <c:strCache>
                <c:ptCount val="1"/>
                <c:pt idx="0">
                  <c:v>Smoking</c:v>
                </c:pt>
              </c:strCache>
            </c:strRef>
          </c:tx>
          <c:spPr>
            <a:ln w="28575" cap="rnd">
              <a:solidFill>
                <a:schemeClr val="accent4">
                  <a:lumMod val="8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Projections!$G$73:$AA$73</c15:sqref>
                  </c15:fullRef>
                </c:ext>
              </c:extLst>
              <c:f>Projections!$G$73:$Z$73</c:f>
              <c:numCache>
                <c:formatCode>#,##0</c:formatCode>
                <c:ptCount val="20"/>
                <c:pt idx="0">
                  <c:v>5.03125</c:v>
                </c:pt>
                <c:pt idx="1">
                  <c:v>10.0625</c:v>
                </c:pt>
                <c:pt idx="2">
                  <c:v>20.125</c:v>
                </c:pt>
                <c:pt idx="3">
                  <c:v>40.25</c:v>
                </c:pt>
                <c:pt idx="4">
                  <c:v>80.5</c:v>
                </c:pt>
                <c:pt idx="5">
                  <c:v>161</c:v>
                </c:pt>
                <c:pt idx="6">
                  <c:v>322</c:v>
                </c:pt>
                <c:pt idx="7">
                  <c:v>644</c:v>
                </c:pt>
                <c:pt idx="8">
                  <c:v>1288</c:v>
                </c:pt>
                <c:pt idx="9">
                  <c:v>2576</c:v>
                </c:pt>
                <c:pt idx="10">
                  <c:v>5152</c:v>
                </c:pt>
                <c:pt idx="11">
                  <c:v>10304</c:v>
                </c:pt>
                <c:pt idx="12">
                  <c:v>20608</c:v>
                </c:pt>
                <c:pt idx="13">
                  <c:v>41216</c:v>
                </c:pt>
                <c:pt idx="14">
                  <c:v>82432</c:v>
                </c:pt>
                <c:pt idx="15">
                  <c:v>164864</c:v>
                </c:pt>
                <c:pt idx="16">
                  <c:v>329728</c:v>
                </c:pt>
                <c:pt idx="17">
                  <c:v>659456</c:v>
                </c:pt>
                <c:pt idx="18">
                  <c:v>1318912</c:v>
                </c:pt>
                <c:pt idx="19">
                  <c:v>2637824</c:v>
                </c:pt>
              </c:numCache>
            </c:numRef>
          </c:val>
          <c:smooth val="0"/>
          <c:extLst>
            <c:ext xmlns:c16="http://schemas.microsoft.com/office/drawing/2014/chart" uri="{C3380CC4-5D6E-409C-BE32-E72D297353CC}">
              <c16:uniqueId val="{00000022-05DD-4DD4-A5B5-12D162507280}"/>
            </c:ext>
          </c:extLst>
        </c:ser>
        <c:ser>
          <c:idx val="0"/>
          <c:order val="3"/>
          <c:tx>
            <c:strRef>
              <c:f>Projections!$A$63</c:f>
              <c:strCache>
                <c:ptCount val="1"/>
                <c:pt idx="0">
                  <c:v>Cardiovascular Disease</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Projections!$G$63:$AA$63</c15:sqref>
                  </c15:fullRef>
                </c:ext>
              </c:extLst>
              <c:f>Projections!$G$63:$Z$63</c:f>
              <c:numCache>
                <c:formatCode>#,##0</c:formatCode>
                <c:ptCount val="20"/>
                <c:pt idx="0">
                  <c:v>1.5625</c:v>
                </c:pt>
                <c:pt idx="1">
                  <c:v>3.125</c:v>
                </c:pt>
                <c:pt idx="2">
                  <c:v>6.25</c:v>
                </c:pt>
                <c:pt idx="3">
                  <c:v>12.5</c:v>
                </c:pt>
                <c:pt idx="4">
                  <c:v>25</c:v>
                </c:pt>
                <c:pt idx="5">
                  <c:v>50</c:v>
                </c:pt>
                <c:pt idx="6">
                  <c:v>100</c:v>
                </c:pt>
                <c:pt idx="7">
                  <c:v>200</c:v>
                </c:pt>
                <c:pt idx="8">
                  <c:v>400</c:v>
                </c:pt>
                <c:pt idx="9">
                  <c:v>800</c:v>
                </c:pt>
                <c:pt idx="10">
                  <c:v>1600</c:v>
                </c:pt>
                <c:pt idx="11">
                  <c:v>3200</c:v>
                </c:pt>
                <c:pt idx="12">
                  <c:v>6400</c:v>
                </c:pt>
                <c:pt idx="13">
                  <c:v>12800</c:v>
                </c:pt>
                <c:pt idx="14">
                  <c:v>25600</c:v>
                </c:pt>
                <c:pt idx="15">
                  <c:v>51200</c:v>
                </c:pt>
                <c:pt idx="16">
                  <c:v>102400</c:v>
                </c:pt>
                <c:pt idx="17">
                  <c:v>204800</c:v>
                </c:pt>
                <c:pt idx="18">
                  <c:v>409600</c:v>
                </c:pt>
                <c:pt idx="19">
                  <c:v>819200</c:v>
                </c:pt>
              </c:numCache>
            </c:numRef>
          </c:val>
          <c:smooth val="0"/>
          <c:extLst>
            <c:ext xmlns:c16="http://schemas.microsoft.com/office/drawing/2014/chart" uri="{C3380CC4-5D6E-409C-BE32-E72D297353CC}">
              <c16:uniqueId val="{00000018-05DD-4DD4-A5B5-12D162507280}"/>
            </c:ext>
          </c:extLst>
        </c:ser>
        <c:ser>
          <c:idx val="2"/>
          <c:order val="4"/>
          <c:tx>
            <c:strRef>
              <c:f>Projections!$A$65</c:f>
              <c:strCache>
                <c:ptCount val="1"/>
                <c:pt idx="0">
                  <c:v>Diabetes</c:v>
                </c:pt>
              </c:strCache>
            </c:strRef>
          </c:tx>
          <c:spPr>
            <a:ln w="28575" cap="rnd">
              <a:solidFill>
                <a:schemeClr val="accent2">
                  <a:lumMod val="75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Projections!$G$65:$AA$65</c15:sqref>
                  </c15:fullRef>
                </c:ext>
              </c:extLst>
              <c:f>Projections!$G$65:$Z$65</c:f>
              <c:numCache>
                <c:formatCode>#,##0</c:formatCode>
                <c:ptCount val="20"/>
                <c:pt idx="0">
                  <c:v>1.4375</c:v>
                </c:pt>
                <c:pt idx="1">
                  <c:v>2.875</c:v>
                </c:pt>
                <c:pt idx="2">
                  <c:v>5.75</c:v>
                </c:pt>
                <c:pt idx="3">
                  <c:v>11.5</c:v>
                </c:pt>
                <c:pt idx="4">
                  <c:v>23</c:v>
                </c:pt>
                <c:pt idx="5">
                  <c:v>46</c:v>
                </c:pt>
                <c:pt idx="6">
                  <c:v>92</c:v>
                </c:pt>
                <c:pt idx="7">
                  <c:v>184</c:v>
                </c:pt>
                <c:pt idx="8">
                  <c:v>368</c:v>
                </c:pt>
                <c:pt idx="9">
                  <c:v>736</c:v>
                </c:pt>
                <c:pt idx="10">
                  <c:v>1472</c:v>
                </c:pt>
                <c:pt idx="11">
                  <c:v>2944</c:v>
                </c:pt>
                <c:pt idx="12">
                  <c:v>5888</c:v>
                </c:pt>
                <c:pt idx="13">
                  <c:v>11776</c:v>
                </c:pt>
                <c:pt idx="14">
                  <c:v>23552</c:v>
                </c:pt>
                <c:pt idx="15">
                  <c:v>47104</c:v>
                </c:pt>
                <c:pt idx="16">
                  <c:v>94208</c:v>
                </c:pt>
                <c:pt idx="17">
                  <c:v>188416</c:v>
                </c:pt>
                <c:pt idx="18">
                  <c:v>376832</c:v>
                </c:pt>
                <c:pt idx="19">
                  <c:v>753664</c:v>
                </c:pt>
              </c:numCache>
            </c:numRef>
          </c:val>
          <c:smooth val="0"/>
          <c:extLst>
            <c:ext xmlns:c16="http://schemas.microsoft.com/office/drawing/2014/chart" uri="{C3380CC4-5D6E-409C-BE32-E72D297353CC}">
              <c16:uniqueId val="{0000001A-05DD-4DD4-A5B5-12D162507280}"/>
            </c:ext>
          </c:extLst>
        </c:ser>
        <c:ser>
          <c:idx val="8"/>
          <c:order val="5"/>
          <c:tx>
            <c:strRef>
              <c:f>Projections!$A$71</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Projections!$G$71:$AA$71</c15:sqref>
                  </c15:fullRef>
                </c:ext>
              </c:extLst>
              <c:f>Projections!$G$71:$Z$71</c:f>
              <c:numCache>
                <c:formatCode>#,##0</c:formatCode>
                <c:ptCount val="20"/>
                <c:pt idx="0">
                  <c:v>0.46875</c:v>
                </c:pt>
                <c:pt idx="1">
                  <c:v>0.9375</c:v>
                </c:pt>
                <c:pt idx="2">
                  <c:v>1.875</c:v>
                </c:pt>
                <c:pt idx="3">
                  <c:v>3.75</c:v>
                </c:pt>
                <c:pt idx="4">
                  <c:v>7.5</c:v>
                </c:pt>
                <c:pt idx="5">
                  <c:v>15</c:v>
                </c:pt>
                <c:pt idx="6">
                  <c:v>30</c:v>
                </c:pt>
                <c:pt idx="7">
                  <c:v>60</c:v>
                </c:pt>
                <c:pt idx="8">
                  <c:v>120</c:v>
                </c:pt>
                <c:pt idx="9">
                  <c:v>240</c:v>
                </c:pt>
                <c:pt idx="10">
                  <c:v>480</c:v>
                </c:pt>
                <c:pt idx="11">
                  <c:v>960</c:v>
                </c:pt>
                <c:pt idx="12">
                  <c:v>1920</c:v>
                </c:pt>
                <c:pt idx="13">
                  <c:v>3840</c:v>
                </c:pt>
                <c:pt idx="14">
                  <c:v>7680</c:v>
                </c:pt>
                <c:pt idx="15">
                  <c:v>15360</c:v>
                </c:pt>
                <c:pt idx="16">
                  <c:v>30720</c:v>
                </c:pt>
                <c:pt idx="17">
                  <c:v>61440</c:v>
                </c:pt>
                <c:pt idx="18">
                  <c:v>122880</c:v>
                </c:pt>
                <c:pt idx="19">
                  <c:v>245760</c:v>
                </c:pt>
              </c:numCache>
            </c:numRef>
          </c:val>
          <c:smooth val="0"/>
          <c:extLst>
            <c:ext xmlns:c16="http://schemas.microsoft.com/office/drawing/2014/chart" uri="{C3380CC4-5D6E-409C-BE32-E72D297353CC}">
              <c16:uniqueId val="{00000020-05DD-4DD4-A5B5-12D162507280}"/>
            </c:ext>
          </c:extLst>
        </c:ser>
        <c:dLbls>
          <c:showLegendKey val="0"/>
          <c:showVal val="0"/>
          <c:showCatName val="0"/>
          <c:showSerName val="0"/>
          <c:showPercent val="0"/>
          <c:showBubbleSize val="0"/>
        </c:dLbls>
        <c:smooth val="0"/>
        <c:axId val="672865256"/>
        <c:axId val="672864272"/>
      </c:lineChart>
      <c:dateAx>
        <c:axId val="672865256"/>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4272"/>
        <c:crosses val="autoZero"/>
        <c:auto val="1"/>
        <c:lblOffset val="100"/>
        <c:baseTimeUnit val="days"/>
      </c:dateAx>
      <c:valAx>
        <c:axId val="672864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7"/>
          <c:order val="0"/>
          <c:tx>
            <c:strRef>
              <c:f>Projections!$A$69</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Projections!$G$70:$AA$70</c15:sqref>
                  </c15:fullRef>
                </c:ext>
              </c:extLst>
              <c:f>Projections!$G$70:$Z$70</c:f>
              <c:numCache>
                <c:formatCode>#,##0</c:formatCode>
                <c:ptCount val="20"/>
                <c:pt idx="0">
                  <c:v>0.63187499999999996</c:v>
                </c:pt>
                <c:pt idx="1">
                  <c:v>1.2637499999999999</c:v>
                </c:pt>
                <c:pt idx="2">
                  <c:v>2.5274999999999999</c:v>
                </c:pt>
                <c:pt idx="3">
                  <c:v>5.0549999999999997</c:v>
                </c:pt>
                <c:pt idx="4">
                  <c:v>10.11</c:v>
                </c:pt>
                <c:pt idx="5">
                  <c:v>20.22</c:v>
                </c:pt>
                <c:pt idx="6">
                  <c:v>40.44</c:v>
                </c:pt>
                <c:pt idx="7">
                  <c:v>80.88</c:v>
                </c:pt>
                <c:pt idx="8">
                  <c:v>161.76</c:v>
                </c:pt>
                <c:pt idx="9">
                  <c:v>323.52</c:v>
                </c:pt>
                <c:pt idx="10">
                  <c:v>647.04</c:v>
                </c:pt>
                <c:pt idx="11">
                  <c:v>1294.08</c:v>
                </c:pt>
                <c:pt idx="12">
                  <c:v>2588.16</c:v>
                </c:pt>
                <c:pt idx="13">
                  <c:v>5176.32</c:v>
                </c:pt>
                <c:pt idx="14">
                  <c:v>10352.64</c:v>
                </c:pt>
                <c:pt idx="15">
                  <c:v>20705.28</c:v>
                </c:pt>
                <c:pt idx="16">
                  <c:v>41410.559999999998</c:v>
                </c:pt>
                <c:pt idx="17">
                  <c:v>82821.119999999995</c:v>
                </c:pt>
                <c:pt idx="18">
                  <c:v>165642.23999999999</c:v>
                </c:pt>
                <c:pt idx="19">
                  <c:v>331284.47999999998</c:v>
                </c:pt>
              </c:numCache>
            </c:numRef>
          </c:val>
          <c:smooth val="0"/>
          <c:extLst>
            <c:ext xmlns:c16="http://schemas.microsoft.com/office/drawing/2014/chart" uri="{C3380CC4-5D6E-409C-BE32-E72D297353CC}">
              <c16:uniqueId val="{00000007-65B4-47F9-9B97-64FB989C8893}"/>
            </c:ext>
          </c:extLst>
        </c:ser>
        <c:ser>
          <c:idx val="5"/>
          <c:order val="1"/>
          <c:tx>
            <c:strRef>
              <c:f>Projections!$A$67</c:f>
              <c:strCache>
                <c:ptCount val="1"/>
                <c:pt idx="0">
                  <c:v>Chronic Respiratory Disease</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Projections!$G$68:$AA$68</c15:sqref>
                  </c15:fullRef>
                </c:ext>
              </c:extLst>
              <c:f>Projections!$G$68:$Z$68</c:f>
              <c:numCache>
                <c:formatCode>#,##0</c:formatCode>
                <c:ptCount val="20"/>
                <c:pt idx="0">
                  <c:v>0.61031250000000004</c:v>
                </c:pt>
                <c:pt idx="1">
                  <c:v>1.2206250000000001</c:v>
                </c:pt>
                <c:pt idx="2">
                  <c:v>2.4412500000000001</c:v>
                </c:pt>
                <c:pt idx="3">
                  <c:v>4.8825000000000003</c:v>
                </c:pt>
                <c:pt idx="4">
                  <c:v>9.7650000000000006</c:v>
                </c:pt>
                <c:pt idx="5">
                  <c:v>19.53</c:v>
                </c:pt>
                <c:pt idx="6">
                  <c:v>39.06</c:v>
                </c:pt>
                <c:pt idx="7">
                  <c:v>78.12</c:v>
                </c:pt>
                <c:pt idx="8">
                  <c:v>156.24</c:v>
                </c:pt>
                <c:pt idx="9">
                  <c:v>312.48</c:v>
                </c:pt>
                <c:pt idx="10">
                  <c:v>624.96</c:v>
                </c:pt>
                <c:pt idx="11">
                  <c:v>1249.92</c:v>
                </c:pt>
                <c:pt idx="12">
                  <c:v>2499.84</c:v>
                </c:pt>
                <c:pt idx="13">
                  <c:v>4999.68</c:v>
                </c:pt>
                <c:pt idx="14">
                  <c:v>9999.36</c:v>
                </c:pt>
                <c:pt idx="15">
                  <c:v>19998.72</c:v>
                </c:pt>
                <c:pt idx="16">
                  <c:v>39997.440000000002</c:v>
                </c:pt>
                <c:pt idx="17">
                  <c:v>79994.880000000005</c:v>
                </c:pt>
                <c:pt idx="18">
                  <c:v>159989.76000000001</c:v>
                </c:pt>
                <c:pt idx="19">
                  <c:v>319979.52000000002</c:v>
                </c:pt>
              </c:numCache>
            </c:numRef>
          </c:val>
          <c:smooth val="0"/>
          <c:extLst>
            <c:ext xmlns:c16="http://schemas.microsoft.com/office/drawing/2014/chart" uri="{C3380CC4-5D6E-409C-BE32-E72D297353CC}">
              <c16:uniqueId val="{00000005-65B4-47F9-9B97-64FB989C8893}"/>
            </c:ext>
          </c:extLst>
        </c:ser>
        <c:ser>
          <c:idx val="1"/>
          <c:order val="2"/>
          <c:tx>
            <c:strRef>
              <c:f>Projections!$A$63</c:f>
              <c:strCache>
                <c:ptCount val="1"/>
                <c:pt idx="0">
                  <c:v>Cardiovascular Disease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Projections!$G$64:$AA$64</c15:sqref>
                  </c15:fullRef>
                </c:ext>
              </c:extLst>
              <c:f>Projections!$G$64:$Z$64</c:f>
              <c:numCache>
                <c:formatCode>#,##0</c:formatCode>
                <c:ptCount val="20"/>
                <c:pt idx="0">
                  <c:v>0.1640625</c:v>
                </c:pt>
                <c:pt idx="1">
                  <c:v>0.328125</c:v>
                </c:pt>
                <c:pt idx="2">
                  <c:v>0.65625</c:v>
                </c:pt>
                <c:pt idx="3">
                  <c:v>1.3125</c:v>
                </c:pt>
                <c:pt idx="4">
                  <c:v>2.625</c:v>
                </c:pt>
                <c:pt idx="5">
                  <c:v>5.25</c:v>
                </c:pt>
                <c:pt idx="6">
                  <c:v>10.5</c:v>
                </c:pt>
                <c:pt idx="7">
                  <c:v>21</c:v>
                </c:pt>
                <c:pt idx="8">
                  <c:v>42</c:v>
                </c:pt>
                <c:pt idx="9">
                  <c:v>84</c:v>
                </c:pt>
                <c:pt idx="10">
                  <c:v>168</c:v>
                </c:pt>
                <c:pt idx="11">
                  <c:v>336</c:v>
                </c:pt>
                <c:pt idx="12">
                  <c:v>672</c:v>
                </c:pt>
                <c:pt idx="13">
                  <c:v>1344</c:v>
                </c:pt>
                <c:pt idx="14">
                  <c:v>2688</c:v>
                </c:pt>
                <c:pt idx="15">
                  <c:v>5376</c:v>
                </c:pt>
                <c:pt idx="16">
                  <c:v>10752</c:v>
                </c:pt>
                <c:pt idx="17">
                  <c:v>21504</c:v>
                </c:pt>
                <c:pt idx="18">
                  <c:v>43008</c:v>
                </c:pt>
                <c:pt idx="19">
                  <c:v>86016</c:v>
                </c:pt>
              </c:numCache>
            </c:numRef>
          </c:val>
          <c:smooth val="0"/>
          <c:extLst>
            <c:ext xmlns:c16="http://schemas.microsoft.com/office/drawing/2014/chart" uri="{C3380CC4-5D6E-409C-BE32-E72D297353CC}">
              <c16:uniqueId val="{00000001-65B4-47F9-9B97-64FB989C8893}"/>
            </c:ext>
          </c:extLst>
        </c:ser>
        <c:ser>
          <c:idx val="3"/>
          <c:order val="3"/>
          <c:tx>
            <c:strRef>
              <c:f>Projections!$A$65</c:f>
              <c:strCache>
                <c:ptCount val="1"/>
                <c:pt idx="0">
                  <c:v>Diabetes</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Projections!$G$66:$AA$66</c15:sqref>
                  </c15:fullRef>
                </c:ext>
              </c:extLst>
              <c:f>Projections!$G$66:$Z$66</c:f>
              <c:numCache>
                <c:formatCode>#,##0</c:formatCode>
                <c:ptCount val="20"/>
                <c:pt idx="0">
                  <c:v>0.10493749999999999</c:v>
                </c:pt>
                <c:pt idx="1">
                  <c:v>0.20987499999999998</c:v>
                </c:pt>
                <c:pt idx="2">
                  <c:v>0.41974999999999996</c:v>
                </c:pt>
                <c:pt idx="3">
                  <c:v>0.83949999999999991</c:v>
                </c:pt>
                <c:pt idx="4">
                  <c:v>1.6789999999999998</c:v>
                </c:pt>
                <c:pt idx="5">
                  <c:v>3.3579999999999997</c:v>
                </c:pt>
                <c:pt idx="6">
                  <c:v>6.7159999999999993</c:v>
                </c:pt>
                <c:pt idx="7">
                  <c:v>13.431999999999999</c:v>
                </c:pt>
                <c:pt idx="8">
                  <c:v>26.863999999999997</c:v>
                </c:pt>
                <c:pt idx="9">
                  <c:v>53.727999999999994</c:v>
                </c:pt>
                <c:pt idx="10">
                  <c:v>107.45599999999999</c:v>
                </c:pt>
                <c:pt idx="11">
                  <c:v>214.91199999999998</c:v>
                </c:pt>
                <c:pt idx="12">
                  <c:v>429.82399999999996</c:v>
                </c:pt>
                <c:pt idx="13">
                  <c:v>859.64799999999991</c:v>
                </c:pt>
                <c:pt idx="14">
                  <c:v>1719.2959999999998</c:v>
                </c:pt>
                <c:pt idx="15">
                  <c:v>3438.5919999999996</c:v>
                </c:pt>
                <c:pt idx="16">
                  <c:v>6877.1839999999993</c:v>
                </c:pt>
                <c:pt idx="17">
                  <c:v>13754.367999999999</c:v>
                </c:pt>
                <c:pt idx="18">
                  <c:v>27508.735999999997</c:v>
                </c:pt>
                <c:pt idx="19">
                  <c:v>55017.471999999994</c:v>
                </c:pt>
              </c:numCache>
            </c:numRef>
          </c:val>
          <c:smooth val="0"/>
          <c:extLst>
            <c:ext xmlns:c16="http://schemas.microsoft.com/office/drawing/2014/chart" uri="{C3380CC4-5D6E-409C-BE32-E72D297353CC}">
              <c16:uniqueId val="{00000003-65B4-47F9-9B97-64FB989C8893}"/>
            </c:ext>
          </c:extLst>
        </c:ser>
        <c:ser>
          <c:idx val="9"/>
          <c:order val="4"/>
          <c:tx>
            <c:strRef>
              <c:f>Projections!$A$71</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Projections!$G$72:$AA$72</c15:sqref>
                  </c15:fullRef>
                </c:ext>
              </c:extLst>
              <c:f>Projections!$G$72:$Z$72</c:f>
              <c:numCache>
                <c:formatCode>#,##0</c:formatCode>
                <c:ptCount val="20"/>
                <c:pt idx="0">
                  <c:v>2.6249999999999999E-2</c:v>
                </c:pt>
                <c:pt idx="1">
                  <c:v>5.2499999999999998E-2</c:v>
                </c:pt>
                <c:pt idx="2">
                  <c:v>0.105</c:v>
                </c:pt>
                <c:pt idx="3">
                  <c:v>0.21</c:v>
                </c:pt>
                <c:pt idx="4">
                  <c:v>0.42</c:v>
                </c:pt>
                <c:pt idx="5">
                  <c:v>0.84</c:v>
                </c:pt>
                <c:pt idx="6">
                  <c:v>1.68</c:v>
                </c:pt>
                <c:pt idx="7">
                  <c:v>3.36</c:v>
                </c:pt>
                <c:pt idx="8">
                  <c:v>6.72</c:v>
                </c:pt>
                <c:pt idx="9">
                  <c:v>13.44</c:v>
                </c:pt>
                <c:pt idx="10">
                  <c:v>26.88</c:v>
                </c:pt>
                <c:pt idx="11">
                  <c:v>53.76</c:v>
                </c:pt>
                <c:pt idx="12">
                  <c:v>107.52</c:v>
                </c:pt>
                <c:pt idx="13">
                  <c:v>215.04</c:v>
                </c:pt>
                <c:pt idx="14">
                  <c:v>430.08</c:v>
                </c:pt>
                <c:pt idx="15">
                  <c:v>860.16</c:v>
                </c:pt>
                <c:pt idx="16">
                  <c:v>1720.32</c:v>
                </c:pt>
                <c:pt idx="17">
                  <c:v>3440.64</c:v>
                </c:pt>
                <c:pt idx="18">
                  <c:v>6881.28</c:v>
                </c:pt>
                <c:pt idx="19">
                  <c:v>13762.56</c:v>
                </c:pt>
              </c:numCache>
            </c:numRef>
          </c:val>
          <c:smooth val="0"/>
          <c:extLst>
            <c:ext xmlns:c16="http://schemas.microsoft.com/office/drawing/2014/chart" uri="{C3380CC4-5D6E-409C-BE32-E72D297353CC}">
              <c16:uniqueId val="{00000009-65B4-47F9-9B97-64FB989C8893}"/>
            </c:ext>
          </c:extLst>
        </c:ser>
        <c:dLbls>
          <c:showLegendKey val="0"/>
          <c:showVal val="0"/>
          <c:showCatName val="0"/>
          <c:showSerName val="0"/>
          <c:showPercent val="0"/>
          <c:showBubbleSize val="0"/>
        </c:dLbls>
        <c:smooth val="0"/>
        <c:axId val="591031856"/>
        <c:axId val="591030544"/>
      </c:lineChart>
      <c:dateAx>
        <c:axId val="591031856"/>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0544"/>
        <c:crosses val="autoZero"/>
        <c:auto val="1"/>
        <c:lblOffset val="100"/>
        <c:baseTimeUnit val="days"/>
      </c:dateAx>
      <c:valAx>
        <c:axId val="591030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 Actual Infection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Projections!$A$14</c:f>
              <c:strCache>
                <c:ptCount val="1"/>
                <c:pt idx="0">
                  <c:v>Projected Detected Population Infected</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Projections!$G$13:$AA$13</c15:sqref>
                  </c15:fullRef>
                </c:ext>
              </c:extLst>
              <c:f>Projections!$G$13:$O$13</c:f>
              <c:numCache>
                <c:formatCode>d\-mmm</c:formatCode>
                <c:ptCount val="9"/>
                <c:pt idx="0">
                  <c:v>43892</c:v>
                </c:pt>
                <c:pt idx="1">
                  <c:v>43896</c:v>
                </c:pt>
                <c:pt idx="2">
                  <c:v>43900</c:v>
                </c:pt>
                <c:pt idx="3">
                  <c:v>43904</c:v>
                </c:pt>
                <c:pt idx="4">
                  <c:v>43908</c:v>
                </c:pt>
                <c:pt idx="5">
                  <c:v>43911</c:v>
                </c:pt>
                <c:pt idx="6">
                  <c:v>43914</c:v>
                </c:pt>
                <c:pt idx="7">
                  <c:v>43919</c:v>
                </c:pt>
                <c:pt idx="8">
                  <c:v>43924</c:v>
                </c:pt>
              </c:numCache>
            </c:numRef>
          </c:cat>
          <c:val>
            <c:numRef>
              <c:extLst>
                <c:ext xmlns:c15="http://schemas.microsoft.com/office/drawing/2012/chart" uri="{02D57815-91ED-43cb-92C2-25804820EDAC}">
                  <c15:fullRef>
                    <c15:sqref>Projections!$G$14:$AA$14</c15:sqref>
                  </c15:fullRef>
                </c:ext>
              </c:extLst>
              <c:f>Projections!$G$14:$O$14</c:f>
              <c:numCache>
                <c:formatCode>#,##0</c:formatCode>
                <c:ptCount val="9"/>
                <c:pt idx="0">
                  <c:v>31.25</c:v>
                </c:pt>
                <c:pt idx="1">
                  <c:v>62.5</c:v>
                </c:pt>
                <c:pt idx="2">
                  <c:v>125</c:v>
                </c:pt>
                <c:pt idx="3">
                  <c:v>250</c:v>
                </c:pt>
                <c:pt idx="4">
                  <c:v>500</c:v>
                </c:pt>
                <c:pt idx="5">
                  <c:v>1000</c:v>
                </c:pt>
                <c:pt idx="6">
                  <c:v>2000</c:v>
                </c:pt>
                <c:pt idx="7">
                  <c:v>4000</c:v>
                </c:pt>
                <c:pt idx="8">
                  <c:v>8000</c:v>
                </c:pt>
              </c:numCache>
            </c:numRef>
          </c:val>
          <c:smooth val="0"/>
          <c:extLst>
            <c:ext xmlns:c16="http://schemas.microsoft.com/office/drawing/2014/chart" uri="{C3380CC4-5D6E-409C-BE32-E72D297353CC}">
              <c16:uniqueId val="{00000004-8BCC-427B-903C-670C749E04E9}"/>
            </c:ext>
          </c:extLst>
        </c:ser>
        <c:ser>
          <c:idx val="1"/>
          <c:order val="1"/>
          <c:tx>
            <c:strRef>
              <c:f>Projections!$A$34</c:f>
              <c:strCache>
                <c:ptCount val="1"/>
                <c:pt idx="0">
                  <c:v>Actual Confirmed Infections</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Projections!$G$13:$AA$13</c15:sqref>
                  </c15:fullRef>
                </c:ext>
              </c:extLst>
              <c:f>Projections!$G$13:$O$13</c:f>
              <c:numCache>
                <c:formatCode>d\-mmm</c:formatCode>
                <c:ptCount val="9"/>
                <c:pt idx="0">
                  <c:v>43892</c:v>
                </c:pt>
                <c:pt idx="1">
                  <c:v>43896</c:v>
                </c:pt>
                <c:pt idx="2">
                  <c:v>43900</c:v>
                </c:pt>
                <c:pt idx="3">
                  <c:v>43904</c:v>
                </c:pt>
                <c:pt idx="4">
                  <c:v>43908</c:v>
                </c:pt>
                <c:pt idx="5">
                  <c:v>43911</c:v>
                </c:pt>
                <c:pt idx="6">
                  <c:v>43914</c:v>
                </c:pt>
                <c:pt idx="7">
                  <c:v>43919</c:v>
                </c:pt>
                <c:pt idx="8">
                  <c:v>43924</c:v>
                </c:pt>
              </c:numCache>
            </c:numRef>
          </c:cat>
          <c:val>
            <c:numRef>
              <c:extLst>
                <c:ext xmlns:c15="http://schemas.microsoft.com/office/drawing/2012/chart" uri="{02D57815-91ED-43cb-92C2-25804820EDAC}">
                  <c15:fullRef>
                    <c15:sqref>Projections!$G$34:$AA$34</c15:sqref>
                  </c15:fullRef>
                </c:ext>
              </c:extLst>
              <c:f>Projections!$G$34:$O$34</c:f>
              <c:numCache>
                <c:formatCode>General</c:formatCode>
                <c:ptCount val="9"/>
                <c:pt idx="0">
                  <c:v>32</c:v>
                </c:pt>
                <c:pt idx="1">
                  <c:v>63</c:v>
                </c:pt>
                <c:pt idx="2" formatCode="#,##0">
                  <c:v>112</c:v>
                </c:pt>
                <c:pt idx="3" formatCode="#,##0">
                  <c:v>249</c:v>
                </c:pt>
                <c:pt idx="4" formatCode="#,##0">
                  <c:v>567</c:v>
                </c:pt>
                <c:pt idx="5" formatCode="#,##0">
                  <c:v>1072</c:v>
                </c:pt>
                <c:pt idx="6" formatCode="#,##0">
                  <c:v>2050</c:v>
                </c:pt>
                <c:pt idx="7" formatCode="#,##0">
                  <c:v>3984</c:v>
                </c:pt>
              </c:numCache>
            </c:numRef>
          </c:val>
          <c:smooth val="0"/>
          <c:extLst>
            <c:ext xmlns:c16="http://schemas.microsoft.com/office/drawing/2014/chart" uri="{C3380CC4-5D6E-409C-BE32-E72D297353CC}">
              <c16:uniqueId val="{00000005-8BCC-427B-903C-670C749E04E9}"/>
            </c:ext>
          </c:extLst>
        </c:ser>
        <c:dLbls>
          <c:showLegendKey val="0"/>
          <c:showVal val="0"/>
          <c:showCatName val="0"/>
          <c:showSerName val="0"/>
          <c:showPercent val="0"/>
          <c:showBubbleSize val="0"/>
        </c:dLbls>
        <c:smooth val="0"/>
        <c:axId val="602767304"/>
        <c:axId val="602767632"/>
      </c:lineChart>
      <c:dateAx>
        <c:axId val="60276730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632"/>
        <c:crosses val="autoZero"/>
        <c:auto val="1"/>
        <c:lblOffset val="100"/>
        <c:baseTimeUnit val="days"/>
      </c:dateAx>
      <c:valAx>
        <c:axId val="6027676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a:t>
            </a:r>
            <a:r>
              <a:rPr lang="en-AU" baseline="0"/>
              <a:t> Actual Mortality Rates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Projections!$A$24</c:f>
              <c:strCache>
                <c:ptCount val="1"/>
                <c:pt idx="0">
                  <c:v>Projected Cumulative Mortality Count (future projection)</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Projections!$G$13:$AA$13</c15:sqref>
                  </c15:fullRef>
                </c:ext>
              </c:extLst>
              <c:f>Projections!$G$13:$O$13</c:f>
              <c:numCache>
                <c:formatCode>d\-mmm</c:formatCode>
                <c:ptCount val="9"/>
                <c:pt idx="0">
                  <c:v>43892</c:v>
                </c:pt>
                <c:pt idx="1">
                  <c:v>43896</c:v>
                </c:pt>
                <c:pt idx="2">
                  <c:v>43900</c:v>
                </c:pt>
                <c:pt idx="3">
                  <c:v>43904</c:v>
                </c:pt>
                <c:pt idx="4">
                  <c:v>43908</c:v>
                </c:pt>
                <c:pt idx="5">
                  <c:v>43911</c:v>
                </c:pt>
                <c:pt idx="6">
                  <c:v>43914</c:v>
                </c:pt>
                <c:pt idx="7">
                  <c:v>43919</c:v>
                </c:pt>
                <c:pt idx="8">
                  <c:v>43924</c:v>
                </c:pt>
              </c:numCache>
            </c:numRef>
          </c:cat>
          <c:val>
            <c:numRef>
              <c:extLst>
                <c:ext xmlns:c15="http://schemas.microsoft.com/office/drawing/2012/chart" uri="{02D57815-91ED-43cb-92C2-25804820EDAC}">
                  <c15:fullRef>
                    <c15:sqref>Projections!$G$24:$AA$24</c15:sqref>
                  </c15:fullRef>
                </c:ext>
              </c:extLst>
              <c:f>Projections!$G$24:$O$24</c:f>
              <c:numCache>
                <c:formatCode>#,##0</c:formatCode>
                <c:ptCount val="9"/>
                <c:pt idx="0">
                  <c:v>1.09375</c:v>
                </c:pt>
                <c:pt idx="1">
                  <c:v>2.1875</c:v>
                </c:pt>
                <c:pt idx="2">
                  <c:v>4.375</c:v>
                </c:pt>
                <c:pt idx="3">
                  <c:v>8.75</c:v>
                </c:pt>
                <c:pt idx="4">
                  <c:v>17.5</c:v>
                </c:pt>
                <c:pt idx="5">
                  <c:v>35</c:v>
                </c:pt>
                <c:pt idx="6">
                  <c:v>70</c:v>
                </c:pt>
                <c:pt idx="7">
                  <c:v>140</c:v>
                </c:pt>
                <c:pt idx="8">
                  <c:v>280</c:v>
                </c:pt>
              </c:numCache>
            </c:numRef>
          </c:val>
          <c:smooth val="0"/>
          <c:extLst>
            <c:ext xmlns:c16="http://schemas.microsoft.com/office/drawing/2014/chart" uri="{C3380CC4-5D6E-409C-BE32-E72D297353CC}">
              <c16:uniqueId val="{00000000-50BE-40C1-B679-81AF0BCE3FCD}"/>
            </c:ext>
          </c:extLst>
        </c:ser>
        <c:ser>
          <c:idx val="1"/>
          <c:order val="1"/>
          <c:tx>
            <c:strRef>
              <c:f>Projections!$A$36</c:f>
              <c:strCache>
                <c:ptCount val="1"/>
                <c:pt idx="0">
                  <c:v>Actual Mortality Count</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Projections!$G$13:$AA$13</c15:sqref>
                  </c15:fullRef>
                </c:ext>
              </c:extLst>
              <c:f>Projections!$G$13:$O$13</c:f>
              <c:numCache>
                <c:formatCode>d\-mmm</c:formatCode>
                <c:ptCount val="9"/>
                <c:pt idx="0">
                  <c:v>43892</c:v>
                </c:pt>
                <c:pt idx="1">
                  <c:v>43896</c:v>
                </c:pt>
                <c:pt idx="2">
                  <c:v>43900</c:v>
                </c:pt>
                <c:pt idx="3">
                  <c:v>43904</c:v>
                </c:pt>
                <c:pt idx="4">
                  <c:v>43908</c:v>
                </c:pt>
                <c:pt idx="5">
                  <c:v>43911</c:v>
                </c:pt>
                <c:pt idx="6">
                  <c:v>43914</c:v>
                </c:pt>
                <c:pt idx="7">
                  <c:v>43919</c:v>
                </c:pt>
                <c:pt idx="8">
                  <c:v>43924</c:v>
                </c:pt>
              </c:numCache>
            </c:numRef>
          </c:cat>
          <c:val>
            <c:numRef>
              <c:extLst>
                <c:ext xmlns:c15="http://schemas.microsoft.com/office/drawing/2012/chart" uri="{02D57815-91ED-43cb-92C2-25804820EDAC}">
                  <c15:fullRef>
                    <c15:sqref>Projections!$G$36:$AA$36</c15:sqref>
                  </c15:fullRef>
                </c:ext>
              </c:extLst>
              <c:f>Projections!$G$36:$O$36</c:f>
              <c:numCache>
                <c:formatCode>General</c:formatCode>
                <c:ptCount val="9"/>
                <c:pt idx="0">
                  <c:v>1</c:v>
                </c:pt>
                <c:pt idx="1">
                  <c:v>2</c:v>
                </c:pt>
                <c:pt idx="2" formatCode="#,##0">
                  <c:v>3</c:v>
                </c:pt>
                <c:pt idx="3" formatCode="#,##0">
                  <c:v>5</c:v>
                </c:pt>
                <c:pt idx="4" formatCode="#,##0">
                  <c:v>6</c:v>
                </c:pt>
                <c:pt idx="5" formatCode="#,##0">
                  <c:v>7</c:v>
                </c:pt>
                <c:pt idx="6" formatCode="#,##0">
                  <c:v>8</c:v>
                </c:pt>
                <c:pt idx="7" formatCode="#,##0">
                  <c:v>16</c:v>
                </c:pt>
              </c:numCache>
            </c:numRef>
          </c:val>
          <c:smooth val="0"/>
          <c:extLst>
            <c:ext xmlns:c16="http://schemas.microsoft.com/office/drawing/2014/chart" uri="{C3380CC4-5D6E-409C-BE32-E72D297353CC}">
              <c16:uniqueId val="{00000001-50BE-40C1-B679-81AF0BCE3FCD}"/>
            </c:ext>
          </c:extLst>
        </c:ser>
        <c:dLbls>
          <c:showLegendKey val="0"/>
          <c:showVal val="0"/>
          <c:showCatName val="0"/>
          <c:showSerName val="0"/>
          <c:showPercent val="0"/>
          <c:showBubbleSize val="0"/>
        </c:dLbls>
        <c:smooth val="0"/>
        <c:axId val="606292128"/>
        <c:axId val="230337920"/>
      </c:lineChart>
      <c:dateAx>
        <c:axId val="606292128"/>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37920"/>
        <c:crosses val="autoZero"/>
        <c:auto val="1"/>
        <c:lblOffset val="100"/>
        <c:baseTimeUnit val="days"/>
      </c:dateAx>
      <c:valAx>
        <c:axId val="2303379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Hospitalisation Numbers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688864268909969E-2"/>
          <c:y val="0.16402429427241846"/>
          <c:w val="0.54877376992928728"/>
          <c:h val="0.66019671368499344"/>
        </c:manualLayout>
      </c:layout>
      <c:lineChart>
        <c:grouping val="standard"/>
        <c:varyColors val="0"/>
        <c:ser>
          <c:idx val="3"/>
          <c:order val="0"/>
          <c:tx>
            <c:strRef>
              <c:f>Projections!$A$20</c:f>
              <c:strCache>
                <c:ptCount val="1"/>
                <c:pt idx="0">
                  <c:v>Cumulative Severe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Projections!$G$20:$AA$20</c15:sqref>
                  </c15:fullRef>
                </c:ext>
              </c:extLst>
              <c:f>Projections!$G$20:$Z$20</c:f>
              <c:numCache>
                <c:formatCode>#,##0</c:formatCode>
                <c:ptCount val="20"/>
                <c:pt idx="2">
                  <c:v>5.9375</c:v>
                </c:pt>
                <c:pt idx="3">
                  <c:v>11.875</c:v>
                </c:pt>
                <c:pt idx="4">
                  <c:v>23.75</c:v>
                </c:pt>
                <c:pt idx="5">
                  <c:v>47.5</c:v>
                </c:pt>
                <c:pt idx="6">
                  <c:v>47.5</c:v>
                </c:pt>
                <c:pt idx="7">
                  <c:v>190</c:v>
                </c:pt>
                <c:pt idx="8">
                  <c:v>380</c:v>
                </c:pt>
                <c:pt idx="9">
                  <c:v>760</c:v>
                </c:pt>
                <c:pt idx="10">
                  <c:v>1520</c:v>
                </c:pt>
                <c:pt idx="11">
                  <c:v>3040</c:v>
                </c:pt>
                <c:pt idx="12">
                  <c:v>6080</c:v>
                </c:pt>
                <c:pt idx="13">
                  <c:v>12160</c:v>
                </c:pt>
                <c:pt idx="14">
                  <c:v>24320</c:v>
                </c:pt>
                <c:pt idx="15">
                  <c:v>48640</c:v>
                </c:pt>
                <c:pt idx="16">
                  <c:v>97280</c:v>
                </c:pt>
                <c:pt idx="17">
                  <c:v>194560</c:v>
                </c:pt>
                <c:pt idx="18">
                  <c:v>389120</c:v>
                </c:pt>
                <c:pt idx="19">
                  <c:v>778240</c:v>
                </c:pt>
              </c:numCache>
            </c:numRef>
          </c:val>
          <c:smooth val="0"/>
          <c:extLst>
            <c:ext xmlns:c16="http://schemas.microsoft.com/office/drawing/2014/chart" uri="{C3380CC4-5D6E-409C-BE32-E72D297353CC}">
              <c16:uniqueId val="{00000000-A3C2-4B4C-996C-CDB1A252886F}"/>
            </c:ext>
          </c:extLst>
        </c:ser>
        <c:ser>
          <c:idx val="2"/>
          <c:order val="1"/>
          <c:tx>
            <c:strRef>
              <c:f>Projections!$A$21</c:f>
              <c:strCache>
                <c:ptCount val="1"/>
                <c:pt idx="0">
                  <c:v>Number Severe</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Projections!$G$21:$AA$21</c15:sqref>
                  </c15:fullRef>
                </c:ext>
              </c:extLst>
              <c:f>Projections!$G$21:$Z$21</c:f>
              <c:numCache>
                <c:formatCode>#,##0</c:formatCode>
                <c:ptCount val="20"/>
                <c:pt idx="2">
                  <c:v>5.9375</c:v>
                </c:pt>
                <c:pt idx="3">
                  <c:v>11.875</c:v>
                </c:pt>
                <c:pt idx="4">
                  <c:v>22.1875</c:v>
                </c:pt>
                <c:pt idx="5">
                  <c:v>44.375</c:v>
                </c:pt>
                <c:pt idx="6">
                  <c:v>41.25</c:v>
                </c:pt>
                <c:pt idx="7">
                  <c:v>177.5</c:v>
                </c:pt>
                <c:pt idx="8">
                  <c:v>355</c:v>
                </c:pt>
                <c:pt idx="9">
                  <c:v>661.09375</c:v>
                </c:pt>
                <c:pt idx="10">
                  <c:v>1321.09375</c:v>
                </c:pt>
                <c:pt idx="11">
                  <c:v>2646.5625</c:v>
                </c:pt>
                <c:pt idx="12">
                  <c:v>5294.6875</c:v>
                </c:pt>
                <c:pt idx="13">
                  <c:v>10624.375</c:v>
                </c:pt>
                <c:pt idx="14">
                  <c:v>21186.875</c:v>
                </c:pt>
                <c:pt idx="15">
                  <c:v>42326.25</c:v>
                </c:pt>
                <c:pt idx="16">
                  <c:v>84747.5</c:v>
                </c:pt>
                <c:pt idx="17">
                  <c:v>169495</c:v>
                </c:pt>
                <c:pt idx="18">
                  <c:v>338180</c:v>
                </c:pt>
                <c:pt idx="19">
                  <c:v>676360</c:v>
                </c:pt>
              </c:numCache>
            </c:numRef>
          </c:val>
          <c:smooth val="0"/>
          <c:extLst>
            <c:ext xmlns:c16="http://schemas.microsoft.com/office/drawing/2014/chart" uri="{C3380CC4-5D6E-409C-BE32-E72D297353CC}">
              <c16:uniqueId val="{00000001-A3C2-4B4C-996C-CDB1A252886F}"/>
            </c:ext>
          </c:extLst>
        </c:ser>
        <c:ser>
          <c:idx val="0"/>
          <c:order val="2"/>
          <c:tx>
            <c:strRef>
              <c:f>Projections!$A$22</c:f>
              <c:strCache>
                <c:ptCount val="1"/>
                <c:pt idx="0">
                  <c:v>Cumulative Critical</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Projections!$G$22:$AA$22</c15:sqref>
                  </c15:fullRef>
                </c:ext>
              </c:extLst>
              <c:f>Projections!$G$22:$Z$22</c:f>
              <c:numCache>
                <c:formatCode>#,##0</c:formatCode>
                <c:ptCount val="20"/>
                <c:pt idx="4">
                  <c:v>1.5625</c:v>
                </c:pt>
                <c:pt idx="5">
                  <c:v>3.125</c:v>
                </c:pt>
                <c:pt idx="6">
                  <c:v>6.25</c:v>
                </c:pt>
                <c:pt idx="7">
                  <c:v>12.5</c:v>
                </c:pt>
                <c:pt idx="8">
                  <c:v>25</c:v>
                </c:pt>
                <c:pt idx="9">
                  <c:v>100</c:v>
                </c:pt>
                <c:pt idx="10">
                  <c:v>200</c:v>
                </c:pt>
                <c:pt idx="11">
                  <c:v>400</c:v>
                </c:pt>
                <c:pt idx="12">
                  <c:v>800</c:v>
                </c:pt>
                <c:pt idx="13">
                  <c:v>1600</c:v>
                </c:pt>
                <c:pt idx="14">
                  <c:v>3200</c:v>
                </c:pt>
                <c:pt idx="15">
                  <c:v>6400</c:v>
                </c:pt>
                <c:pt idx="16">
                  <c:v>12800</c:v>
                </c:pt>
                <c:pt idx="17">
                  <c:v>25600</c:v>
                </c:pt>
                <c:pt idx="18">
                  <c:v>51200</c:v>
                </c:pt>
                <c:pt idx="19">
                  <c:v>102400</c:v>
                </c:pt>
              </c:numCache>
            </c:numRef>
          </c:val>
          <c:smooth val="0"/>
          <c:extLst>
            <c:ext xmlns:c16="http://schemas.microsoft.com/office/drawing/2014/chart" uri="{C3380CC4-5D6E-409C-BE32-E72D297353CC}">
              <c16:uniqueId val="{00000002-A3C2-4B4C-996C-CDB1A252886F}"/>
            </c:ext>
          </c:extLst>
        </c:ser>
        <c:ser>
          <c:idx val="4"/>
          <c:order val="3"/>
          <c:tx>
            <c:strRef>
              <c:f>Projections!$A$23</c:f>
              <c:strCache>
                <c:ptCount val="1"/>
                <c:pt idx="0">
                  <c:v>Number Critical</c:v>
                </c:pt>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Projections!$G$23:$AA$23</c15:sqref>
                  </c15:fullRef>
                </c:ext>
              </c:extLst>
              <c:f>Projections!$G$23:$Z$23</c:f>
              <c:numCache>
                <c:formatCode>#,##0</c:formatCode>
                <c:ptCount val="20"/>
                <c:pt idx="4">
                  <c:v>1.5625</c:v>
                </c:pt>
                <c:pt idx="5">
                  <c:v>3.125</c:v>
                </c:pt>
                <c:pt idx="6">
                  <c:v>6.25</c:v>
                </c:pt>
                <c:pt idx="7">
                  <c:v>12.5</c:v>
                </c:pt>
                <c:pt idx="8">
                  <c:v>25</c:v>
                </c:pt>
                <c:pt idx="9">
                  <c:v>98.90625</c:v>
                </c:pt>
                <c:pt idx="10">
                  <c:v>198.90625</c:v>
                </c:pt>
                <c:pt idx="11">
                  <c:v>393.4375</c:v>
                </c:pt>
                <c:pt idx="12">
                  <c:v>785.3125</c:v>
                </c:pt>
                <c:pt idx="13">
                  <c:v>1535.625</c:v>
                </c:pt>
                <c:pt idx="14">
                  <c:v>3082.5</c:v>
                </c:pt>
                <c:pt idx="15">
                  <c:v>6212.5</c:v>
                </c:pt>
                <c:pt idx="16">
                  <c:v>12330</c:v>
                </c:pt>
                <c:pt idx="17">
                  <c:v>24660</c:v>
                </c:pt>
                <c:pt idx="18">
                  <c:v>49320</c:v>
                </c:pt>
                <c:pt idx="19">
                  <c:v>98640</c:v>
                </c:pt>
              </c:numCache>
            </c:numRef>
          </c:val>
          <c:smooth val="0"/>
          <c:extLst>
            <c:ext xmlns:c16="http://schemas.microsoft.com/office/drawing/2014/chart" uri="{C3380CC4-5D6E-409C-BE32-E72D297353CC}">
              <c16:uniqueId val="{00000003-A3C2-4B4C-996C-CDB1A252886F}"/>
            </c:ext>
          </c:extLst>
        </c:ser>
        <c:ser>
          <c:idx val="1"/>
          <c:order val="4"/>
          <c:tx>
            <c:strRef>
              <c:f>Projections!$A$24</c:f>
              <c:strCache>
                <c:ptCount val="1"/>
                <c:pt idx="0">
                  <c:v>Projected Cumulative Mortality Count (future projection)</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Projections!$G$24:$AA$24</c15:sqref>
                  </c15:fullRef>
                </c:ext>
              </c:extLst>
              <c:f>Projections!$G$24:$Z$24</c:f>
              <c:numCache>
                <c:formatCode>#,##0</c:formatCode>
                <c:ptCount val="20"/>
                <c:pt idx="0">
                  <c:v>1.09375</c:v>
                </c:pt>
                <c:pt idx="1">
                  <c:v>2.1875</c:v>
                </c:pt>
                <c:pt idx="2">
                  <c:v>4.375</c:v>
                </c:pt>
                <c:pt idx="3">
                  <c:v>8.75</c:v>
                </c:pt>
                <c:pt idx="4">
                  <c:v>17.5</c:v>
                </c:pt>
                <c:pt idx="5">
                  <c:v>35</c:v>
                </c:pt>
                <c:pt idx="6">
                  <c:v>70</c:v>
                </c:pt>
                <c:pt idx="7">
                  <c:v>140</c:v>
                </c:pt>
                <c:pt idx="8">
                  <c:v>280</c:v>
                </c:pt>
                <c:pt idx="9">
                  <c:v>560</c:v>
                </c:pt>
                <c:pt idx="10">
                  <c:v>1120</c:v>
                </c:pt>
                <c:pt idx="11">
                  <c:v>2240</c:v>
                </c:pt>
                <c:pt idx="12">
                  <c:v>4480</c:v>
                </c:pt>
                <c:pt idx="13">
                  <c:v>8960</c:v>
                </c:pt>
                <c:pt idx="14">
                  <c:v>17920</c:v>
                </c:pt>
                <c:pt idx="15">
                  <c:v>35840</c:v>
                </c:pt>
                <c:pt idx="16">
                  <c:v>71680</c:v>
                </c:pt>
                <c:pt idx="17">
                  <c:v>143360</c:v>
                </c:pt>
                <c:pt idx="18">
                  <c:v>286720</c:v>
                </c:pt>
                <c:pt idx="19">
                  <c:v>573440</c:v>
                </c:pt>
              </c:numCache>
            </c:numRef>
          </c:val>
          <c:smooth val="0"/>
          <c:extLst>
            <c:ext xmlns:c16="http://schemas.microsoft.com/office/drawing/2014/chart" uri="{C3380CC4-5D6E-409C-BE32-E72D297353CC}">
              <c16:uniqueId val="{00000004-A3C2-4B4C-996C-CDB1A252886F}"/>
            </c:ext>
          </c:extLst>
        </c:ser>
        <c:dLbls>
          <c:showLegendKey val="0"/>
          <c:showVal val="0"/>
          <c:showCatName val="0"/>
          <c:showSerName val="0"/>
          <c:showPercent val="0"/>
          <c:showBubbleSize val="0"/>
        </c:dLbls>
        <c:smooth val="0"/>
        <c:axId val="485124952"/>
        <c:axId val="485122000"/>
      </c:lineChart>
      <c:dateAx>
        <c:axId val="485124952"/>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2000"/>
        <c:crosses val="autoZero"/>
        <c:auto val="1"/>
        <c:lblOffset val="100"/>
        <c:baseTimeUnit val="days"/>
      </c:dateAx>
      <c:valAx>
        <c:axId val="485122000"/>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4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a:t>
            </a:r>
            <a:r>
              <a:rPr lang="en-AU" baseline="0"/>
              <a:t> COVID-19 Cumulative Infections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Projections!$A$40</c:f>
              <c:strCache>
                <c:ptCount val="1"/>
                <c:pt idx="0">
                  <c:v>80+</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Projections!$G$40:$AA$40</c15:sqref>
                  </c15:fullRef>
                </c:ext>
              </c:extLst>
              <c:f>Projections!$G$40:$Z$40</c:f>
              <c:numCache>
                <c:formatCode>#,##0</c:formatCode>
                <c:ptCount val="20"/>
                <c:pt idx="0">
                  <c:v>0.84481844685926311</c:v>
                </c:pt>
                <c:pt idx="1">
                  <c:v>1.6896368937185262</c:v>
                </c:pt>
                <c:pt idx="2">
                  <c:v>3.3792737874370524</c:v>
                </c:pt>
                <c:pt idx="3">
                  <c:v>6.7585475748741048</c:v>
                </c:pt>
                <c:pt idx="4">
                  <c:v>13.51709514974821</c:v>
                </c:pt>
                <c:pt idx="5">
                  <c:v>27.034190299496419</c:v>
                </c:pt>
                <c:pt idx="6">
                  <c:v>54.068380598992839</c:v>
                </c:pt>
                <c:pt idx="7">
                  <c:v>108.13676119798568</c:v>
                </c:pt>
                <c:pt idx="8">
                  <c:v>216.27352239597136</c:v>
                </c:pt>
                <c:pt idx="9">
                  <c:v>432.54704479194271</c:v>
                </c:pt>
                <c:pt idx="10">
                  <c:v>865.09408958388542</c:v>
                </c:pt>
                <c:pt idx="11">
                  <c:v>1730.1881791677708</c:v>
                </c:pt>
                <c:pt idx="12">
                  <c:v>3460.3763583355417</c:v>
                </c:pt>
                <c:pt idx="13">
                  <c:v>6920.7527166710834</c:v>
                </c:pt>
                <c:pt idx="14">
                  <c:v>13841.505433342167</c:v>
                </c:pt>
                <c:pt idx="15">
                  <c:v>27683.010866684333</c:v>
                </c:pt>
                <c:pt idx="16">
                  <c:v>55366.021733368667</c:v>
                </c:pt>
                <c:pt idx="17">
                  <c:v>110732.04346673733</c:v>
                </c:pt>
                <c:pt idx="18">
                  <c:v>221464.08693347467</c:v>
                </c:pt>
                <c:pt idx="19">
                  <c:v>442928.17386694934</c:v>
                </c:pt>
              </c:numCache>
            </c:numRef>
          </c:val>
          <c:smooth val="0"/>
          <c:extLst>
            <c:ext xmlns:c16="http://schemas.microsoft.com/office/drawing/2014/chart" uri="{C3380CC4-5D6E-409C-BE32-E72D297353CC}">
              <c16:uniqueId val="{00000000-7972-43AB-83E8-C2C99B4277B0}"/>
            </c:ext>
          </c:extLst>
        </c:ser>
        <c:ser>
          <c:idx val="2"/>
          <c:order val="1"/>
          <c:tx>
            <c:strRef>
              <c:f>Projections!$A$42</c:f>
              <c:strCache>
                <c:ptCount val="1"/>
                <c:pt idx="0">
                  <c:v>70-79</c:v>
                </c:pt>
              </c:strCache>
            </c:strRef>
          </c:tx>
          <c:spPr>
            <a:ln w="28575" cap="rnd">
              <a:solidFill>
                <a:schemeClr val="accent2">
                  <a:lumMod val="5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Projections!$G$42:$AA$42</c15:sqref>
                  </c15:fullRef>
                </c:ext>
              </c:extLst>
              <c:f>Projections!$G$42:$Z$42</c:f>
              <c:numCache>
                <c:formatCode>#,##0</c:formatCode>
                <c:ptCount val="20"/>
                <c:pt idx="0">
                  <c:v>3.5200768619135965</c:v>
                </c:pt>
                <c:pt idx="1">
                  <c:v>7.040153723827193</c:v>
                </c:pt>
                <c:pt idx="2">
                  <c:v>14.080307447654386</c:v>
                </c:pt>
                <c:pt idx="3">
                  <c:v>28.160614895308772</c:v>
                </c:pt>
                <c:pt idx="4">
                  <c:v>56.321229790617544</c:v>
                </c:pt>
                <c:pt idx="5">
                  <c:v>112.64245958123509</c:v>
                </c:pt>
                <c:pt idx="6">
                  <c:v>225.28491916247017</c:v>
                </c:pt>
                <c:pt idx="7">
                  <c:v>450.56983832494035</c:v>
                </c:pt>
                <c:pt idx="8">
                  <c:v>901.1396766498807</c:v>
                </c:pt>
                <c:pt idx="9">
                  <c:v>1802.2793532997614</c:v>
                </c:pt>
                <c:pt idx="10">
                  <c:v>3604.5587065995228</c:v>
                </c:pt>
                <c:pt idx="11">
                  <c:v>7209.1174131990456</c:v>
                </c:pt>
                <c:pt idx="12">
                  <c:v>14418.234826398091</c:v>
                </c:pt>
                <c:pt idx="13">
                  <c:v>28836.469652796182</c:v>
                </c:pt>
                <c:pt idx="14">
                  <c:v>57672.939305592365</c:v>
                </c:pt>
                <c:pt idx="15">
                  <c:v>115345.87861118473</c:v>
                </c:pt>
                <c:pt idx="16">
                  <c:v>230691.75722236946</c:v>
                </c:pt>
                <c:pt idx="17">
                  <c:v>461383.51444473892</c:v>
                </c:pt>
                <c:pt idx="18">
                  <c:v>922767.02888947784</c:v>
                </c:pt>
                <c:pt idx="19">
                  <c:v>1845534.0577789557</c:v>
                </c:pt>
              </c:numCache>
            </c:numRef>
          </c:val>
          <c:smooth val="0"/>
          <c:extLst>
            <c:ext xmlns:c16="http://schemas.microsoft.com/office/drawing/2014/chart" uri="{C3380CC4-5D6E-409C-BE32-E72D297353CC}">
              <c16:uniqueId val="{00000001-7972-43AB-83E8-C2C99B4277B0}"/>
            </c:ext>
          </c:extLst>
        </c:ser>
        <c:ser>
          <c:idx val="4"/>
          <c:order val="2"/>
          <c:tx>
            <c:strRef>
              <c:f>Projections!$A$44</c:f>
              <c:strCache>
                <c:ptCount val="1"/>
                <c:pt idx="0">
                  <c:v>60-69</c:v>
                </c:pt>
              </c:strCache>
            </c:strRef>
          </c:tx>
          <c:spPr>
            <a:ln w="28575" cap="rnd">
              <a:solidFill>
                <a:schemeClr val="accent4">
                  <a:lumMod val="6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Projections!$G$44:$AA$44</c15:sqref>
                  </c15:fullRef>
                </c:ext>
              </c:extLst>
              <c:f>Projections!$G$44:$Z$44</c:f>
              <c:numCache>
                <c:formatCode>#,##0</c:formatCode>
                <c:ptCount val="20"/>
                <c:pt idx="0">
                  <c:v>5.4002120328650944</c:v>
                </c:pt>
                <c:pt idx="1">
                  <c:v>10.800424065730189</c:v>
                </c:pt>
                <c:pt idx="2">
                  <c:v>21.600848131460378</c:v>
                </c:pt>
                <c:pt idx="3">
                  <c:v>43.201696262920755</c:v>
                </c:pt>
                <c:pt idx="4">
                  <c:v>86.403392525841511</c:v>
                </c:pt>
                <c:pt idx="5">
                  <c:v>172.80678505168302</c:v>
                </c:pt>
                <c:pt idx="6">
                  <c:v>345.61357010336604</c:v>
                </c:pt>
                <c:pt idx="7">
                  <c:v>691.22714020673209</c:v>
                </c:pt>
                <c:pt idx="8">
                  <c:v>1382.4542804134642</c:v>
                </c:pt>
                <c:pt idx="9">
                  <c:v>2764.9085608269284</c:v>
                </c:pt>
                <c:pt idx="10">
                  <c:v>5529.8171216538567</c:v>
                </c:pt>
                <c:pt idx="11">
                  <c:v>11059.634243307713</c:v>
                </c:pt>
                <c:pt idx="12">
                  <c:v>22119.268486615427</c:v>
                </c:pt>
                <c:pt idx="13">
                  <c:v>44238.536973230854</c:v>
                </c:pt>
                <c:pt idx="14">
                  <c:v>88477.073946461707</c:v>
                </c:pt>
                <c:pt idx="15">
                  <c:v>176954.14789292341</c:v>
                </c:pt>
                <c:pt idx="16">
                  <c:v>353908.29578584683</c:v>
                </c:pt>
                <c:pt idx="17">
                  <c:v>707816.59157169366</c:v>
                </c:pt>
                <c:pt idx="18">
                  <c:v>1415633.1831433873</c:v>
                </c:pt>
                <c:pt idx="19">
                  <c:v>2831266.3662867746</c:v>
                </c:pt>
              </c:numCache>
            </c:numRef>
          </c:val>
          <c:smooth val="0"/>
          <c:extLst>
            <c:ext xmlns:c16="http://schemas.microsoft.com/office/drawing/2014/chart" uri="{C3380CC4-5D6E-409C-BE32-E72D297353CC}">
              <c16:uniqueId val="{00000002-7972-43AB-83E8-C2C99B4277B0}"/>
            </c:ext>
          </c:extLst>
        </c:ser>
        <c:ser>
          <c:idx val="6"/>
          <c:order val="3"/>
          <c:tx>
            <c:strRef>
              <c:f>Projections!$A$46</c:f>
              <c:strCache>
                <c:ptCount val="1"/>
                <c:pt idx="0">
                  <c:v>50-59</c:v>
                </c:pt>
              </c:strCache>
            </c:strRef>
          </c:tx>
          <c:spPr>
            <a:ln w="28575" cap="rnd">
              <a:solidFill>
                <a:schemeClr val="accent2">
                  <a:lumMod val="80000"/>
                  <a:lumOff val="2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Projections!$G$46:$AA$46</c15:sqref>
                  </c15:fullRef>
                </c:ext>
              </c:extLst>
              <c:f>Projections!$G$46:$Z$46</c:f>
              <c:numCache>
                <c:formatCode>#,##0</c:formatCode>
                <c:ptCount val="20"/>
                <c:pt idx="0">
                  <c:v>4.9943678770209381</c:v>
                </c:pt>
                <c:pt idx="1">
                  <c:v>9.9887357540418762</c:v>
                </c:pt>
                <c:pt idx="2">
                  <c:v>19.977471508083752</c:v>
                </c:pt>
                <c:pt idx="3">
                  <c:v>39.954943016167505</c:v>
                </c:pt>
                <c:pt idx="4">
                  <c:v>79.90988603233501</c:v>
                </c:pt>
                <c:pt idx="5">
                  <c:v>159.81977206467002</c:v>
                </c:pt>
                <c:pt idx="6">
                  <c:v>319.63954412934004</c:v>
                </c:pt>
                <c:pt idx="7">
                  <c:v>639.27908825868008</c:v>
                </c:pt>
                <c:pt idx="8">
                  <c:v>1278.5581765173602</c:v>
                </c:pt>
                <c:pt idx="9">
                  <c:v>2557.1163530347203</c:v>
                </c:pt>
                <c:pt idx="10">
                  <c:v>5114.2327060694406</c:v>
                </c:pt>
                <c:pt idx="11">
                  <c:v>10228.465412138881</c:v>
                </c:pt>
                <c:pt idx="12">
                  <c:v>20456.930824277762</c:v>
                </c:pt>
                <c:pt idx="13">
                  <c:v>40913.861648555525</c:v>
                </c:pt>
                <c:pt idx="14">
                  <c:v>81827.72329711105</c:v>
                </c:pt>
                <c:pt idx="15">
                  <c:v>163655.4465942221</c:v>
                </c:pt>
                <c:pt idx="16">
                  <c:v>327310.8931884442</c:v>
                </c:pt>
                <c:pt idx="17">
                  <c:v>654621.7863768884</c:v>
                </c:pt>
                <c:pt idx="18">
                  <c:v>1309243.5727537768</c:v>
                </c:pt>
                <c:pt idx="19">
                  <c:v>2618487.1455075536</c:v>
                </c:pt>
              </c:numCache>
            </c:numRef>
          </c:val>
          <c:smooth val="0"/>
          <c:extLst>
            <c:ext xmlns:c16="http://schemas.microsoft.com/office/drawing/2014/chart" uri="{C3380CC4-5D6E-409C-BE32-E72D297353CC}">
              <c16:uniqueId val="{00000003-7972-43AB-83E8-C2C99B4277B0}"/>
            </c:ext>
          </c:extLst>
        </c:ser>
        <c:ser>
          <c:idx val="8"/>
          <c:order val="4"/>
          <c:tx>
            <c:strRef>
              <c:f>Projections!$A$48</c:f>
              <c:strCache>
                <c:ptCount val="1"/>
                <c:pt idx="0">
                  <c:v>40-49</c:v>
                </c:pt>
              </c:strCache>
            </c:strRef>
          </c:tx>
          <c:spPr>
            <a:ln w="28575" cap="rnd">
              <a:solidFill>
                <a:schemeClr val="accent6">
                  <a:lumMod val="80000"/>
                  <a:lumOff val="2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Projections!$G$48:$AA$48</c15:sqref>
                  </c15:fullRef>
                </c:ext>
              </c:extLst>
              <c:f>Projections!$G$48:$Z$48</c:f>
              <c:numCache>
                <c:formatCode>#,##0</c:formatCode>
                <c:ptCount val="20"/>
                <c:pt idx="0">
                  <c:v>4.1412668963689372</c:v>
                </c:pt>
                <c:pt idx="1">
                  <c:v>8.2825337927378744</c:v>
                </c:pt>
                <c:pt idx="2">
                  <c:v>16.565067585475749</c:v>
                </c:pt>
                <c:pt idx="3">
                  <c:v>33.130135170951498</c:v>
                </c:pt>
                <c:pt idx="4">
                  <c:v>66.260270341902995</c:v>
                </c:pt>
                <c:pt idx="5">
                  <c:v>132.52054068380599</c:v>
                </c:pt>
                <c:pt idx="6">
                  <c:v>265.04108136761198</c:v>
                </c:pt>
                <c:pt idx="7">
                  <c:v>530.08216273522396</c:v>
                </c:pt>
                <c:pt idx="8">
                  <c:v>1060.1643254704479</c:v>
                </c:pt>
                <c:pt idx="9">
                  <c:v>2120.3286509408958</c:v>
                </c:pt>
                <c:pt idx="10">
                  <c:v>4240.6573018817917</c:v>
                </c:pt>
                <c:pt idx="11">
                  <c:v>8481.3146037635834</c:v>
                </c:pt>
                <c:pt idx="12">
                  <c:v>16962.629207527167</c:v>
                </c:pt>
                <c:pt idx="13">
                  <c:v>33925.258415054333</c:v>
                </c:pt>
                <c:pt idx="14">
                  <c:v>67850.516830108667</c:v>
                </c:pt>
                <c:pt idx="15">
                  <c:v>135701.03366021733</c:v>
                </c:pt>
                <c:pt idx="16">
                  <c:v>271402.06732043467</c:v>
                </c:pt>
                <c:pt idx="17">
                  <c:v>542804.13464086934</c:v>
                </c:pt>
                <c:pt idx="18">
                  <c:v>1085608.2692817387</c:v>
                </c:pt>
                <c:pt idx="19">
                  <c:v>2171216.5385634773</c:v>
                </c:pt>
              </c:numCache>
            </c:numRef>
          </c:val>
          <c:smooth val="0"/>
          <c:extLst>
            <c:ext xmlns:c16="http://schemas.microsoft.com/office/drawing/2014/chart" uri="{C3380CC4-5D6E-409C-BE32-E72D297353CC}">
              <c16:uniqueId val="{00000004-7972-43AB-83E8-C2C99B4277B0}"/>
            </c:ext>
          </c:extLst>
        </c:ser>
        <c:ser>
          <c:idx val="10"/>
          <c:order val="5"/>
          <c:tx>
            <c:strRef>
              <c:f>Projections!$A$50</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Projections!$G$50:$AA$50</c15:sqref>
                  </c15:fullRef>
                </c:ext>
              </c:extLst>
              <c:f>Projections!$G$50:$Z$50</c:f>
              <c:numCache>
                <c:formatCode>#,##0</c:formatCode>
                <c:ptCount val="20"/>
                <c:pt idx="0">
                  <c:v>4.9446726742645115</c:v>
                </c:pt>
                <c:pt idx="1">
                  <c:v>9.889345348529023</c:v>
                </c:pt>
                <c:pt idx="2">
                  <c:v>19.778690697058046</c:v>
                </c:pt>
                <c:pt idx="3">
                  <c:v>39.557381394116092</c:v>
                </c:pt>
                <c:pt idx="4">
                  <c:v>79.114762788232184</c:v>
                </c:pt>
                <c:pt idx="5">
                  <c:v>158.22952557646437</c:v>
                </c:pt>
                <c:pt idx="6">
                  <c:v>316.45905115292874</c:v>
                </c:pt>
                <c:pt idx="7">
                  <c:v>632.91810230585747</c:v>
                </c:pt>
                <c:pt idx="8">
                  <c:v>1265.8362046117149</c:v>
                </c:pt>
                <c:pt idx="9">
                  <c:v>2531.6724092234299</c:v>
                </c:pt>
                <c:pt idx="10">
                  <c:v>5063.3448184468598</c:v>
                </c:pt>
                <c:pt idx="11">
                  <c:v>10126.68963689372</c:v>
                </c:pt>
                <c:pt idx="12">
                  <c:v>20253.379273787439</c:v>
                </c:pt>
                <c:pt idx="13">
                  <c:v>40506.758547574878</c:v>
                </c:pt>
                <c:pt idx="14">
                  <c:v>81013.517095149757</c:v>
                </c:pt>
                <c:pt idx="15">
                  <c:v>162027.03419029951</c:v>
                </c:pt>
                <c:pt idx="16">
                  <c:v>324054.06838059903</c:v>
                </c:pt>
                <c:pt idx="17">
                  <c:v>648108.13676119805</c:v>
                </c:pt>
                <c:pt idx="18">
                  <c:v>1296216.2735223961</c:v>
                </c:pt>
                <c:pt idx="19">
                  <c:v>2592432.5470447922</c:v>
                </c:pt>
              </c:numCache>
            </c:numRef>
          </c:val>
          <c:smooth val="0"/>
          <c:extLst>
            <c:ext xmlns:c16="http://schemas.microsoft.com/office/drawing/2014/chart" uri="{C3380CC4-5D6E-409C-BE32-E72D297353CC}">
              <c16:uniqueId val="{00000005-7972-43AB-83E8-C2C99B4277B0}"/>
            </c:ext>
          </c:extLst>
        </c:ser>
        <c:ser>
          <c:idx val="12"/>
          <c:order val="6"/>
          <c:tx>
            <c:strRef>
              <c:f>Projections!$A$52</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Projections!$G$52:$AA$52</c15:sqref>
                  </c15:fullRef>
                </c:ext>
              </c:extLst>
              <c:f>Projections!$G$52:$Z$52</c:f>
              <c:numCache>
                <c:formatCode>#,##0</c:formatCode>
                <c:ptCount val="20"/>
                <c:pt idx="0">
                  <c:v>6.3775510204081636</c:v>
                </c:pt>
                <c:pt idx="1">
                  <c:v>12.755102040816327</c:v>
                </c:pt>
                <c:pt idx="2">
                  <c:v>25.510204081632654</c:v>
                </c:pt>
                <c:pt idx="3">
                  <c:v>51.020408163265309</c:v>
                </c:pt>
                <c:pt idx="4">
                  <c:v>102.04081632653062</c:v>
                </c:pt>
                <c:pt idx="5">
                  <c:v>204.08163265306123</c:v>
                </c:pt>
                <c:pt idx="6">
                  <c:v>408.16326530612247</c:v>
                </c:pt>
                <c:pt idx="7">
                  <c:v>816.32653061224494</c:v>
                </c:pt>
                <c:pt idx="8">
                  <c:v>1632.6530612244899</c:v>
                </c:pt>
                <c:pt idx="9">
                  <c:v>3265.3061224489797</c:v>
                </c:pt>
                <c:pt idx="10">
                  <c:v>6530.6122448979595</c:v>
                </c:pt>
                <c:pt idx="11">
                  <c:v>13061.224489795919</c:v>
                </c:pt>
                <c:pt idx="12">
                  <c:v>26122.448979591838</c:v>
                </c:pt>
                <c:pt idx="13">
                  <c:v>52244.897959183676</c:v>
                </c:pt>
                <c:pt idx="14">
                  <c:v>104489.79591836735</c:v>
                </c:pt>
                <c:pt idx="15">
                  <c:v>208979.5918367347</c:v>
                </c:pt>
                <c:pt idx="16">
                  <c:v>417959.18367346941</c:v>
                </c:pt>
                <c:pt idx="17">
                  <c:v>835918.36734693882</c:v>
                </c:pt>
                <c:pt idx="18">
                  <c:v>1671836.7346938776</c:v>
                </c:pt>
                <c:pt idx="19">
                  <c:v>3343673.4693877553</c:v>
                </c:pt>
              </c:numCache>
            </c:numRef>
          </c:val>
          <c:smooth val="0"/>
          <c:extLst>
            <c:ext xmlns:c16="http://schemas.microsoft.com/office/drawing/2014/chart" uri="{C3380CC4-5D6E-409C-BE32-E72D297353CC}">
              <c16:uniqueId val="{00000006-7972-43AB-83E8-C2C99B4277B0}"/>
            </c:ext>
          </c:extLst>
        </c:ser>
        <c:ser>
          <c:idx val="14"/>
          <c:order val="7"/>
          <c:tx>
            <c:strRef>
              <c:f>Projections!$A$54</c:f>
              <c:strCache>
                <c:ptCount val="1"/>
                <c:pt idx="0">
                  <c:v>10-19</c:v>
                </c:pt>
              </c:strCache>
            </c:strRef>
          </c:tx>
          <c:spPr>
            <a:ln w="28575" cap="rnd">
              <a:solidFill>
                <a:schemeClr val="accent6">
                  <a:lumMod val="60000"/>
                  <a:lumOff val="4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Projections!$G$54:$AA$54</c15:sqref>
                  </c15:fullRef>
                </c:ext>
              </c:extLst>
              <c:f>Projections!$G$54:$Z$54</c:f>
              <c:numCache>
                <c:formatCode>#,##0</c:formatCode>
                <c:ptCount val="20"/>
                <c:pt idx="0">
                  <c:v>0.80340577789557377</c:v>
                </c:pt>
                <c:pt idx="1">
                  <c:v>1.6068115557911475</c:v>
                </c:pt>
                <c:pt idx="2">
                  <c:v>3.2136231115822951</c:v>
                </c:pt>
                <c:pt idx="3">
                  <c:v>6.4272462231645902</c:v>
                </c:pt>
                <c:pt idx="4">
                  <c:v>12.85449244632918</c:v>
                </c:pt>
                <c:pt idx="5">
                  <c:v>25.708984892658361</c:v>
                </c:pt>
                <c:pt idx="6">
                  <c:v>51.417969785316721</c:v>
                </c:pt>
                <c:pt idx="7">
                  <c:v>102.83593957063344</c:v>
                </c:pt>
                <c:pt idx="8">
                  <c:v>205.67187914126688</c:v>
                </c:pt>
                <c:pt idx="9">
                  <c:v>411.34375828253377</c:v>
                </c:pt>
                <c:pt idx="10">
                  <c:v>822.68751656506754</c:v>
                </c:pt>
                <c:pt idx="11">
                  <c:v>1645.3750331301351</c:v>
                </c:pt>
                <c:pt idx="12">
                  <c:v>3290.7500662602702</c:v>
                </c:pt>
                <c:pt idx="13">
                  <c:v>6581.5001325205403</c:v>
                </c:pt>
                <c:pt idx="14">
                  <c:v>13163.000265041081</c:v>
                </c:pt>
                <c:pt idx="15">
                  <c:v>26326.000530082161</c:v>
                </c:pt>
                <c:pt idx="16">
                  <c:v>52652.001060164323</c:v>
                </c:pt>
                <c:pt idx="17">
                  <c:v>105304.00212032865</c:v>
                </c:pt>
                <c:pt idx="18">
                  <c:v>210608.00424065729</c:v>
                </c:pt>
                <c:pt idx="19">
                  <c:v>421216.00848131458</c:v>
                </c:pt>
              </c:numCache>
            </c:numRef>
          </c:val>
          <c:smooth val="0"/>
          <c:extLst>
            <c:ext xmlns:c16="http://schemas.microsoft.com/office/drawing/2014/chart" uri="{C3380CC4-5D6E-409C-BE32-E72D297353CC}">
              <c16:uniqueId val="{00000007-7972-43AB-83E8-C2C99B4277B0}"/>
            </c:ext>
          </c:extLst>
        </c:ser>
        <c:ser>
          <c:idx val="16"/>
          <c:order val="8"/>
          <c:tx>
            <c:strRef>
              <c:f>Projections!$A$56</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Projections!$G$56:$AA$56</c15:sqref>
                  </c15:fullRef>
                </c:ext>
              </c:extLst>
              <c:f>Projections!$G$56:$Z$56</c:f>
              <c:numCache>
                <c:formatCode>#,##0</c:formatCode>
                <c:ptCount val="20"/>
                <c:pt idx="0">
                  <c:v>0.22362841240392262</c:v>
                </c:pt>
                <c:pt idx="1">
                  <c:v>0.44725682480784523</c:v>
                </c:pt>
                <c:pt idx="2">
                  <c:v>0.89451364961569046</c:v>
                </c:pt>
                <c:pt idx="3">
                  <c:v>1.7890272992313809</c:v>
                </c:pt>
                <c:pt idx="4">
                  <c:v>3.5780545984627619</c:v>
                </c:pt>
                <c:pt idx="5">
                  <c:v>7.1561091969255237</c:v>
                </c:pt>
                <c:pt idx="6">
                  <c:v>14.312218393851047</c:v>
                </c:pt>
                <c:pt idx="7">
                  <c:v>28.624436787702095</c:v>
                </c:pt>
                <c:pt idx="8">
                  <c:v>57.24887357540419</c:v>
                </c:pt>
                <c:pt idx="9">
                  <c:v>114.49774715080838</c:v>
                </c:pt>
                <c:pt idx="10">
                  <c:v>228.99549430161676</c:v>
                </c:pt>
                <c:pt idx="11">
                  <c:v>457.99098860323352</c:v>
                </c:pt>
                <c:pt idx="12">
                  <c:v>915.98197720646704</c:v>
                </c:pt>
                <c:pt idx="13">
                  <c:v>1831.9639544129341</c:v>
                </c:pt>
                <c:pt idx="14">
                  <c:v>3663.9279088258681</c:v>
                </c:pt>
                <c:pt idx="15">
                  <c:v>7327.8558176517363</c:v>
                </c:pt>
                <c:pt idx="16">
                  <c:v>14655.711635303473</c:v>
                </c:pt>
                <c:pt idx="17">
                  <c:v>29311.423270606945</c:v>
                </c:pt>
                <c:pt idx="18">
                  <c:v>58622.84654121389</c:v>
                </c:pt>
                <c:pt idx="19">
                  <c:v>117245.69308242778</c:v>
                </c:pt>
              </c:numCache>
            </c:numRef>
          </c:val>
          <c:smooth val="0"/>
          <c:extLst>
            <c:ext xmlns:c16="http://schemas.microsoft.com/office/drawing/2014/chart" uri="{C3380CC4-5D6E-409C-BE32-E72D297353CC}">
              <c16:uniqueId val="{00000008-7972-43AB-83E8-C2C99B4277B0}"/>
            </c:ext>
          </c:extLst>
        </c:ser>
        <c:dLbls>
          <c:showLegendKey val="0"/>
          <c:showVal val="0"/>
          <c:showCatName val="0"/>
          <c:showSerName val="0"/>
          <c:showPercent val="0"/>
          <c:showBubbleSize val="0"/>
        </c:dLbls>
        <c:smooth val="0"/>
        <c:axId val="594920464"/>
        <c:axId val="585298016"/>
      </c:lineChart>
      <c:dateAx>
        <c:axId val="59492046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98016"/>
        <c:crosses val="autoZero"/>
        <c:auto val="1"/>
        <c:lblOffset val="100"/>
        <c:baseTimeUnit val="days"/>
      </c:dateAx>
      <c:valAx>
        <c:axId val="585298016"/>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Projections!$A$40</c:f>
              <c:strCache>
                <c:ptCount val="1"/>
                <c:pt idx="0">
                  <c:v>80+</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Projections!$G$41:$AA$41</c15:sqref>
                  </c15:fullRef>
                </c:ext>
              </c:extLst>
              <c:f>Projections!$G$41:$Z$41</c:f>
              <c:numCache>
                <c:formatCode>#,##0</c:formatCode>
                <c:ptCount val="20"/>
                <c:pt idx="0">
                  <c:v>0.12503313013517092</c:v>
                </c:pt>
                <c:pt idx="1">
                  <c:v>0.25006626027034184</c:v>
                </c:pt>
                <c:pt idx="2">
                  <c:v>0.50013252054068369</c:v>
                </c:pt>
                <c:pt idx="3">
                  <c:v>1.0002650410813674</c:v>
                </c:pt>
                <c:pt idx="4">
                  <c:v>2.0005300821627348</c:v>
                </c:pt>
                <c:pt idx="5">
                  <c:v>4.0010601643254695</c:v>
                </c:pt>
                <c:pt idx="6">
                  <c:v>8.002120328650939</c:v>
                </c:pt>
                <c:pt idx="7">
                  <c:v>16.004240657301878</c:v>
                </c:pt>
                <c:pt idx="8">
                  <c:v>32.008481314603756</c:v>
                </c:pt>
                <c:pt idx="9">
                  <c:v>64.016962629207512</c:v>
                </c:pt>
                <c:pt idx="10">
                  <c:v>128.03392525841502</c:v>
                </c:pt>
                <c:pt idx="11">
                  <c:v>256.06785051683005</c:v>
                </c:pt>
                <c:pt idx="12">
                  <c:v>512.1357010336601</c:v>
                </c:pt>
                <c:pt idx="13">
                  <c:v>1024.2714020673202</c:v>
                </c:pt>
                <c:pt idx="14">
                  <c:v>2048.5428041346404</c:v>
                </c:pt>
                <c:pt idx="15">
                  <c:v>4097.0856082692808</c:v>
                </c:pt>
                <c:pt idx="16">
                  <c:v>8194.1712165385616</c:v>
                </c:pt>
                <c:pt idx="17">
                  <c:v>16388.342433077123</c:v>
                </c:pt>
                <c:pt idx="18">
                  <c:v>32776.684866154246</c:v>
                </c:pt>
                <c:pt idx="19">
                  <c:v>65553.369732308493</c:v>
                </c:pt>
              </c:numCache>
            </c:numRef>
          </c:val>
          <c:smooth val="0"/>
          <c:extLst>
            <c:ext xmlns:c16="http://schemas.microsoft.com/office/drawing/2014/chart" uri="{C3380CC4-5D6E-409C-BE32-E72D297353CC}">
              <c16:uniqueId val="{00000000-FE50-482D-905D-7C3B099138E4}"/>
            </c:ext>
          </c:extLst>
        </c:ser>
        <c:ser>
          <c:idx val="3"/>
          <c:order val="1"/>
          <c:tx>
            <c:strRef>
              <c:f>Projections!$A$42</c:f>
              <c:strCache>
                <c:ptCount val="1"/>
                <c:pt idx="0">
                  <c:v>70-79</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Projections!$G$43:$AA$43</c15:sqref>
                  </c15:fullRef>
                </c:ext>
              </c:extLst>
              <c:f>Projections!$G$43:$Z$43</c:f>
              <c:numCache>
                <c:formatCode>#,##0</c:formatCode>
                <c:ptCount val="20"/>
                <c:pt idx="0">
                  <c:v>0.28160614895308772</c:v>
                </c:pt>
                <c:pt idx="1">
                  <c:v>0.56321229790617544</c:v>
                </c:pt>
                <c:pt idx="2">
                  <c:v>1.1264245958123509</c:v>
                </c:pt>
                <c:pt idx="3">
                  <c:v>2.2528491916247018</c:v>
                </c:pt>
                <c:pt idx="4">
                  <c:v>4.5056983832494035</c:v>
                </c:pt>
                <c:pt idx="5">
                  <c:v>9.0113967664988071</c:v>
                </c:pt>
                <c:pt idx="6">
                  <c:v>18.022793532997614</c:v>
                </c:pt>
                <c:pt idx="7">
                  <c:v>36.045587065995228</c:v>
                </c:pt>
                <c:pt idx="8">
                  <c:v>72.091174131990456</c:v>
                </c:pt>
                <c:pt idx="9">
                  <c:v>144.18234826398091</c:v>
                </c:pt>
                <c:pt idx="10">
                  <c:v>288.36469652796183</c:v>
                </c:pt>
                <c:pt idx="11">
                  <c:v>576.72939305592365</c:v>
                </c:pt>
                <c:pt idx="12">
                  <c:v>1153.4587861118473</c:v>
                </c:pt>
                <c:pt idx="13">
                  <c:v>2306.9175722236946</c:v>
                </c:pt>
                <c:pt idx="14">
                  <c:v>4613.8351444473892</c:v>
                </c:pt>
                <c:pt idx="15">
                  <c:v>9227.6702888947784</c:v>
                </c:pt>
                <c:pt idx="16">
                  <c:v>18455.340577789557</c:v>
                </c:pt>
                <c:pt idx="17">
                  <c:v>36910.681155579114</c:v>
                </c:pt>
                <c:pt idx="18">
                  <c:v>73821.362311158227</c:v>
                </c:pt>
                <c:pt idx="19">
                  <c:v>147642.72462231645</c:v>
                </c:pt>
              </c:numCache>
            </c:numRef>
          </c:val>
          <c:smooth val="0"/>
          <c:extLst>
            <c:ext xmlns:c16="http://schemas.microsoft.com/office/drawing/2014/chart" uri="{C3380CC4-5D6E-409C-BE32-E72D297353CC}">
              <c16:uniqueId val="{00000001-FE50-482D-905D-7C3B099138E4}"/>
            </c:ext>
          </c:extLst>
        </c:ser>
        <c:ser>
          <c:idx val="5"/>
          <c:order val="2"/>
          <c:tx>
            <c:strRef>
              <c:f>Projections!$A$44</c:f>
              <c:strCache>
                <c:ptCount val="1"/>
                <c:pt idx="0">
                  <c:v>60-69</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Projections!$G$45:$AA$45</c15:sqref>
                  </c15:fullRef>
                </c:ext>
              </c:extLst>
              <c:f>Projections!$G$45:$Z$45</c:f>
              <c:numCache>
                <c:formatCode>#,##0</c:formatCode>
                <c:ptCount val="20"/>
                <c:pt idx="0">
                  <c:v>0.19440763318314339</c:v>
                </c:pt>
                <c:pt idx="1">
                  <c:v>0.38881526636628677</c:v>
                </c:pt>
                <c:pt idx="2">
                  <c:v>0.77763053273257354</c:v>
                </c:pt>
                <c:pt idx="3">
                  <c:v>1.5552610654651471</c:v>
                </c:pt>
                <c:pt idx="4">
                  <c:v>3.1105221309302942</c:v>
                </c:pt>
                <c:pt idx="5">
                  <c:v>6.2210442618605883</c:v>
                </c:pt>
                <c:pt idx="6">
                  <c:v>12.442088523721177</c:v>
                </c:pt>
                <c:pt idx="7">
                  <c:v>24.884177047442353</c:v>
                </c:pt>
                <c:pt idx="8">
                  <c:v>49.768354094884707</c:v>
                </c:pt>
                <c:pt idx="9">
                  <c:v>99.536708189769413</c:v>
                </c:pt>
                <c:pt idx="10">
                  <c:v>199.07341637953883</c:v>
                </c:pt>
                <c:pt idx="11">
                  <c:v>398.14683275907765</c:v>
                </c:pt>
                <c:pt idx="12">
                  <c:v>796.29366551815531</c:v>
                </c:pt>
                <c:pt idx="13">
                  <c:v>1592.5873310363106</c:v>
                </c:pt>
                <c:pt idx="14">
                  <c:v>3185.1746620726212</c:v>
                </c:pt>
                <c:pt idx="15">
                  <c:v>6370.3493241452425</c:v>
                </c:pt>
                <c:pt idx="16">
                  <c:v>12740.698648290485</c:v>
                </c:pt>
                <c:pt idx="17">
                  <c:v>25481.39729658097</c:v>
                </c:pt>
                <c:pt idx="18">
                  <c:v>50962.79459316194</c:v>
                </c:pt>
                <c:pt idx="19">
                  <c:v>101925.58918632388</c:v>
                </c:pt>
              </c:numCache>
            </c:numRef>
          </c:val>
          <c:smooth val="0"/>
          <c:extLst>
            <c:ext xmlns:c16="http://schemas.microsoft.com/office/drawing/2014/chart" uri="{C3380CC4-5D6E-409C-BE32-E72D297353CC}">
              <c16:uniqueId val="{00000002-FE50-482D-905D-7C3B099138E4}"/>
            </c:ext>
          </c:extLst>
        </c:ser>
        <c:ser>
          <c:idx val="7"/>
          <c:order val="3"/>
          <c:tx>
            <c:strRef>
              <c:f>Projections!$A$46</c:f>
              <c:strCache>
                <c:ptCount val="1"/>
                <c:pt idx="0">
                  <c:v>50-59</c:v>
                </c:pt>
              </c:strCache>
            </c:strRef>
          </c:tx>
          <c:spPr>
            <a:ln w="28575" cap="rnd">
              <a:solidFill>
                <a:schemeClr val="accent1">
                  <a:lumMod val="60000"/>
                  <a:lumOff val="4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Projections!$G$47:$AA$47</c15:sqref>
                  </c15:fullRef>
                </c:ext>
              </c:extLst>
              <c:f>Projections!$G$47:$Z$47</c:f>
              <c:numCache>
                <c:formatCode>#,##0</c:formatCode>
                <c:ptCount val="20"/>
                <c:pt idx="0">
                  <c:v>6.4926782401272198E-2</c:v>
                </c:pt>
                <c:pt idx="1">
                  <c:v>0.1298535648025444</c:v>
                </c:pt>
                <c:pt idx="2">
                  <c:v>0.25970712960508879</c:v>
                </c:pt>
                <c:pt idx="3">
                  <c:v>0.51941425921017759</c:v>
                </c:pt>
                <c:pt idx="4">
                  <c:v>1.0388285184203552</c:v>
                </c:pt>
                <c:pt idx="5">
                  <c:v>2.0776570368407103</c:v>
                </c:pt>
                <c:pt idx="6">
                  <c:v>4.1553140736814207</c:v>
                </c:pt>
                <c:pt idx="7">
                  <c:v>8.3106281473628414</c:v>
                </c:pt>
                <c:pt idx="8">
                  <c:v>16.621256294725683</c:v>
                </c:pt>
                <c:pt idx="9">
                  <c:v>33.242512589451366</c:v>
                </c:pt>
                <c:pt idx="10">
                  <c:v>66.485025178902731</c:v>
                </c:pt>
                <c:pt idx="11">
                  <c:v>132.97005035780546</c:v>
                </c:pt>
                <c:pt idx="12">
                  <c:v>265.94010071561092</c:v>
                </c:pt>
                <c:pt idx="13">
                  <c:v>531.88020143122185</c:v>
                </c:pt>
                <c:pt idx="14">
                  <c:v>1063.7604028624437</c:v>
                </c:pt>
                <c:pt idx="15">
                  <c:v>2127.5208057248874</c:v>
                </c:pt>
                <c:pt idx="16">
                  <c:v>4255.0416114497748</c:v>
                </c:pt>
                <c:pt idx="17">
                  <c:v>8510.0832228995496</c:v>
                </c:pt>
                <c:pt idx="18">
                  <c:v>17020.166445799099</c:v>
                </c:pt>
                <c:pt idx="19">
                  <c:v>34040.332891598198</c:v>
                </c:pt>
              </c:numCache>
            </c:numRef>
          </c:val>
          <c:smooth val="0"/>
          <c:extLst>
            <c:ext xmlns:c16="http://schemas.microsoft.com/office/drawing/2014/chart" uri="{C3380CC4-5D6E-409C-BE32-E72D297353CC}">
              <c16:uniqueId val="{00000003-FE50-482D-905D-7C3B099138E4}"/>
            </c:ext>
          </c:extLst>
        </c:ser>
        <c:ser>
          <c:idx val="9"/>
          <c:order val="4"/>
          <c:tx>
            <c:strRef>
              <c:f>Projections!$A$48</c:f>
              <c:strCache>
                <c:ptCount val="1"/>
                <c:pt idx="0">
                  <c:v>40-49</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Projections!$G$49:$AA$49</c15:sqref>
                  </c15:fullRef>
                </c:ext>
              </c:extLst>
              <c:f>Projections!$G$49:$Z$49</c:f>
              <c:numCache>
                <c:formatCode>#,##0</c:formatCode>
                <c:ptCount val="20"/>
                <c:pt idx="0">
                  <c:v>1.6565067585475751E-2</c:v>
                </c:pt>
                <c:pt idx="1">
                  <c:v>3.3130135170951501E-2</c:v>
                </c:pt>
                <c:pt idx="2">
                  <c:v>6.6260270341903002E-2</c:v>
                </c:pt>
                <c:pt idx="3">
                  <c:v>0.132520540683806</c:v>
                </c:pt>
                <c:pt idx="4">
                  <c:v>0.26504108136761201</c:v>
                </c:pt>
                <c:pt idx="5">
                  <c:v>0.53008216273522402</c:v>
                </c:pt>
                <c:pt idx="6">
                  <c:v>1.060164325470448</c:v>
                </c:pt>
                <c:pt idx="7">
                  <c:v>2.1203286509408961</c:v>
                </c:pt>
                <c:pt idx="8">
                  <c:v>4.2406573018817921</c:v>
                </c:pt>
                <c:pt idx="9">
                  <c:v>8.4813146037635843</c:v>
                </c:pt>
                <c:pt idx="10">
                  <c:v>16.962629207527169</c:v>
                </c:pt>
                <c:pt idx="11">
                  <c:v>33.925258415054337</c:v>
                </c:pt>
                <c:pt idx="12">
                  <c:v>67.850516830108674</c:v>
                </c:pt>
                <c:pt idx="13">
                  <c:v>135.70103366021735</c:v>
                </c:pt>
                <c:pt idx="14">
                  <c:v>271.4020673204347</c:v>
                </c:pt>
                <c:pt idx="15">
                  <c:v>542.80413464086939</c:v>
                </c:pt>
                <c:pt idx="16">
                  <c:v>1085.6082692817388</c:v>
                </c:pt>
                <c:pt idx="17">
                  <c:v>2171.2165385634776</c:v>
                </c:pt>
                <c:pt idx="18">
                  <c:v>4342.4330771269551</c:v>
                </c:pt>
                <c:pt idx="19">
                  <c:v>8684.8661542539103</c:v>
                </c:pt>
              </c:numCache>
            </c:numRef>
          </c:val>
          <c:smooth val="0"/>
          <c:extLst>
            <c:ext xmlns:c16="http://schemas.microsoft.com/office/drawing/2014/chart" uri="{C3380CC4-5D6E-409C-BE32-E72D297353CC}">
              <c16:uniqueId val="{00000004-FE50-482D-905D-7C3B099138E4}"/>
            </c:ext>
          </c:extLst>
        </c:ser>
        <c:ser>
          <c:idx val="11"/>
          <c:order val="5"/>
          <c:tx>
            <c:strRef>
              <c:f>Projections!$A$50</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Projections!$G$51:$AA$51</c15:sqref>
                  </c15:fullRef>
                </c:ext>
              </c:extLst>
              <c:f>Projections!$G$51:$Z$51</c:f>
              <c:numCache>
                <c:formatCode>#,##0</c:formatCode>
                <c:ptCount val="20"/>
                <c:pt idx="0">
                  <c:v>9.8893453485290224E-3</c:v>
                </c:pt>
                <c:pt idx="1">
                  <c:v>1.9778690697058045E-2</c:v>
                </c:pt>
                <c:pt idx="2">
                  <c:v>3.955738139411609E-2</c:v>
                </c:pt>
                <c:pt idx="3">
                  <c:v>7.9114762788232179E-2</c:v>
                </c:pt>
                <c:pt idx="4">
                  <c:v>0.15822952557646436</c:v>
                </c:pt>
                <c:pt idx="5">
                  <c:v>0.31645905115292872</c:v>
                </c:pt>
                <c:pt idx="6">
                  <c:v>0.63291810230585743</c:v>
                </c:pt>
                <c:pt idx="7">
                  <c:v>1.2658362046117149</c:v>
                </c:pt>
                <c:pt idx="8">
                  <c:v>2.5316724092234297</c:v>
                </c:pt>
                <c:pt idx="9">
                  <c:v>5.0633448184468595</c:v>
                </c:pt>
                <c:pt idx="10">
                  <c:v>10.126689636893719</c:v>
                </c:pt>
                <c:pt idx="11">
                  <c:v>20.253379273787438</c:v>
                </c:pt>
                <c:pt idx="12">
                  <c:v>40.506758547574876</c:v>
                </c:pt>
                <c:pt idx="13">
                  <c:v>81.013517095149751</c:v>
                </c:pt>
                <c:pt idx="14">
                  <c:v>162.0270341902995</c:v>
                </c:pt>
                <c:pt idx="15">
                  <c:v>324.05406838059901</c:v>
                </c:pt>
                <c:pt idx="16">
                  <c:v>648.10813676119801</c:v>
                </c:pt>
                <c:pt idx="17">
                  <c:v>1296.216273522396</c:v>
                </c:pt>
                <c:pt idx="18">
                  <c:v>2592.432547044792</c:v>
                </c:pt>
                <c:pt idx="19">
                  <c:v>5184.8650940895841</c:v>
                </c:pt>
              </c:numCache>
            </c:numRef>
          </c:val>
          <c:smooth val="0"/>
          <c:extLst>
            <c:ext xmlns:c16="http://schemas.microsoft.com/office/drawing/2014/chart" uri="{C3380CC4-5D6E-409C-BE32-E72D297353CC}">
              <c16:uniqueId val="{00000005-FE50-482D-905D-7C3B099138E4}"/>
            </c:ext>
          </c:extLst>
        </c:ser>
        <c:ser>
          <c:idx val="13"/>
          <c:order val="6"/>
          <c:tx>
            <c:strRef>
              <c:f>Projections!$A$52</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Projections!$G$53:$AA$53</c15:sqref>
                  </c15:fullRef>
                </c:ext>
              </c:extLst>
              <c:f>Projections!$G$53:$Z$53</c:f>
              <c:numCache>
                <c:formatCode>#,##0</c:formatCode>
                <c:ptCount val="20"/>
                <c:pt idx="0">
                  <c:v>1.2755102040816327E-2</c:v>
                </c:pt>
                <c:pt idx="1">
                  <c:v>2.5510204081632654E-2</c:v>
                </c:pt>
                <c:pt idx="2">
                  <c:v>5.1020408163265307E-2</c:v>
                </c:pt>
                <c:pt idx="3">
                  <c:v>0.10204081632653061</c:v>
                </c:pt>
                <c:pt idx="4">
                  <c:v>0.20408163265306123</c:v>
                </c:pt>
                <c:pt idx="5">
                  <c:v>0.40816326530612246</c:v>
                </c:pt>
                <c:pt idx="6">
                  <c:v>0.81632653061224492</c:v>
                </c:pt>
                <c:pt idx="7">
                  <c:v>1.6326530612244898</c:v>
                </c:pt>
                <c:pt idx="8">
                  <c:v>3.2653061224489797</c:v>
                </c:pt>
                <c:pt idx="9">
                  <c:v>6.5306122448979593</c:v>
                </c:pt>
                <c:pt idx="10">
                  <c:v>13.061224489795919</c:v>
                </c:pt>
                <c:pt idx="11">
                  <c:v>26.122448979591837</c:v>
                </c:pt>
                <c:pt idx="12">
                  <c:v>52.244897959183675</c:v>
                </c:pt>
                <c:pt idx="13">
                  <c:v>104.48979591836735</c:v>
                </c:pt>
                <c:pt idx="14">
                  <c:v>208.9795918367347</c:v>
                </c:pt>
                <c:pt idx="15">
                  <c:v>417.9591836734694</c:v>
                </c:pt>
                <c:pt idx="16">
                  <c:v>835.91836734693879</c:v>
                </c:pt>
                <c:pt idx="17">
                  <c:v>1671.8367346938776</c:v>
                </c:pt>
                <c:pt idx="18">
                  <c:v>3343.6734693877552</c:v>
                </c:pt>
                <c:pt idx="19">
                  <c:v>6687.3469387755104</c:v>
                </c:pt>
              </c:numCache>
            </c:numRef>
          </c:val>
          <c:smooth val="0"/>
          <c:extLst>
            <c:ext xmlns:c16="http://schemas.microsoft.com/office/drawing/2014/chart" uri="{C3380CC4-5D6E-409C-BE32-E72D297353CC}">
              <c16:uniqueId val="{00000006-FE50-482D-905D-7C3B099138E4}"/>
            </c:ext>
          </c:extLst>
        </c:ser>
        <c:ser>
          <c:idx val="15"/>
          <c:order val="7"/>
          <c:tx>
            <c:strRef>
              <c:f>Projections!$A$54</c:f>
              <c:strCache>
                <c:ptCount val="1"/>
                <c:pt idx="0">
                  <c:v>10-19</c:v>
                </c:pt>
              </c:strCache>
            </c:strRef>
          </c:tx>
          <c:spPr>
            <a:ln w="28575" cap="rnd">
              <a:solidFill>
                <a:srgbClr val="92D05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Projections!$G$55:$AA$55</c15:sqref>
                  </c15:fullRef>
                </c:ext>
              </c:extLst>
              <c:f>Projections!$G$55:$Z$55</c:f>
              <c:numCache>
                <c:formatCode>#,##0</c:formatCode>
                <c:ptCount val="20"/>
                <c:pt idx="0">
                  <c:v>1.6068115557911476E-3</c:v>
                </c:pt>
                <c:pt idx="1">
                  <c:v>3.2136231115822951E-3</c:v>
                </c:pt>
                <c:pt idx="2">
                  <c:v>6.4272462231645903E-3</c:v>
                </c:pt>
                <c:pt idx="3">
                  <c:v>1.2854492446329181E-2</c:v>
                </c:pt>
                <c:pt idx="4">
                  <c:v>2.5708984892658361E-2</c:v>
                </c:pt>
                <c:pt idx="5">
                  <c:v>5.1417969785316722E-2</c:v>
                </c:pt>
                <c:pt idx="6">
                  <c:v>0.10283593957063344</c:v>
                </c:pt>
                <c:pt idx="7">
                  <c:v>0.20567187914126689</c:v>
                </c:pt>
                <c:pt idx="8">
                  <c:v>0.41134375828253378</c:v>
                </c:pt>
                <c:pt idx="9">
                  <c:v>0.82268751656506756</c:v>
                </c:pt>
                <c:pt idx="10">
                  <c:v>1.6453750331301351</c:v>
                </c:pt>
                <c:pt idx="11">
                  <c:v>3.2907500662602702</c:v>
                </c:pt>
                <c:pt idx="12">
                  <c:v>6.5815001325205404</c:v>
                </c:pt>
                <c:pt idx="13">
                  <c:v>13.163000265041081</c:v>
                </c:pt>
                <c:pt idx="14">
                  <c:v>26.326000530082162</c:v>
                </c:pt>
                <c:pt idx="15">
                  <c:v>52.652001060164324</c:v>
                </c:pt>
                <c:pt idx="16">
                  <c:v>105.30400212032865</c:v>
                </c:pt>
                <c:pt idx="17">
                  <c:v>210.60800424065729</c:v>
                </c:pt>
                <c:pt idx="18">
                  <c:v>421.21600848131459</c:v>
                </c:pt>
                <c:pt idx="19">
                  <c:v>842.43201696262918</c:v>
                </c:pt>
              </c:numCache>
            </c:numRef>
          </c:val>
          <c:smooth val="0"/>
          <c:extLst>
            <c:ext xmlns:c16="http://schemas.microsoft.com/office/drawing/2014/chart" uri="{C3380CC4-5D6E-409C-BE32-E72D297353CC}">
              <c16:uniqueId val="{00000007-FE50-482D-905D-7C3B099138E4}"/>
            </c:ext>
          </c:extLst>
        </c:ser>
        <c:ser>
          <c:idx val="17"/>
          <c:order val="8"/>
          <c:tx>
            <c:strRef>
              <c:f>Projections!$A$56</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Projections!$G$57:$AA$57</c15:sqref>
                  </c15:fullRef>
                </c:ext>
              </c:extLst>
              <c:f>Projections!$G$57:$Z$57</c:f>
              <c:numCache>
                <c:formatCode>#,##0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8-FE50-482D-905D-7C3B099138E4}"/>
            </c:ext>
          </c:extLst>
        </c:ser>
        <c:dLbls>
          <c:showLegendKey val="0"/>
          <c:showVal val="0"/>
          <c:showCatName val="0"/>
          <c:showSerName val="0"/>
          <c:showPercent val="0"/>
          <c:showBubbleSize val="0"/>
        </c:dLbls>
        <c:smooth val="0"/>
        <c:axId val="677647896"/>
        <c:axId val="677648224"/>
      </c:lineChart>
      <c:dateAx>
        <c:axId val="677647896"/>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8224"/>
        <c:crosses val="autoZero"/>
        <c:auto val="1"/>
        <c:lblOffset val="100"/>
        <c:baseTimeUnit val="days"/>
      </c:dateAx>
      <c:valAx>
        <c:axId val="67764822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Cumulative Infections</a:t>
            </a:r>
            <a:r>
              <a:rPr lang="en-AU" baseline="0"/>
              <a:t>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6"/>
          <c:order val="0"/>
          <c:tx>
            <c:strRef>
              <c:f>Projections!$A$69</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Projections!$G$69:$AA$69</c15:sqref>
                  </c15:fullRef>
                </c:ext>
              </c:extLst>
              <c:f>Projections!$G$69:$Z$69</c:f>
              <c:numCache>
                <c:formatCode>#,##0</c:formatCode>
                <c:ptCount val="20"/>
                <c:pt idx="0">
                  <c:v>10.53125</c:v>
                </c:pt>
                <c:pt idx="1">
                  <c:v>21.0625</c:v>
                </c:pt>
                <c:pt idx="2">
                  <c:v>42.125</c:v>
                </c:pt>
                <c:pt idx="3">
                  <c:v>84.25</c:v>
                </c:pt>
                <c:pt idx="4">
                  <c:v>168.5</c:v>
                </c:pt>
                <c:pt idx="5">
                  <c:v>337</c:v>
                </c:pt>
                <c:pt idx="6">
                  <c:v>674</c:v>
                </c:pt>
                <c:pt idx="7">
                  <c:v>1348</c:v>
                </c:pt>
                <c:pt idx="8">
                  <c:v>2696</c:v>
                </c:pt>
                <c:pt idx="9">
                  <c:v>5392</c:v>
                </c:pt>
                <c:pt idx="10">
                  <c:v>10784</c:v>
                </c:pt>
                <c:pt idx="11">
                  <c:v>21568</c:v>
                </c:pt>
                <c:pt idx="12">
                  <c:v>43136</c:v>
                </c:pt>
                <c:pt idx="13">
                  <c:v>86272</c:v>
                </c:pt>
                <c:pt idx="14">
                  <c:v>172544</c:v>
                </c:pt>
                <c:pt idx="15">
                  <c:v>345088</c:v>
                </c:pt>
                <c:pt idx="16">
                  <c:v>690176</c:v>
                </c:pt>
                <c:pt idx="17">
                  <c:v>1380352</c:v>
                </c:pt>
                <c:pt idx="18">
                  <c:v>2760704</c:v>
                </c:pt>
                <c:pt idx="19">
                  <c:v>5521408</c:v>
                </c:pt>
              </c:numCache>
            </c:numRef>
          </c:val>
          <c:smooth val="0"/>
          <c:extLst>
            <c:ext xmlns:c16="http://schemas.microsoft.com/office/drawing/2014/chart" uri="{C3380CC4-5D6E-409C-BE32-E72D297353CC}">
              <c16:uniqueId val="{00000000-C5BA-4495-93D4-AC4CA8674604}"/>
            </c:ext>
          </c:extLst>
        </c:ser>
        <c:ser>
          <c:idx val="4"/>
          <c:order val="1"/>
          <c:tx>
            <c:strRef>
              <c:f>Projections!$A$67</c:f>
              <c:strCache>
                <c:ptCount val="1"/>
                <c:pt idx="0">
                  <c:v>Chronic Respiratory Disease</c:v>
                </c:pt>
              </c:strCache>
            </c:strRef>
          </c:tx>
          <c:spPr>
            <a:ln w="28575" cap="rnd">
              <a:solidFill>
                <a:schemeClr val="accent6">
                  <a:lumMod val="75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Projections!$G$67:$AA$67</c15:sqref>
                  </c15:fullRef>
                </c:ext>
              </c:extLst>
              <c:f>Projections!$G$67:$Z$67</c:f>
              <c:numCache>
                <c:formatCode>#,##0</c:formatCode>
                <c:ptCount val="20"/>
                <c:pt idx="0">
                  <c:v>9.6875</c:v>
                </c:pt>
                <c:pt idx="1">
                  <c:v>19.375</c:v>
                </c:pt>
                <c:pt idx="2">
                  <c:v>38.75</c:v>
                </c:pt>
                <c:pt idx="3">
                  <c:v>77.5</c:v>
                </c:pt>
                <c:pt idx="4">
                  <c:v>155</c:v>
                </c:pt>
                <c:pt idx="5">
                  <c:v>310</c:v>
                </c:pt>
                <c:pt idx="6">
                  <c:v>620</c:v>
                </c:pt>
                <c:pt idx="7">
                  <c:v>1240</c:v>
                </c:pt>
                <c:pt idx="8">
                  <c:v>2480</c:v>
                </c:pt>
                <c:pt idx="9">
                  <c:v>4960</c:v>
                </c:pt>
                <c:pt idx="10">
                  <c:v>9920</c:v>
                </c:pt>
                <c:pt idx="11">
                  <c:v>19840</c:v>
                </c:pt>
                <c:pt idx="12">
                  <c:v>39680</c:v>
                </c:pt>
                <c:pt idx="13">
                  <c:v>79360</c:v>
                </c:pt>
                <c:pt idx="14">
                  <c:v>158720</c:v>
                </c:pt>
                <c:pt idx="15">
                  <c:v>317440</c:v>
                </c:pt>
                <c:pt idx="16">
                  <c:v>634880</c:v>
                </c:pt>
                <c:pt idx="17">
                  <c:v>1269760</c:v>
                </c:pt>
                <c:pt idx="18">
                  <c:v>2539520</c:v>
                </c:pt>
                <c:pt idx="19">
                  <c:v>5079040</c:v>
                </c:pt>
              </c:numCache>
            </c:numRef>
          </c:val>
          <c:smooth val="0"/>
          <c:extLst>
            <c:ext xmlns:c16="http://schemas.microsoft.com/office/drawing/2014/chart" uri="{C3380CC4-5D6E-409C-BE32-E72D297353CC}">
              <c16:uniqueId val="{00000001-C5BA-4495-93D4-AC4CA8674604}"/>
            </c:ext>
          </c:extLst>
        </c:ser>
        <c:ser>
          <c:idx val="10"/>
          <c:order val="2"/>
          <c:tx>
            <c:strRef>
              <c:f>Projections!$A$73</c:f>
              <c:strCache>
                <c:ptCount val="1"/>
                <c:pt idx="0">
                  <c:v>Smoking</c:v>
                </c:pt>
              </c:strCache>
            </c:strRef>
          </c:tx>
          <c:spPr>
            <a:ln w="28575" cap="rnd">
              <a:solidFill>
                <a:schemeClr val="accent4">
                  <a:lumMod val="8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Projections!$G$73:$AA$73</c15:sqref>
                  </c15:fullRef>
                </c:ext>
              </c:extLst>
              <c:f>Projections!$G$73:$Z$73</c:f>
              <c:numCache>
                <c:formatCode>#,##0</c:formatCode>
                <c:ptCount val="20"/>
                <c:pt idx="0">
                  <c:v>5.03125</c:v>
                </c:pt>
                <c:pt idx="1">
                  <c:v>10.0625</c:v>
                </c:pt>
                <c:pt idx="2">
                  <c:v>20.125</c:v>
                </c:pt>
                <c:pt idx="3">
                  <c:v>40.25</c:v>
                </c:pt>
                <c:pt idx="4">
                  <c:v>80.5</c:v>
                </c:pt>
                <c:pt idx="5">
                  <c:v>161</c:v>
                </c:pt>
                <c:pt idx="6">
                  <c:v>322</c:v>
                </c:pt>
                <c:pt idx="7">
                  <c:v>644</c:v>
                </c:pt>
                <c:pt idx="8">
                  <c:v>1288</c:v>
                </c:pt>
                <c:pt idx="9">
                  <c:v>2576</c:v>
                </c:pt>
                <c:pt idx="10">
                  <c:v>5152</c:v>
                </c:pt>
                <c:pt idx="11">
                  <c:v>10304</c:v>
                </c:pt>
                <c:pt idx="12">
                  <c:v>20608</c:v>
                </c:pt>
                <c:pt idx="13">
                  <c:v>41216</c:v>
                </c:pt>
                <c:pt idx="14">
                  <c:v>82432</c:v>
                </c:pt>
                <c:pt idx="15">
                  <c:v>164864</c:v>
                </c:pt>
                <c:pt idx="16">
                  <c:v>329728</c:v>
                </c:pt>
                <c:pt idx="17">
                  <c:v>659456</c:v>
                </c:pt>
                <c:pt idx="18">
                  <c:v>1318912</c:v>
                </c:pt>
                <c:pt idx="19">
                  <c:v>2637824</c:v>
                </c:pt>
              </c:numCache>
            </c:numRef>
          </c:val>
          <c:smooth val="0"/>
          <c:extLst>
            <c:ext xmlns:c16="http://schemas.microsoft.com/office/drawing/2014/chart" uri="{C3380CC4-5D6E-409C-BE32-E72D297353CC}">
              <c16:uniqueId val="{00000002-C5BA-4495-93D4-AC4CA8674604}"/>
            </c:ext>
          </c:extLst>
        </c:ser>
        <c:ser>
          <c:idx val="0"/>
          <c:order val="3"/>
          <c:tx>
            <c:strRef>
              <c:f>Projections!$A$63</c:f>
              <c:strCache>
                <c:ptCount val="1"/>
                <c:pt idx="0">
                  <c:v>Cardiovascular Disease</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Projections!$G$63:$AA$63</c15:sqref>
                  </c15:fullRef>
                </c:ext>
              </c:extLst>
              <c:f>Projections!$G$63:$Z$63</c:f>
              <c:numCache>
                <c:formatCode>#,##0</c:formatCode>
                <c:ptCount val="20"/>
                <c:pt idx="0">
                  <c:v>1.5625</c:v>
                </c:pt>
                <c:pt idx="1">
                  <c:v>3.125</c:v>
                </c:pt>
                <c:pt idx="2">
                  <c:v>6.25</c:v>
                </c:pt>
                <c:pt idx="3">
                  <c:v>12.5</c:v>
                </c:pt>
                <c:pt idx="4">
                  <c:v>25</c:v>
                </c:pt>
                <c:pt idx="5">
                  <c:v>50</c:v>
                </c:pt>
                <c:pt idx="6">
                  <c:v>100</c:v>
                </c:pt>
                <c:pt idx="7">
                  <c:v>200</c:v>
                </c:pt>
                <c:pt idx="8">
                  <c:v>400</c:v>
                </c:pt>
                <c:pt idx="9">
                  <c:v>800</c:v>
                </c:pt>
                <c:pt idx="10">
                  <c:v>1600</c:v>
                </c:pt>
                <c:pt idx="11">
                  <c:v>3200</c:v>
                </c:pt>
                <c:pt idx="12">
                  <c:v>6400</c:v>
                </c:pt>
                <c:pt idx="13">
                  <c:v>12800</c:v>
                </c:pt>
                <c:pt idx="14">
                  <c:v>25600</c:v>
                </c:pt>
                <c:pt idx="15">
                  <c:v>51200</c:v>
                </c:pt>
                <c:pt idx="16">
                  <c:v>102400</c:v>
                </c:pt>
                <c:pt idx="17">
                  <c:v>204800</c:v>
                </c:pt>
                <c:pt idx="18">
                  <c:v>409600</c:v>
                </c:pt>
                <c:pt idx="19">
                  <c:v>819200</c:v>
                </c:pt>
              </c:numCache>
            </c:numRef>
          </c:val>
          <c:smooth val="0"/>
          <c:extLst>
            <c:ext xmlns:c16="http://schemas.microsoft.com/office/drawing/2014/chart" uri="{C3380CC4-5D6E-409C-BE32-E72D297353CC}">
              <c16:uniqueId val="{00000003-C5BA-4495-93D4-AC4CA8674604}"/>
            </c:ext>
          </c:extLst>
        </c:ser>
        <c:ser>
          <c:idx val="2"/>
          <c:order val="4"/>
          <c:tx>
            <c:strRef>
              <c:f>Projections!$A$65</c:f>
              <c:strCache>
                <c:ptCount val="1"/>
                <c:pt idx="0">
                  <c:v>Diabetes</c:v>
                </c:pt>
              </c:strCache>
            </c:strRef>
          </c:tx>
          <c:spPr>
            <a:ln w="28575" cap="rnd">
              <a:solidFill>
                <a:schemeClr val="accent2">
                  <a:lumMod val="75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Projections!$G$65:$AA$65</c15:sqref>
                  </c15:fullRef>
                </c:ext>
              </c:extLst>
              <c:f>Projections!$G$65:$Z$65</c:f>
              <c:numCache>
                <c:formatCode>#,##0</c:formatCode>
                <c:ptCount val="20"/>
                <c:pt idx="0">
                  <c:v>1.4375</c:v>
                </c:pt>
                <c:pt idx="1">
                  <c:v>2.875</c:v>
                </c:pt>
                <c:pt idx="2">
                  <c:v>5.75</c:v>
                </c:pt>
                <c:pt idx="3">
                  <c:v>11.5</c:v>
                </c:pt>
                <c:pt idx="4">
                  <c:v>23</c:v>
                </c:pt>
                <c:pt idx="5">
                  <c:v>46</c:v>
                </c:pt>
                <c:pt idx="6">
                  <c:v>92</c:v>
                </c:pt>
                <c:pt idx="7">
                  <c:v>184</c:v>
                </c:pt>
                <c:pt idx="8">
                  <c:v>368</c:v>
                </c:pt>
                <c:pt idx="9">
                  <c:v>736</c:v>
                </c:pt>
                <c:pt idx="10">
                  <c:v>1472</c:v>
                </c:pt>
                <c:pt idx="11">
                  <c:v>2944</c:v>
                </c:pt>
                <c:pt idx="12">
                  <c:v>5888</c:v>
                </c:pt>
                <c:pt idx="13">
                  <c:v>11776</c:v>
                </c:pt>
                <c:pt idx="14">
                  <c:v>23552</c:v>
                </c:pt>
                <c:pt idx="15">
                  <c:v>47104</c:v>
                </c:pt>
                <c:pt idx="16">
                  <c:v>94208</c:v>
                </c:pt>
                <c:pt idx="17">
                  <c:v>188416</c:v>
                </c:pt>
                <c:pt idx="18">
                  <c:v>376832</c:v>
                </c:pt>
                <c:pt idx="19">
                  <c:v>753664</c:v>
                </c:pt>
              </c:numCache>
            </c:numRef>
          </c:val>
          <c:smooth val="0"/>
          <c:extLst>
            <c:ext xmlns:c16="http://schemas.microsoft.com/office/drawing/2014/chart" uri="{C3380CC4-5D6E-409C-BE32-E72D297353CC}">
              <c16:uniqueId val="{00000004-C5BA-4495-93D4-AC4CA8674604}"/>
            </c:ext>
          </c:extLst>
        </c:ser>
        <c:ser>
          <c:idx val="8"/>
          <c:order val="5"/>
          <c:tx>
            <c:strRef>
              <c:f>Projections!$A$71</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Projections!$G$71:$AA$71</c15:sqref>
                  </c15:fullRef>
                </c:ext>
              </c:extLst>
              <c:f>Projections!$G$71:$Z$71</c:f>
              <c:numCache>
                <c:formatCode>#,##0</c:formatCode>
                <c:ptCount val="20"/>
                <c:pt idx="0">
                  <c:v>0.46875</c:v>
                </c:pt>
                <c:pt idx="1">
                  <c:v>0.9375</c:v>
                </c:pt>
                <c:pt idx="2">
                  <c:v>1.875</c:v>
                </c:pt>
                <c:pt idx="3">
                  <c:v>3.75</c:v>
                </c:pt>
                <c:pt idx="4">
                  <c:v>7.5</c:v>
                </c:pt>
                <c:pt idx="5">
                  <c:v>15</c:v>
                </c:pt>
                <c:pt idx="6">
                  <c:v>30</c:v>
                </c:pt>
                <c:pt idx="7">
                  <c:v>60</c:v>
                </c:pt>
                <c:pt idx="8">
                  <c:v>120</c:v>
                </c:pt>
                <c:pt idx="9">
                  <c:v>240</c:v>
                </c:pt>
                <c:pt idx="10">
                  <c:v>480</c:v>
                </c:pt>
                <c:pt idx="11">
                  <c:v>960</c:v>
                </c:pt>
                <c:pt idx="12">
                  <c:v>1920</c:v>
                </c:pt>
                <c:pt idx="13">
                  <c:v>3840</c:v>
                </c:pt>
                <c:pt idx="14">
                  <c:v>7680</c:v>
                </c:pt>
                <c:pt idx="15">
                  <c:v>15360</c:v>
                </c:pt>
                <c:pt idx="16">
                  <c:v>30720</c:v>
                </c:pt>
                <c:pt idx="17">
                  <c:v>61440</c:v>
                </c:pt>
                <c:pt idx="18">
                  <c:v>122880</c:v>
                </c:pt>
                <c:pt idx="19">
                  <c:v>245760</c:v>
                </c:pt>
              </c:numCache>
            </c:numRef>
          </c:val>
          <c:smooth val="0"/>
          <c:extLst>
            <c:ext xmlns:c16="http://schemas.microsoft.com/office/drawing/2014/chart" uri="{C3380CC4-5D6E-409C-BE32-E72D297353CC}">
              <c16:uniqueId val="{00000005-C5BA-4495-93D4-AC4CA8674604}"/>
            </c:ext>
          </c:extLst>
        </c:ser>
        <c:dLbls>
          <c:showLegendKey val="0"/>
          <c:showVal val="0"/>
          <c:showCatName val="0"/>
          <c:showSerName val="0"/>
          <c:showPercent val="0"/>
          <c:showBubbleSize val="0"/>
        </c:dLbls>
        <c:smooth val="0"/>
        <c:axId val="672865256"/>
        <c:axId val="672864272"/>
      </c:lineChart>
      <c:dateAx>
        <c:axId val="672865256"/>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4272"/>
        <c:crosses val="autoZero"/>
        <c:auto val="1"/>
        <c:lblOffset val="100"/>
        <c:baseTimeUnit val="days"/>
      </c:dateAx>
      <c:valAx>
        <c:axId val="672864272"/>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7"/>
          <c:order val="0"/>
          <c:tx>
            <c:strRef>
              <c:f>Projections!$A$69</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Projections!$G$70:$AA$70</c15:sqref>
                  </c15:fullRef>
                </c:ext>
              </c:extLst>
              <c:f>Projections!$G$70:$Z$70</c:f>
              <c:numCache>
                <c:formatCode>#,##0</c:formatCode>
                <c:ptCount val="20"/>
                <c:pt idx="0">
                  <c:v>0.63187499999999996</c:v>
                </c:pt>
                <c:pt idx="1">
                  <c:v>1.2637499999999999</c:v>
                </c:pt>
                <c:pt idx="2">
                  <c:v>2.5274999999999999</c:v>
                </c:pt>
                <c:pt idx="3">
                  <c:v>5.0549999999999997</c:v>
                </c:pt>
                <c:pt idx="4">
                  <c:v>10.11</c:v>
                </c:pt>
                <c:pt idx="5">
                  <c:v>20.22</c:v>
                </c:pt>
                <c:pt idx="6">
                  <c:v>40.44</c:v>
                </c:pt>
                <c:pt idx="7">
                  <c:v>80.88</c:v>
                </c:pt>
                <c:pt idx="8">
                  <c:v>161.76</c:v>
                </c:pt>
                <c:pt idx="9">
                  <c:v>323.52</c:v>
                </c:pt>
                <c:pt idx="10">
                  <c:v>647.04</c:v>
                </c:pt>
                <c:pt idx="11">
                  <c:v>1294.08</c:v>
                </c:pt>
                <c:pt idx="12">
                  <c:v>2588.16</c:v>
                </c:pt>
                <c:pt idx="13">
                  <c:v>5176.32</c:v>
                </c:pt>
                <c:pt idx="14">
                  <c:v>10352.64</c:v>
                </c:pt>
                <c:pt idx="15">
                  <c:v>20705.28</c:v>
                </c:pt>
                <c:pt idx="16">
                  <c:v>41410.559999999998</c:v>
                </c:pt>
                <c:pt idx="17">
                  <c:v>82821.119999999995</c:v>
                </c:pt>
                <c:pt idx="18">
                  <c:v>165642.23999999999</c:v>
                </c:pt>
                <c:pt idx="19">
                  <c:v>331284.47999999998</c:v>
                </c:pt>
              </c:numCache>
            </c:numRef>
          </c:val>
          <c:smooth val="0"/>
          <c:extLst>
            <c:ext xmlns:c16="http://schemas.microsoft.com/office/drawing/2014/chart" uri="{C3380CC4-5D6E-409C-BE32-E72D297353CC}">
              <c16:uniqueId val="{00000000-5E66-4AF0-A3CA-7CF12153AA8E}"/>
            </c:ext>
          </c:extLst>
        </c:ser>
        <c:ser>
          <c:idx val="5"/>
          <c:order val="1"/>
          <c:tx>
            <c:strRef>
              <c:f>Projections!$A$67</c:f>
              <c:strCache>
                <c:ptCount val="1"/>
                <c:pt idx="0">
                  <c:v>Chronic Respiratory Disease</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Projections!$G$68:$AA$68</c15:sqref>
                  </c15:fullRef>
                </c:ext>
              </c:extLst>
              <c:f>Projections!$G$68:$Z$68</c:f>
              <c:numCache>
                <c:formatCode>#,##0</c:formatCode>
                <c:ptCount val="20"/>
                <c:pt idx="0">
                  <c:v>0.61031250000000004</c:v>
                </c:pt>
                <c:pt idx="1">
                  <c:v>1.2206250000000001</c:v>
                </c:pt>
                <c:pt idx="2">
                  <c:v>2.4412500000000001</c:v>
                </c:pt>
                <c:pt idx="3">
                  <c:v>4.8825000000000003</c:v>
                </c:pt>
                <c:pt idx="4">
                  <c:v>9.7650000000000006</c:v>
                </c:pt>
                <c:pt idx="5">
                  <c:v>19.53</c:v>
                </c:pt>
                <c:pt idx="6">
                  <c:v>39.06</c:v>
                </c:pt>
                <c:pt idx="7">
                  <c:v>78.12</c:v>
                </c:pt>
                <c:pt idx="8">
                  <c:v>156.24</c:v>
                </c:pt>
                <c:pt idx="9">
                  <c:v>312.48</c:v>
                </c:pt>
                <c:pt idx="10">
                  <c:v>624.96</c:v>
                </c:pt>
                <c:pt idx="11">
                  <c:v>1249.92</c:v>
                </c:pt>
                <c:pt idx="12">
                  <c:v>2499.84</c:v>
                </c:pt>
                <c:pt idx="13">
                  <c:v>4999.68</c:v>
                </c:pt>
                <c:pt idx="14">
                  <c:v>9999.36</c:v>
                </c:pt>
                <c:pt idx="15">
                  <c:v>19998.72</c:v>
                </c:pt>
                <c:pt idx="16">
                  <c:v>39997.440000000002</c:v>
                </c:pt>
                <c:pt idx="17">
                  <c:v>79994.880000000005</c:v>
                </c:pt>
                <c:pt idx="18">
                  <c:v>159989.76000000001</c:v>
                </c:pt>
                <c:pt idx="19">
                  <c:v>319979.52000000002</c:v>
                </c:pt>
              </c:numCache>
            </c:numRef>
          </c:val>
          <c:smooth val="0"/>
          <c:extLst>
            <c:ext xmlns:c16="http://schemas.microsoft.com/office/drawing/2014/chart" uri="{C3380CC4-5D6E-409C-BE32-E72D297353CC}">
              <c16:uniqueId val="{00000001-5E66-4AF0-A3CA-7CF12153AA8E}"/>
            </c:ext>
          </c:extLst>
        </c:ser>
        <c:ser>
          <c:idx val="1"/>
          <c:order val="2"/>
          <c:tx>
            <c:strRef>
              <c:f>Projections!$A$63</c:f>
              <c:strCache>
                <c:ptCount val="1"/>
                <c:pt idx="0">
                  <c:v>Cardiovascular Disease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Projections!$G$64:$AA$64</c15:sqref>
                  </c15:fullRef>
                </c:ext>
              </c:extLst>
              <c:f>Projections!$G$64:$Z$64</c:f>
              <c:numCache>
                <c:formatCode>#,##0</c:formatCode>
                <c:ptCount val="20"/>
                <c:pt idx="0">
                  <c:v>0.1640625</c:v>
                </c:pt>
                <c:pt idx="1">
                  <c:v>0.328125</c:v>
                </c:pt>
                <c:pt idx="2">
                  <c:v>0.65625</c:v>
                </c:pt>
                <c:pt idx="3">
                  <c:v>1.3125</c:v>
                </c:pt>
                <c:pt idx="4">
                  <c:v>2.625</c:v>
                </c:pt>
                <c:pt idx="5">
                  <c:v>5.25</c:v>
                </c:pt>
                <c:pt idx="6">
                  <c:v>10.5</c:v>
                </c:pt>
                <c:pt idx="7">
                  <c:v>21</c:v>
                </c:pt>
                <c:pt idx="8">
                  <c:v>42</c:v>
                </c:pt>
                <c:pt idx="9">
                  <c:v>84</c:v>
                </c:pt>
                <c:pt idx="10">
                  <c:v>168</c:v>
                </c:pt>
                <c:pt idx="11">
                  <c:v>336</c:v>
                </c:pt>
                <c:pt idx="12">
                  <c:v>672</c:v>
                </c:pt>
                <c:pt idx="13">
                  <c:v>1344</c:v>
                </c:pt>
                <c:pt idx="14">
                  <c:v>2688</c:v>
                </c:pt>
                <c:pt idx="15">
                  <c:v>5376</c:v>
                </c:pt>
                <c:pt idx="16">
                  <c:v>10752</c:v>
                </c:pt>
                <c:pt idx="17">
                  <c:v>21504</c:v>
                </c:pt>
                <c:pt idx="18">
                  <c:v>43008</c:v>
                </c:pt>
                <c:pt idx="19">
                  <c:v>86016</c:v>
                </c:pt>
              </c:numCache>
            </c:numRef>
          </c:val>
          <c:smooth val="0"/>
          <c:extLst>
            <c:ext xmlns:c16="http://schemas.microsoft.com/office/drawing/2014/chart" uri="{C3380CC4-5D6E-409C-BE32-E72D297353CC}">
              <c16:uniqueId val="{00000002-5E66-4AF0-A3CA-7CF12153AA8E}"/>
            </c:ext>
          </c:extLst>
        </c:ser>
        <c:ser>
          <c:idx val="3"/>
          <c:order val="3"/>
          <c:tx>
            <c:strRef>
              <c:f>Projections!$A$65</c:f>
              <c:strCache>
                <c:ptCount val="1"/>
                <c:pt idx="0">
                  <c:v>Diabetes</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Projections!$G$66:$AA$66</c15:sqref>
                  </c15:fullRef>
                </c:ext>
              </c:extLst>
              <c:f>Projections!$G$66:$Z$66</c:f>
              <c:numCache>
                <c:formatCode>#,##0</c:formatCode>
                <c:ptCount val="20"/>
                <c:pt idx="0">
                  <c:v>0.10493749999999999</c:v>
                </c:pt>
                <c:pt idx="1">
                  <c:v>0.20987499999999998</c:v>
                </c:pt>
                <c:pt idx="2">
                  <c:v>0.41974999999999996</c:v>
                </c:pt>
                <c:pt idx="3">
                  <c:v>0.83949999999999991</c:v>
                </c:pt>
                <c:pt idx="4">
                  <c:v>1.6789999999999998</c:v>
                </c:pt>
                <c:pt idx="5">
                  <c:v>3.3579999999999997</c:v>
                </c:pt>
                <c:pt idx="6">
                  <c:v>6.7159999999999993</c:v>
                </c:pt>
                <c:pt idx="7">
                  <c:v>13.431999999999999</c:v>
                </c:pt>
                <c:pt idx="8">
                  <c:v>26.863999999999997</c:v>
                </c:pt>
                <c:pt idx="9">
                  <c:v>53.727999999999994</c:v>
                </c:pt>
                <c:pt idx="10">
                  <c:v>107.45599999999999</c:v>
                </c:pt>
                <c:pt idx="11">
                  <c:v>214.91199999999998</c:v>
                </c:pt>
                <c:pt idx="12">
                  <c:v>429.82399999999996</c:v>
                </c:pt>
                <c:pt idx="13">
                  <c:v>859.64799999999991</c:v>
                </c:pt>
                <c:pt idx="14">
                  <c:v>1719.2959999999998</c:v>
                </c:pt>
                <c:pt idx="15">
                  <c:v>3438.5919999999996</c:v>
                </c:pt>
                <c:pt idx="16">
                  <c:v>6877.1839999999993</c:v>
                </c:pt>
                <c:pt idx="17">
                  <c:v>13754.367999999999</c:v>
                </c:pt>
                <c:pt idx="18">
                  <c:v>27508.735999999997</c:v>
                </c:pt>
                <c:pt idx="19">
                  <c:v>55017.471999999994</c:v>
                </c:pt>
              </c:numCache>
            </c:numRef>
          </c:val>
          <c:smooth val="0"/>
          <c:extLst>
            <c:ext xmlns:c16="http://schemas.microsoft.com/office/drawing/2014/chart" uri="{C3380CC4-5D6E-409C-BE32-E72D297353CC}">
              <c16:uniqueId val="{00000003-5E66-4AF0-A3CA-7CF12153AA8E}"/>
            </c:ext>
          </c:extLst>
        </c:ser>
        <c:ser>
          <c:idx val="9"/>
          <c:order val="4"/>
          <c:tx>
            <c:strRef>
              <c:f>Projections!$A$71</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Projections!$G$13:$AA$13</c15:sqref>
                  </c15:fullRef>
                </c:ext>
              </c:extLst>
              <c:f>Projections!$G$13:$Z$13</c:f>
              <c:numCache>
                <c:formatCode>d\-mmm</c:formatCode>
                <c:ptCount val="20"/>
                <c:pt idx="0">
                  <c:v>43892</c:v>
                </c:pt>
                <c:pt idx="1">
                  <c:v>43896</c:v>
                </c:pt>
                <c:pt idx="2">
                  <c:v>43900</c:v>
                </c:pt>
                <c:pt idx="3">
                  <c:v>43904</c:v>
                </c:pt>
                <c:pt idx="4">
                  <c:v>43908</c:v>
                </c:pt>
                <c:pt idx="5">
                  <c:v>43911</c:v>
                </c:pt>
                <c:pt idx="6">
                  <c:v>43914</c:v>
                </c:pt>
                <c:pt idx="7">
                  <c:v>43919</c:v>
                </c:pt>
                <c:pt idx="8">
                  <c:v>43924</c:v>
                </c:pt>
                <c:pt idx="9">
                  <c:v>43929</c:v>
                </c:pt>
                <c:pt idx="10">
                  <c:v>43934</c:v>
                </c:pt>
                <c:pt idx="11">
                  <c:v>43939</c:v>
                </c:pt>
                <c:pt idx="12">
                  <c:v>43944</c:v>
                </c:pt>
                <c:pt idx="13">
                  <c:v>43949</c:v>
                </c:pt>
                <c:pt idx="14">
                  <c:v>43954</c:v>
                </c:pt>
                <c:pt idx="15">
                  <c:v>43959</c:v>
                </c:pt>
                <c:pt idx="16">
                  <c:v>43964</c:v>
                </c:pt>
                <c:pt idx="17">
                  <c:v>43969</c:v>
                </c:pt>
                <c:pt idx="18">
                  <c:v>43974</c:v>
                </c:pt>
                <c:pt idx="19">
                  <c:v>43979</c:v>
                </c:pt>
              </c:numCache>
            </c:numRef>
          </c:cat>
          <c:val>
            <c:numRef>
              <c:extLst>
                <c:ext xmlns:c15="http://schemas.microsoft.com/office/drawing/2012/chart" uri="{02D57815-91ED-43cb-92C2-25804820EDAC}">
                  <c15:fullRef>
                    <c15:sqref>Projections!$G$72:$AA$72</c15:sqref>
                  </c15:fullRef>
                </c:ext>
              </c:extLst>
              <c:f>Projections!$G$72:$Z$72</c:f>
              <c:numCache>
                <c:formatCode>#,##0</c:formatCode>
                <c:ptCount val="20"/>
                <c:pt idx="0">
                  <c:v>2.6249999999999999E-2</c:v>
                </c:pt>
                <c:pt idx="1">
                  <c:v>5.2499999999999998E-2</c:v>
                </c:pt>
                <c:pt idx="2">
                  <c:v>0.105</c:v>
                </c:pt>
                <c:pt idx="3">
                  <c:v>0.21</c:v>
                </c:pt>
                <c:pt idx="4">
                  <c:v>0.42</c:v>
                </c:pt>
                <c:pt idx="5">
                  <c:v>0.84</c:v>
                </c:pt>
                <c:pt idx="6">
                  <c:v>1.68</c:v>
                </c:pt>
                <c:pt idx="7">
                  <c:v>3.36</c:v>
                </c:pt>
                <c:pt idx="8">
                  <c:v>6.72</c:v>
                </c:pt>
                <c:pt idx="9">
                  <c:v>13.44</c:v>
                </c:pt>
                <c:pt idx="10">
                  <c:v>26.88</c:v>
                </c:pt>
                <c:pt idx="11">
                  <c:v>53.76</c:v>
                </c:pt>
                <c:pt idx="12">
                  <c:v>107.52</c:v>
                </c:pt>
                <c:pt idx="13">
                  <c:v>215.04</c:v>
                </c:pt>
                <c:pt idx="14">
                  <c:v>430.08</c:v>
                </c:pt>
                <c:pt idx="15">
                  <c:v>860.16</c:v>
                </c:pt>
                <c:pt idx="16">
                  <c:v>1720.32</c:v>
                </c:pt>
                <c:pt idx="17">
                  <c:v>3440.64</c:v>
                </c:pt>
                <c:pt idx="18">
                  <c:v>6881.28</c:v>
                </c:pt>
                <c:pt idx="19">
                  <c:v>13762.56</c:v>
                </c:pt>
              </c:numCache>
            </c:numRef>
          </c:val>
          <c:smooth val="0"/>
          <c:extLst>
            <c:ext xmlns:c16="http://schemas.microsoft.com/office/drawing/2014/chart" uri="{C3380CC4-5D6E-409C-BE32-E72D297353CC}">
              <c16:uniqueId val="{00000004-5E66-4AF0-A3CA-7CF12153AA8E}"/>
            </c:ext>
          </c:extLst>
        </c:ser>
        <c:dLbls>
          <c:showLegendKey val="0"/>
          <c:showVal val="0"/>
          <c:showCatName val="0"/>
          <c:showSerName val="0"/>
          <c:showPercent val="0"/>
          <c:showBubbleSize val="0"/>
        </c:dLbls>
        <c:smooth val="0"/>
        <c:axId val="591031856"/>
        <c:axId val="591030544"/>
      </c:lineChart>
      <c:dateAx>
        <c:axId val="591031856"/>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0544"/>
        <c:crosses val="autoZero"/>
        <c:auto val="1"/>
        <c:lblOffset val="100"/>
        <c:baseTimeUnit val="days"/>
      </c:dateAx>
      <c:valAx>
        <c:axId val="59103054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 Actual Infection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Projections!$A$14</c:f>
              <c:strCache>
                <c:ptCount val="1"/>
                <c:pt idx="0">
                  <c:v>Projected Detected Population Infected</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Projections!$G$13:$AA$13</c15:sqref>
                  </c15:fullRef>
                </c:ext>
              </c:extLst>
              <c:f>Projections!$G$13:$O$13</c:f>
              <c:numCache>
                <c:formatCode>d\-mmm</c:formatCode>
                <c:ptCount val="9"/>
                <c:pt idx="0">
                  <c:v>43892</c:v>
                </c:pt>
                <c:pt idx="1">
                  <c:v>43896</c:v>
                </c:pt>
                <c:pt idx="2">
                  <c:v>43900</c:v>
                </c:pt>
                <c:pt idx="3">
                  <c:v>43904</c:v>
                </c:pt>
                <c:pt idx="4">
                  <c:v>43908</c:v>
                </c:pt>
                <c:pt idx="5">
                  <c:v>43911</c:v>
                </c:pt>
                <c:pt idx="6">
                  <c:v>43914</c:v>
                </c:pt>
                <c:pt idx="7">
                  <c:v>43919</c:v>
                </c:pt>
                <c:pt idx="8">
                  <c:v>43924</c:v>
                </c:pt>
              </c:numCache>
            </c:numRef>
          </c:cat>
          <c:val>
            <c:numRef>
              <c:extLst>
                <c:ext xmlns:c15="http://schemas.microsoft.com/office/drawing/2012/chart" uri="{02D57815-91ED-43cb-92C2-25804820EDAC}">
                  <c15:fullRef>
                    <c15:sqref>Projections!$G$14:$AA$14</c15:sqref>
                  </c15:fullRef>
                </c:ext>
              </c:extLst>
              <c:f>Projections!$G$14:$O$14</c:f>
              <c:numCache>
                <c:formatCode>#,##0</c:formatCode>
                <c:ptCount val="9"/>
                <c:pt idx="0">
                  <c:v>31.25</c:v>
                </c:pt>
                <c:pt idx="1">
                  <c:v>62.5</c:v>
                </c:pt>
                <c:pt idx="2">
                  <c:v>125</c:v>
                </c:pt>
                <c:pt idx="3">
                  <c:v>250</c:v>
                </c:pt>
                <c:pt idx="4">
                  <c:v>500</c:v>
                </c:pt>
                <c:pt idx="5">
                  <c:v>1000</c:v>
                </c:pt>
                <c:pt idx="6">
                  <c:v>2000</c:v>
                </c:pt>
                <c:pt idx="7">
                  <c:v>4000</c:v>
                </c:pt>
                <c:pt idx="8">
                  <c:v>8000</c:v>
                </c:pt>
              </c:numCache>
            </c:numRef>
          </c:val>
          <c:smooth val="0"/>
          <c:extLst>
            <c:ext xmlns:c16="http://schemas.microsoft.com/office/drawing/2014/chart" uri="{C3380CC4-5D6E-409C-BE32-E72D297353CC}">
              <c16:uniqueId val="{00000000-9DE3-43B6-B60B-9B4AA4851702}"/>
            </c:ext>
          </c:extLst>
        </c:ser>
        <c:ser>
          <c:idx val="1"/>
          <c:order val="1"/>
          <c:tx>
            <c:strRef>
              <c:f>Projections!$A$34</c:f>
              <c:strCache>
                <c:ptCount val="1"/>
                <c:pt idx="0">
                  <c:v>Actual Confirmed Infections</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Projections!$G$13:$AA$13</c15:sqref>
                  </c15:fullRef>
                </c:ext>
              </c:extLst>
              <c:f>Projections!$G$13:$O$13</c:f>
              <c:numCache>
                <c:formatCode>d\-mmm</c:formatCode>
                <c:ptCount val="9"/>
                <c:pt idx="0">
                  <c:v>43892</c:v>
                </c:pt>
                <c:pt idx="1">
                  <c:v>43896</c:v>
                </c:pt>
                <c:pt idx="2">
                  <c:v>43900</c:v>
                </c:pt>
                <c:pt idx="3">
                  <c:v>43904</c:v>
                </c:pt>
                <c:pt idx="4">
                  <c:v>43908</c:v>
                </c:pt>
                <c:pt idx="5">
                  <c:v>43911</c:v>
                </c:pt>
                <c:pt idx="6">
                  <c:v>43914</c:v>
                </c:pt>
                <c:pt idx="7">
                  <c:v>43919</c:v>
                </c:pt>
                <c:pt idx="8">
                  <c:v>43924</c:v>
                </c:pt>
              </c:numCache>
            </c:numRef>
          </c:cat>
          <c:val>
            <c:numRef>
              <c:extLst>
                <c:ext xmlns:c15="http://schemas.microsoft.com/office/drawing/2012/chart" uri="{02D57815-91ED-43cb-92C2-25804820EDAC}">
                  <c15:fullRef>
                    <c15:sqref>Projections!$G$34:$AA$34</c15:sqref>
                  </c15:fullRef>
                </c:ext>
              </c:extLst>
              <c:f>Projections!$G$34:$O$34</c:f>
              <c:numCache>
                <c:formatCode>General</c:formatCode>
                <c:ptCount val="9"/>
                <c:pt idx="0">
                  <c:v>32</c:v>
                </c:pt>
                <c:pt idx="1">
                  <c:v>63</c:v>
                </c:pt>
                <c:pt idx="2" formatCode="#,##0">
                  <c:v>112</c:v>
                </c:pt>
                <c:pt idx="3" formatCode="#,##0">
                  <c:v>249</c:v>
                </c:pt>
                <c:pt idx="4" formatCode="#,##0">
                  <c:v>567</c:v>
                </c:pt>
                <c:pt idx="5" formatCode="#,##0">
                  <c:v>1072</c:v>
                </c:pt>
                <c:pt idx="6" formatCode="#,##0">
                  <c:v>2050</c:v>
                </c:pt>
                <c:pt idx="7" formatCode="#,##0">
                  <c:v>3984</c:v>
                </c:pt>
              </c:numCache>
            </c:numRef>
          </c:val>
          <c:smooth val="0"/>
          <c:extLst>
            <c:ext xmlns:c16="http://schemas.microsoft.com/office/drawing/2014/chart" uri="{C3380CC4-5D6E-409C-BE32-E72D297353CC}">
              <c16:uniqueId val="{00000001-9DE3-43B6-B60B-9B4AA4851702}"/>
            </c:ext>
          </c:extLst>
        </c:ser>
        <c:dLbls>
          <c:showLegendKey val="0"/>
          <c:showVal val="0"/>
          <c:showCatName val="0"/>
          <c:showSerName val="0"/>
          <c:showPercent val="0"/>
          <c:showBubbleSize val="0"/>
        </c:dLbls>
        <c:smooth val="0"/>
        <c:axId val="602767304"/>
        <c:axId val="602767632"/>
      </c:lineChart>
      <c:dateAx>
        <c:axId val="60276730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632"/>
        <c:crosses val="autoZero"/>
        <c:auto val="1"/>
        <c:lblOffset val="100"/>
        <c:baseTimeUnit val="days"/>
      </c:dateAx>
      <c:valAx>
        <c:axId val="602767632"/>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a:t>
            </a:r>
            <a:r>
              <a:rPr lang="en-AU" baseline="0"/>
              <a:t> Actual Mortality Rates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Projections!$A$24</c:f>
              <c:strCache>
                <c:ptCount val="1"/>
                <c:pt idx="0">
                  <c:v>Projected Cumulative Mortality Count (future projection)</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Projections!$G$13:$AA$13</c15:sqref>
                  </c15:fullRef>
                </c:ext>
              </c:extLst>
              <c:f>Projections!$G$13:$O$13</c:f>
              <c:numCache>
                <c:formatCode>d\-mmm</c:formatCode>
                <c:ptCount val="9"/>
                <c:pt idx="0">
                  <c:v>43892</c:v>
                </c:pt>
                <c:pt idx="1">
                  <c:v>43896</c:v>
                </c:pt>
                <c:pt idx="2">
                  <c:v>43900</c:v>
                </c:pt>
                <c:pt idx="3">
                  <c:v>43904</c:v>
                </c:pt>
                <c:pt idx="4">
                  <c:v>43908</c:v>
                </c:pt>
                <c:pt idx="5">
                  <c:v>43911</c:v>
                </c:pt>
                <c:pt idx="6">
                  <c:v>43914</c:v>
                </c:pt>
                <c:pt idx="7">
                  <c:v>43919</c:v>
                </c:pt>
                <c:pt idx="8">
                  <c:v>43924</c:v>
                </c:pt>
              </c:numCache>
            </c:numRef>
          </c:cat>
          <c:val>
            <c:numRef>
              <c:extLst>
                <c:ext xmlns:c15="http://schemas.microsoft.com/office/drawing/2012/chart" uri="{02D57815-91ED-43cb-92C2-25804820EDAC}">
                  <c15:fullRef>
                    <c15:sqref>Projections!$G$24:$AA$24</c15:sqref>
                  </c15:fullRef>
                </c:ext>
              </c:extLst>
              <c:f>Projections!$G$24:$O$24</c:f>
              <c:numCache>
                <c:formatCode>#,##0</c:formatCode>
                <c:ptCount val="9"/>
                <c:pt idx="0">
                  <c:v>1.09375</c:v>
                </c:pt>
                <c:pt idx="1">
                  <c:v>2.1875</c:v>
                </c:pt>
                <c:pt idx="2">
                  <c:v>4.375</c:v>
                </c:pt>
                <c:pt idx="3">
                  <c:v>8.75</c:v>
                </c:pt>
                <c:pt idx="4">
                  <c:v>17.5</c:v>
                </c:pt>
                <c:pt idx="5">
                  <c:v>35</c:v>
                </c:pt>
                <c:pt idx="6">
                  <c:v>70</c:v>
                </c:pt>
                <c:pt idx="7">
                  <c:v>140</c:v>
                </c:pt>
                <c:pt idx="8">
                  <c:v>280</c:v>
                </c:pt>
              </c:numCache>
            </c:numRef>
          </c:val>
          <c:smooth val="0"/>
          <c:extLst>
            <c:ext xmlns:c16="http://schemas.microsoft.com/office/drawing/2014/chart" uri="{C3380CC4-5D6E-409C-BE32-E72D297353CC}">
              <c16:uniqueId val="{00000000-FE1B-4946-A476-7952C5C71231}"/>
            </c:ext>
          </c:extLst>
        </c:ser>
        <c:ser>
          <c:idx val="1"/>
          <c:order val="1"/>
          <c:tx>
            <c:strRef>
              <c:f>Projections!$A$36</c:f>
              <c:strCache>
                <c:ptCount val="1"/>
                <c:pt idx="0">
                  <c:v>Actual Mortality Count</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Projections!$G$13:$AA$13</c15:sqref>
                  </c15:fullRef>
                </c:ext>
              </c:extLst>
              <c:f>Projections!$G$13:$O$13</c:f>
              <c:numCache>
                <c:formatCode>d\-mmm</c:formatCode>
                <c:ptCount val="9"/>
                <c:pt idx="0">
                  <c:v>43892</c:v>
                </c:pt>
                <c:pt idx="1">
                  <c:v>43896</c:v>
                </c:pt>
                <c:pt idx="2">
                  <c:v>43900</c:v>
                </c:pt>
                <c:pt idx="3">
                  <c:v>43904</c:v>
                </c:pt>
                <c:pt idx="4">
                  <c:v>43908</c:v>
                </c:pt>
                <c:pt idx="5">
                  <c:v>43911</c:v>
                </c:pt>
                <c:pt idx="6">
                  <c:v>43914</c:v>
                </c:pt>
                <c:pt idx="7">
                  <c:v>43919</c:v>
                </c:pt>
                <c:pt idx="8">
                  <c:v>43924</c:v>
                </c:pt>
              </c:numCache>
            </c:numRef>
          </c:cat>
          <c:val>
            <c:numRef>
              <c:extLst>
                <c:ext xmlns:c15="http://schemas.microsoft.com/office/drawing/2012/chart" uri="{02D57815-91ED-43cb-92C2-25804820EDAC}">
                  <c15:fullRef>
                    <c15:sqref>Projections!$G$36:$AA$36</c15:sqref>
                  </c15:fullRef>
                </c:ext>
              </c:extLst>
              <c:f>Projections!$G$36:$O$36</c:f>
              <c:numCache>
                <c:formatCode>General</c:formatCode>
                <c:ptCount val="9"/>
                <c:pt idx="0">
                  <c:v>1</c:v>
                </c:pt>
                <c:pt idx="1">
                  <c:v>2</c:v>
                </c:pt>
                <c:pt idx="2" formatCode="#,##0">
                  <c:v>3</c:v>
                </c:pt>
                <c:pt idx="3" formatCode="#,##0">
                  <c:v>5</c:v>
                </c:pt>
                <c:pt idx="4" formatCode="#,##0">
                  <c:v>6</c:v>
                </c:pt>
                <c:pt idx="5" formatCode="#,##0">
                  <c:v>7</c:v>
                </c:pt>
                <c:pt idx="6" formatCode="#,##0">
                  <c:v>8</c:v>
                </c:pt>
                <c:pt idx="7" formatCode="#,##0">
                  <c:v>16</c:v>
                </c:pt>
              </c:numCache>
            </c:numRef>
          </c:val>
          <c:smooth val="0"/>
          <c:extLst>
            <c:ext xmlns:c16="http://schemas.microsoft.com/office/drawing/2014/chart" uri="{C3380CC4-5D6E-409C-BE32-E72D297353CC}">
              <c16:uniqueId val="{00000001-FE1B-4946-A476-7952C5C71231}"/>
            </c:ext>
          </c:extLst>
        </c:ser>
        <c:dLbls>
          <c:showLegendKey val="0"/>
          <c:showVal val="0"/>
          <c:showCatName val="0"/>
          <c:showSerName val="0"/>
          <c:showPercent val="0"/>
          <c:showBubbleSize val="0"/>
        </c:dLbls>
        <c:smooth val="0"/>
        <c:axId val="606292128"/>
        <c:axId val="230337920"/>
      </c:lineChart>
      <c:dateAx>
        <c:axId val="606292128"/>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37920"/>
        <c:crosses val="autoZero"/>
        <c:auto val="1"/>
        <c:lblOffset val="100"/>
        <c:baseTimeUnit val="days"/>
      </c:dateAx>
      <c:valAx>
        <c:axId val="230337920"/>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7.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 Id="rId1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9</xdr:col>
      <xdr:colOff>704849</xdr:colOff>
      <xdr:row>34</xdr:row>
      <xdr:rowOff>4761</xdr:rowOff>
    </xdr:from>
    <xdr:to>
      <xdr:col>18</xdr:col>
      <xdr:colOff>0</xdr:colOff>
      <xdr:row>52</xdr:row>
      <xdr:rowOff>9524</xdr:rowOff>
    </xdr:to>
    <xdr:graphicFrame macro="">
      <xdr:nvGraphicFramePr>
        <xdr:cNvPr id="2" name="Chart 1">
          <a:extLst>
            <a:ext uri="{FF2B5EF4-FFF2-40B4-BE49-F238E27FC236}">
              <a16:creationId xmlns:a16="http://schemas.microsoft.com/office/drawing/2014/main" id="{C6F959D7-F7CE-43D0-AC2D-45DE1731F3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53</xdr:row>
      <xdr:rowOff>4762</xdr:rowOff>
    </xdr:from>
    <xdr:to>
      <xdr:col>18</xdr:col>
      <xdr:colOff>9525</xdr:colOff>
      <xdr:row>71</xdr:row>
      <xdr:rowOff>0</xdr:rowOff>
    </xdr:to>
    <xdr:graphicFrame macro="">
      <xdr:nvGraphicFramePr>
        <xdr:cNvPr id="3" name="Chart 2">
          <a:extLst>
            <a:ext uri="{FF2B5EF4-FFF2-40B4-BE49-F238E27FC236}">
              <a16:creationId xmlns:a16="http://schemas.microsoft.com/office/drawing/2014/main" id="{087A04A7-24EC-41B0-B618-0848E2F764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714374</xdr:colOff>
      <xdr:row>34</xdr:row>
      <xdr:rowOff>14286</xdr:rowOff>
    </xdr:from>
    <xdr:to>
      <xdr:col>27</xdr:col>
      <xdr:colOff>9525</xdr:colOff>
      <xdr:row>52</xdr:row>
      <xdr:rowOff>19049</xdr:rowOff>
    </xdr:to>
    <xdr:graphicFrame macro="">
      <xdr:nvGraphicFramePr>
        <xdr:cNvPr id="4" name="Chart 3">
          <a:extLst>
            <a:ext uri="{FF2B5EF4-FFF2-40B4-BE49-F238E27FC236}">
              <a16:creationId xmlns:a16="http://schemas.microsoft.com/office/drawing/2014/main" id="{22502D5B-2C44-4788-B42E-C7E82A671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9525</xdr:colOff>
      <xdr:row>53</xdr:row>
      <xdr:rowOff>14287</xdr:rowOff>
    </xdr:from>
    <xdr:to>
      <xdr:col>27</xdr:col>
      <xdr:colOff>19050</xdr:colOff>
      <xdr:row>71</xdr:row>
      <xdr:rowOff>9525</xdr:rowOff>
    </xdr:to>
    <xdr:graphicFrame macro="">
      <xdr:nvGraphicFramePr>
        <xdr:cNvPr id="5" name="Chart 4">
          <a:extLst>
            <a:ext uri="{FF2B5EF4-FFF2-40B4-BE49-F238E27FC236}">
              <a16:creationId xmlns:a16="http://schemas.microsoft.com/office/drawing/2014/main" id="{FC633A5F-667D-4DFF-BF53-204C8865C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29</xdr:col>
      <xdr:colOff>9526</xdr:colOff>
      <xdr:row>0</xdr:row>
      <xdr:rowOff>180975</xdr:rowOff>
    </xdr:from>
    <xdr:to>
      <xdr:col>40</xdr:col>
      <xdr:colOff>600075</xdr:colOff>
      <xdr:row>23</xdr:row>
      <xdr:rowOff>180975</xdr:rowOff>
    </xdr:to>
    <xdr:graphicFrame macro="">
      <xdr:nvGraphicFramePr>
        <xdr:cNvPr id="2" name="Chart 1">
          <a:extLst>
            <a:ext uri="{FF2B5EF4-FFF2-40B4-BE49-F238E27FC236}">
              <a16:creationId xmlns:a16="http://schemas.microsoft.com/office/drawing/2014/main" id="{56A37889-8129-4719-9726-20DF3A27C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736455</xdr:colOff>
      <xdr:row>66</xdr:row>
      <xdr:rowOff>5814</xdr:rowOff>
    </xdr:from>
    <xdr:to>
      <xdr:col>41</xdr:col>
      <xdr:colOff>19050</xdr:colOff>
      <xdr:row>89</xdr:row>
      <xdr:rowOff>15339</xdr:rowOff>
    </xdr:to>
    <xdr:graphicFrame macro="">
      <xdr:nvGraphicFramePr>
        <xdr:cNvPr id="3" name="Chart 2">
          <a:extLst>
            <a:ext uri="{FF2B5EF4-FFF2-40B4-BE49-F238E27FC236}">
              <a16:creationId xmlns:a16="http://schemas.microsoft.com/office/drawing/2014/main" id="{E9882CBA-85FC-4AC1-86E6-D5AE5B28B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3031</xdr:colOff>
      <xdr:row>90</xdr:row>
      <xdr:rowOff>10576</xdr:rowOff>
    </xdr:from>
    <xdr:to>
      <xdr:col>41</xdr:col>
      <xdr:colOff>28575</xdr:colOff>
      <xdr:row>106</xdr:row>
      <xdr:rowOff>177264</xdr:rowOff>
    </xdr:to>
    <xdr:graphicFrame macro="">
      <xdr:nvGraphicFramePr>
        <xdr:cNvPr id="4" name="Chart 3">
          <a:extLst>
            <a:ext uri="{FF2B5EF4-FFF2-40B4-BE49-F238E27FC236}">
              <a16:creationId xmlns:a16="http://schemas.microsoft.com/office/drawing/2014/main" id="{AAFF43D9-93A5-4FE4-A736-87AB338AE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741217</xdr:colOff>
      <xdr:row>107</xdr:row>
      <xdr:rowOff>182025</xdr:rowOff>
    </xdr:from>
    <xdr:to>
      <xdr:col>41</xdr:col>
      <xdr:colOff>38099</xdr:colOff>
      <xdr:row>123</xdr:row>
      <xdr:rowOff>177264</xdr:rowOff>
    </xdr:to>
    <xdr:graphicFrame macro="">
      <xdr:nvGraphicFramePr>
        <xdr:cNvPr id="5" name="Chart 4">
          <a:extLst>
            <a:ext uri="{FF2B5EF4-FFF2-40B4-BE49-F238E27FC236}">
              <a16:creationId xmlns:a16="http://schemas.microsoft.com/office/drawing/2014/main" id="{04BBE463-41E9-4C60-A327-2B795F854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741219</xdr:colOff>
      <xdr:row>125</xdr:row>
      <xdr:rowOff>10575</xdr:rowOff>
    </xdr:from>
    <xdr:to>
      <xdr:col>41</xdr:col>
      <xdr:colOff>19050</xdr:colOff>
      <xdr:row>144</xdr:row>
      <xdr:rowOff>5814</xdr:rowOff>
    </xdr:to>
    <xdr:graphicFrame macro="">
      <xdr:nvGraphicFramePr>
        <xdr:cNvPr id="6" name="Chart 5">
          <a:extLst>
            <a:ext uri="{FF2B5EF4-FFF2-40B4-BE49-F238E27FC236}">
              <a16:creationId xmlns:a16="http://schemas.microsoft.com/office/drawing/2014/main" id="{F201EC50-DCDD-4BED-8E70-3DCC4978E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738187</xdr:colOff>
      <xdr:row>30</xdr:row>
      <xdr:rowOff>4762</xdr:rowOff>
    </xdr:from>
    <xdr:to>
      <xdr:col>41</xdr:col>
      <xdr:colOff>19050</xdr:colOff>
      <xdr:row>48</xdr:row>
      <xdr:rowOff>4082</xdr:rowOff>
    </xdr:to>
    <xdr:graphicFrame macro="">
      <xdr:nvGraphicFramePr>
        <xdr:cNvPr id="7" name="Chart 6">
          <a:extLst>
            <a:ext uri="{FF2B5EF4-FFF2-40B4-BE49-F238E27FC236}">
              <a16:creationId xmlns:a16="http://schemas.microsoft.com/office/drawing/2014/main" id="{AC17F2D1-2A5D-41D3-B2C5-896AB1DC3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740228</xdr:colOff>
      <xdr:row>49</xdr:row>
      <xdr:rowOff>2721</xdr:rowOff>
    </xdr:from>
    <xdr:to>
      <xdr:col>40</xdr:col>
      <xdr:colOff>590550</xdr:colOff>
      <xdr:row>64</xdr:row>
      <xdr:rowOff>176892</xdr:rowOff>
    </xdr:to>
    <xdr:graphicFrame macro="">
      <xdr:nvGraphicFramePr>
        <xdr:cNvPr id="8" name="Chart 7">
          <a:extLst>
            <a:ext uri="{FF2B5EF4-FFF2-40B4-BE49-F238E27FC236}">
              <a16:creationId xmlns:a16="http://schemas.microsoft.com/office/drawing/2014/main" id="{98542E67-52FA-4BB3-885A-E6F2A13FE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42</xdr:col>
      <xdr:colOff>1</xdr:colOff>
      <xdr:row>0</xdr:row>
      <xdr:rowOff>180975</xdr:rowOff>
    </xdr:from>
    <xdr:to>
      <xdr:col>54</xdr:col>
      <xdr:colOff>161925</xdr:colOff>
      <xdr:row>23</xdr:row>
      <xdr:rowOff>180975</xdr:rowOff>
    </xdr:to>
    <xdr:graphicFrame macro="">
      <xdr:nvGraphicFramePr>
        <xdr:cNvPr id="9" name="Chart 8">
          <a:extLst>
            <a:ext uri="{FF2B5EF4-FFF2-40B4-BE49-F238E27FC236}">
              <a16:creationId xmlns:a16="http://schemas.microsoft.com/office/drawing/2014/main" id="{C4D926C2-CD66-448A-8885-7A090CC23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41</xdr:col>
      <xdr:colOff>607867</xdr:colOff>
      <xdr:row>65</xdr:row>
      <xdr:rowOff>177264</xdr:rowOff>
    </xdr:from>
    <xdr:to>
      <xdr:col>54</xdr:col>
      <xdr:colOff>209550</xdr:colOff>
      <xdr:row>88</xdr:row>
      <xdr:rowOff>186789</xdr:rowOff>
    </xdr:to>
    <xdr:graphicFrame macro="">
      <xdr:nvGraphicFramePr>
        <xdr:cNvPr id="10" name="Chart 9">
          <a:extLst>
            <a:ext uri="{FF2B5EF4-FFF2-40B4-BE49-F238E27FC236}">
              <a16:creationId xmlns:a16="http://schemas.microsoft.com/office/drawing/2014/main" id="{DF02C6EC-2F2F-4DB7-9A0B-066A4E938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41</xdr:col>
      <xdr:colOff>598343</xdr:colOff>
      <xdr:row>90</xdr:row>
      <xdr:rowOff>1051</xdr:rowOff>
    </xdr:from>
    <xdr:to>
      <xdr:col>54</xdr:col>
      <xdr:colOff>200025</xdr:colOff>
      <xdr:row>106</xdr:row>
      <xdr:rowOff>167739</xdr:rowOff>
    </xdr:to>
    <xdr:graphicFrame macro="">
      <xdr:nvGraphicFramePr>
        <xdr:cNvPr id="11" name="Chart 10">
          <a:extLst>
            <a:ext uri="{FF2B5EF4-FFF2-40B4-BE49-F238E27FC236}">
              <a16:creationId xmlns:a16="http://schemas.microsoft.com/office/drawing/2014/main" id="{837754F8-F851-45E2-BF5A-6533FAF8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42</xdr:col>
      <xdr:colOff>3029</xdr:colOff>
      <xdr:row>107</xdr:row>
      <xdr:rowOff>182025</xdr:rowOff>
    </xdr:from>
    <xdr:to>
      <xdr:col>54</xdr:col>
      <xdr:colOff>219074</xdr:colOff>
      <xdr:row>123</xdr:row>
      <xdr:rowOff>177264</xdr:rowOff>
    </xdr:to>
    <xdr:graphicFrame macro="">
      <xdr:nvGraphicFramePr>
        <xdr:cNvPr id="12" name="Chart 11">
          <a:extLst>
            <a:ext uri="{FF2B5EF4-FFF2-40B4-BE49-F238E27FC236}">
              <a16:creationId xmlns:a16="http://schemas.microsoft.com/office/drawing/2014/main" id="{BD9D8111-EA74-4831-B48B-5C6900370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42</xdr:col>
      <xdr:colOff>22081</xdr:colOff>
      <xdr:row>125</xdr:row>
      <xdr:rowOff>10575</xdr:rowOff>
    </xdr:from>
    <xdr:to>
      <xdr:col>54</xdr:col>
      <xdr:colOff>228600</xdr:colOff>
      <xdr:row>144</xdr:row>
      <xdr:rowOff>5814</xdr:rowOff>
    </xdr:to>
    <xdr:graphicFrame macro="">
      <xdr:nvGraphicFramePr>
        <xdr:cNvPr id="13" name="Chart 12">
          <a:extLst>
            <a:ext uri="{FF2B5EF4-FFF2-40B4-BE49-F238E27FC236}">
              <a16:creationId xmlns:a16="http://schemas.microsoft.com/office/drawing/2014/main" id="{E70C0F9B-1AE4-40E2-B356-F81C719FC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41</xdr:col>
      <xdr:colOff>600074</xdr:colOff>
      <xdr:row>30</xdr:row>
      <xdr:rowOff>14287</xdr:rowOff>
    </xdr:from>
    <xdr:to>
      <xdr:col>54</xdr:col>
      <xdr:colOff>200025</xdr:colOff>
      <xdr:row>48</xdr:row>
      <xdr:rowOff>13607</xdr:rowOff>
    </xdr:to>
    <xdr:graphicFrame macro="">
      <xdr:nvGraphicFramePr>
        <xdr:cNvPr id="14" name="Chart 13">
          <a:extLst>
            <a:ext uri="{FF2B5EF4-FFF2-40B4-BE49-F238E27FC236}">
              <a16:creationId xmlns:a16="http://schemas.microsoft.com/office/drawing/2014/main" id="{8113E859-CCF3-4C92-A1AE-B9524F948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41</xdr:col>
      <xdr:colOff>606878</xdr:colOff>
      <xdr:row>49</xdr:row>
      <xdr:rowOff>2721</xdr:rowOff>
    </xdr:from>
    <xdr:to>
      <xdr:col>54</xdr:col>
      <xdr:colOff>161925</xdr:colOff>
      <xdr:row>64</xdr:row>
      <xdr:rowOff>176892</xdr:rowOff>
    </xdr:to>
    <xdr:graphicFrame macro="">
      <xdr:nvGraphicFramePr>
        <xdr:cNvPr id="15" name="Chart 14">
          <a:extLst>
            <a:ext uri="{FF2B5EF4-FFF2-40B4-BE49-F238E27FC236}">
              <a16:creationId xmlns:a16="http://schemas.microsoft.com/office/drawing/2014/main" id="{C954E862-5BE8-464D-B7A7-19F1B81FD7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ourworldindata.org/coronavir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ourworldindata.org/coronavirus" TargetMode="External"/><Relationship Id="rId7" Type="http://schemas.openxmlformats.org/officeDocument/2006/relationships/drawing" Target="../drawings/drawing2.xml"/><Relationship Id="rId2" Type="http://schemas.openxmlformats.org/officeDocument/2006/relationships/hyperlink" Target="https://ourworldindata.org/coronavirus" TargetMode="External"/><Relationship Id="rId1" Type="http://schemas.openxmlformats.org/officeDocument/2006/relationships/hyperlink" Target="https://www.covid19data.com.au/people-affected" TargetMode="External"/><Relationship Id="rId6" Type="http://schemas.openxmlformats.org/officeDocument/2006/relationships/printerSettings" Target="../printerSettings/printerSettings2.bin"/><Relationship Id="rId5" Type="http://schemas.openxmlformats.org/officeDocument/2006/relationships/hyperlink" Target="https://www.abs.gov.au/AUSSTATS/abs@.nsf/DetailsPage/3101.0Sep%202019?OpenDocument" TargetMode="External"/><Relationship Id="rId4" Type="http://schemas.openxmlformats.org/officeDocument/2006/relationships/hyperlink" Target="https://www.abs.gov.au/ausstats/abs@.nsf/0/1647509ef7e25faaca2568a900154b63?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A322A-CB1B-41D3-83C7-22F99C9A6B8B}">
  <dimension ref="A2:AQ55"/>
  <sheetViews>
    <sheetView workbookViewId="0">
      <selection activeCell="J8" sqref="J8"/>
    </sheetView>
  </sheetViews>
  <sheetFormatPr defaultRowHeight="15" x14ac:dyDescent="0.25"/>
  <cols>
    <col min="1" max="1" width="30.85546875" bestFit="1" customWidth="1"/>
    <col min="2" max="2" width="18.42578125" customWidth="1"/>
    <col min="3" max="34" width="10.7109375" bestFit="1" customWidth="1"/>
    <col min="35" max="35" width="11.140625" bestFit="1" customWidth="1"/>
    <col min="36" max="36" width="10.7109375" bestFit="1" customWidth="1"/>
    <col min="37" max="37" width="10.85546875" customWidth="1"/>
    <col min="38" max="38" width="11.140625" bestFit="1" customWidth="1"/>
    <col min="39" max="40" width="10.7109375" bestFit="1" customWidth="1"/>
    <col min="41" max="41" width="11.140625" bestFit="1" customWidth="1"/>
    <col min="42" max="42" width="10.7109375" bestFit="1" customWidth="1"/>
  </cols>
  <sheetData>
    <row r="2" spans="2:2" x14ac:dyDescent="0.25">
      <c r="B2" t="s">
        <v>168</v>
      </c>
    </row>
    <row r="3" spans="2:2" x14ac:dyDescent="0.25">
      <c r="B3" t="s">
        <v>148</v>
      </c>
    </row>
    <row r="4" spans="2:2" x14ac:dyDescent="0.25">
      <c r="B4" t="s">
        <v>164</v>
      </c>
    </row>
    <row r="5" spans="2:2" x14ac:dyDescent="0.25">
      <c r="B5" t="s">
        <v>169</v>
      </c>
    </row>
    <row r="6" spans="2:2" x14ac:dyDescent="0.25">
      <c r="B6" t="s">
        <v>170</v>
      </c>
    </row>
    <row r="7" spans="2:2" x14ac:dyDescent="0.25">
      <c r="B7" t="s">
        <v>151</v>
      </c>
    </row>
    <row r="11" spans="2:2" x14ac:dyDescent="0.25">
      <c r="B11" t="s">
        <v>177</v>
      </c>
    </row>
    <row r="12" spans="2:2" x14ac:dyDescent="0.25">
      <c r="B12" t="s">
        <v>190</v>
      </c>
    </row>
    <row r="13" spans="2:2" x14ac:dyDescent="0.25">
      <c r="B13" t="s">
        <v>192</v>
      </c>
    </row>
    <row r="14" spans="2:2" x14ac:dyDescent="0.25">
      <c r="B14" t="s">
        <v>191</v>
      </c>
    </row>
    <row r="15" spans="2:2" x14ac:dyDescent="0.25">
      <c r="B15" t="s">
        <v>201</v>
      </c>
    </row>
    <row r="17" spans="1:43" x14ac:dyDescent="0.25">
      <c r="A17" t="s">
        <v>197</v>
      </c>
      <c r="B17" s="135">
        <f>(AP25/E31) /Projections!B2</f>
        <v>86.580086580086572</v>
      </c>
      <c r="C17" s="136"/>
      <c r="D17" s="137"/>
      <c r="E17" s="131">
        <f>B17*2</f>
        <v>173.16017316017314</v>
      </c>
      <c r="F17" s="136"/>
      <c r="G17" s="131"/>
      <c r="H17" s="131">
        <f>E17*2</f>
        <v>346.32034632034629</v>
      </c>
      <c r="I17" s="136"/>
      <c r="J17" s="137"/>
      <c r="K17" s="128">
        <f>H17*2</f>
        <v>692.64069264069258</v>
      </c>
      <c r="L17" s="126"/>
      <c r="M17" s="127"/>
      <c r="N17" s="128">
        <f>K17*2</f>
        <v>1385.2813852813852</v>
      </c>
      <c r="O17" s="126"/>
      <c r="P17" s="127"/>
      <c r="Q17" s="128">
        <f>N17*2</f>
        <v>2770.5627705627703</v>
      </c>
      <c r="R17" s="126"/>
      <c r="S17" s="127"/>
      <c r="T17" s="128">
        <f>Q17*2</f>
        <v>5541.1255411255406</v>
      </c>
      <c r="U17" s="126"/>
      <c r="V17" s="127"/>
      <c r="W17" s="128">
        <f>T17*2</f>
        <v>11082.251082251081</v>
      </c>
      <c r="X17" s="126"/>
      <c r="Y17" s="127"/>
      <c r="Z17" s="128">
        <f>W17*2</f>
        <v>22164.502164502162</v>
      </c>
      <c r="AA17" s="126"/>
      <c r="AB17" s="127"/>
      <c r="AC17" s="128">
        <f>Z17*2</f>
        <v>44329.004329004325</v>
      </c>
      <c r="AD17" s="126"/>
      <c r="AE17" s="127"/>
      <c r="AF17" s="128">
        <f>AC17*2</f>
        <v>88658.00865800865</v>
      </c>
      <c r="AG17" s="126"/>
      <c r="AH17" s="127"/>
      <c r="AI17" s="128">
        <f>AF17*2</f>
        <v>177316.0173160173</v>
      </c>
      <c r="AJ17" s="126"/>
      <c r="AK17" s="127"/>
      <c r="AL17" s="128">
        <f>AI17*2</f>
        <v>354632.0346320346</v>
      </c>
      <c r="AM17" s="126"/>
      <c r="AN17" s="127"/>
      <c r="AO17" s="128">
        <f>AL17*2</f>
        <v>709264.0692640692</v>
      </c>
      <c r="AP17" s="131"/>
      <c r="AQ17" t="s">
        <v>197</v>
      </c>
    </row>
    <row r="18" spans="1:43" s="86" customFormat="1" x14ac:dyDescent="0.25">
      <c r="A18" s="86" t="s">
        <v>200</v>
      </c>
      <c r="B18" s="116">
        <f>B17*0.3</f>
        <v>25.97402597402597</v>
      </c>
      <c r="C18" s="138"/>
      <c r="D18" s="138"/>
      <c r="E18" s="138">
        <f>E17*0.3</f>
        <v>51.94805194805194</v>
      </c>
      <c r="F18" s="138"/>
      <c r="G18" s="47"/>
      <c r="H18" s="138">
        <f>H17*0.3</f>
        <v>103.89610389610388</v>
      </c>
      <c r="I18" s="138"/>
      <c r="J18" s="138"/>
      <c r="K18" s="138">
        <f>K17*0.3</f>
        <v>207.79220779220776</v>
      </c>
      <c r="L18" s="138"/>
      <c r="M18" s="138"/>
      <c r="N18" s="138">
        <f>N17*0.3</f>
        <v>415.58441558441552</v>
      </c>
      <c r="O18" s="138"/>
      <c r="P18" s="138"/>
      <c r="Q18" s="138">
        <f>Q17*0.3</f>
        <v>831.16883116883105</v>
      </c>
      <c r="R18" s="138"/>
      <c r="S18" s="138"/>
      <c r="T18" s="138">
        <f>T17*0.3</f>
        <v>1662.3376623376621</v>
      </c>
      <c r="U18" s="138"/>
      <c r="V18" s="138"/>
      <c r="W18" s="138">
        <f>W17*0.3</f>
        <v>3324.6753246753242</v>
      </c>
      <c r="X18" s="138"/>
      <c r="Y18" s="138"/>
      <c r="Z18" s="138">
        <f>Z17*0.3</f>
        <v>6649.3506493506484</v>
      </c>
      <c r="AA18" s="138"/>
      <c r="AB18" s="138"/>
      <c r="AC18" s="138">
        <f>AC17*0.3</f>
        <v>13298.701298701297</v>
      </c>
      <c r="AD18" s="138"/>
      <c r="AE18" s="138"/>
      <c r="AF18" s="138">
        <f>AF17*0.3</f>
        <v>26597.402597402594</v>
      </c>
      <c r="AG18" s="138"/>
      <c r="AH18" s="138"/>
      <c r="AI18" s="138">
        <f>AI17*0.3</f>
        <v>53194.805194805187</v>
      </c>
      <c r="AJ18" s="138"/>
      <c r="AK18" s="138"/>
      <c r="AL18" s="138">
        <f>AL17*0.3</f>
        <v>106389.61038961037</v>
      </c>
      <c r="AM18" s="138"/>
      <c r="AN18" s="138"/>
      <c r="AO18" s="138">
        <f>AO17*0.3</f>
        <v>212779.22077922075</v>
      </c>
      <c r="AP18" s="47"/>
      <c r="AQ18" s="86" t="s">
        <v>200</v>
      </c>
    </row>
    <row r="19" spans="1:43" s="86" customFormat="1" x14ac:dyDescent="0.25">
      <c r="A19" s="61" t="s">
        <v>199</v>
      </c>
      <c r="B19" s="114">
        <f>B18</f>
        <v>25.97402597402597</v>
      </c>
      <c r="C19" s="115"/>
      <c r="D19" s="115"/>
      <c r="E19" s="115">
        <f>E18</f>
        <v>51.94805194805194</v>
      </c>
      <c r="F19" s="115"/>
      <c r="G19" s="48"/>
      <c r="H19" s="115">
        <f>H18</f>
        <v>103.89610389610388</v>
      </c>
      <c r="I19" s="115"/>
      <c r="J19" s="115"/>
      <c r="K19" s="115">
        <f>K18</f>
        <v>207.79220779220776</v>
      </c>
      <c r="L19" s="115"/>
      <c r="M19" s="115"/>
      <c r="N19" s="115">
        <f>N18</f>
        <v>415.58441558441552</v>
      </c>
      <c r="O19" s="115"/>
      <c r="P19" s="115"/>
      <c r="Q19" s="115">
        <f>Q18</f>
        <v>831.16883116883105</v>
      </c>
      <c r="R19" s="115"/>
      <c r="S19" s="115"/>
      <c r="T19" s="115">
        <f>T18</f>
        <v>1662.3376623376621</v>
      </c>
      <c r="U19" s="115"/>
      <c r="V19" s="115"/>
      <c r="W19" s="155">
        <f>W18-B18</f>
        <v>3298.7012987012981</v>
      </c>
      <c r="X19" s="155"/>
      <c r="Y19" s="155"/>
      <c r="Z19" s="155">
        <f>Z18-E18</f>
        <v>6597.4025974025963</v>
      </c>
      <c r="AA19" s="155"/>
      <c r="AB19" s="155"/>
      <c r="AC19" s="155">
        <f>AC18-H18</f>
        <v>13194.805194805193</v>
      </c>
      <c r="AD19" s="155"/>
      <c r="AE19" s="155"/>
      <c r="AF19" s="155">
        <f>AF18-K18</f>
        <v>26389.610389610385</v>
      </c>
      <c r="AG19" s="155"/>
      <c r="AH19" s="155"/>
      <c r="AI19" s="155">
        <f>AI18-N18</f>
        <v>52779.22077922077</v>
      </c>
      <c r="AJ19" s="155"/>
      <c r="AK19" s="155"/>
      <c r="AL19" s="155">
        <f>AL18-Q18</f>
        <v>105558.44155844154</v>
      </c>
      <c r="AM19" s="155"/>
      <c r="AN19" s="155"/>
      <c r="AO19" s="155">
        <f>AO18-T18</f>
        <v>211116.88311688308</v>
      </c>
      <c r="AP19" s="156"/>
      <c r="AQ19" s="61" t="s">
        <v>199</v>
      </c>
    </row>
    <row r="20" spans="1:43" s="86" customFormat="1" x14ac:dyDescent="0.25">
      <c r="A20" t="s">
        <v>198</v>
      </c>
      <c r="B20" s="116"/>
      <c r="C20" s="138"/>
      <c r="D20" s="138"/>
      <c r="E20" s="138"/>
      <c r="F20" s="138"/>
      <c r="G20" s="47"/>
      <c r="H20" s="139"/>
      <c r="I20" s="140"/>
      <c r="J20" s="141"/>
      <c r="K20" s="165">
        <f>B17*0.7</f>
        <v>60.606060606060595</v>
      </c>
      <c r="L20" s="162"/>
      <c r="M20" s="163"/>
      <c r="N20" s="164">
        <f>E17*0.7</f>
        <v>121.21212121212119</v>
      </c>
      <c r="O20" s="162"/>
      <c r="P20" s="163"/>
      <c r="Q20" s="164">
        <f>H17*0.7</f>
        <v>242.42424242424238</v>
      </c>
      <c r="R20" s="162"/>
      <c r="S20" s="163"/>
      <c r="T20" s="164">
        <f>K17*0.7</f>
        <v>484.84848484848476</v>
      </c>
      <c r="U20" s="162"/>
      <c r="V20" s="163"/>
      <c r="W20" s="164">
        <f>N17*0.7</f>
        <v>969.69696969696952</v>
      </c>
      <c r="X20" s="162"/>
      <c r="Y20" s="163"/>
      <c r="Z20" s="164">
        <f>Q17*0.7</f>
        <v>1939.393939393939</v>
      </c>
      <c r="AA20" s="162"/>
      <c r="AB20" s="163"/>
      <c r="AC20" s="164">
        <f>T17*0.7</f>
        <v>3878.7878787878781</v>
      </c>
      <c r="AD20" s="162"/>
      <c r="AE20" s="163"/>
      <c r="AF20" s="164">
        <f>W17*0.7</f>
        <v>7757.5757575757561</v>
      </c>
      <c r="AG20" s="162"/>
      <c r="AH20" s="163"/>
      <c r="AI20" s="164">
        <f>Z17*0.7</f>
        <v>15515.151515151512</v>
      </c>
      <c r="AJ20" s="162"/>
      <c r="AK20" s="163"/>
      <c r="AL20" s="164">
        <f>AC17*0.7</f>
        <v>31030.303030303025</v>
      </c>
      <c r="AM20" s="162"/>
      <c r="AN20" s="163"/>
      <c r="AO20" s="164">
        <f>AF17*0.7</f>
        <v>62060.606060606049</v>
      </c>
      <c r="AP20" s="98"/>
      <c r="AQ20" t="s">
        <v>198</v>
      </c>
    </row>
    <row r="21" spans="1:43" s="86" customFormat="1" x14ac:dyDescent="0.25">
      <c r="A21" s="86" t="s">
        <v>178</v>
      </c>
      <c r="B21" s="100"/>
      <c r="C21" s="101"/>
      <c r="D21" s="101"/>
      <c r="E21" s="101"/>
      <c r="F21" s="101"/>
      <c r="G21" s="104"/>
      <c r="H21" s="157">
        <f>B17-B18</f>
        <v>60.606060606060602</v>
      </c>
      <c r="I21" s="157"/>
      <c r="J21" s="157"/>
      <c r="K21" s="157">
        <f>E17-E18</f>
        <v>121.2121212121212</v>
      </c>
      <c r="L21" s="157"/>
      <c r="M21" s="157"/>
      <c r="N21" s="157">
        <f>(H17-H18)*$E$35</f>
        <v>196.36363636363637</v>
      </c>
      <c r="O21" s="157"/>
      <c r="P21" s="157"/>
      <c r="Q21" s="157">
        <f>(K17-K18)*$E$35</f>
        <v>392.72727272727275</v>
      </c>
      <c r="R21" s="157"/>
      <c r="S21" s="157"/>
      <c r="T21" s="157">
        <f>(N17-N18)*$E$35</f>
        <v>785.4545454545455</v>
      </c>
      <c r="U21" s="157"/>
      <c r="V21" s="157"/>
      <c r="W21" s="157">
        <f>((Q17-Q18)*$E$35)-(H21*$E$35)</f>
        <v>1521.818181818182</v>
      </c>
      <c r="X21" s="157"/>
      <c r="Y21" s="157"/>
      <c r="Z21" s="157">
        <f>((T17-T18)*$E$35)-(K21*$E$35)</f>
        <v>3043.636363636364</v>
      </c>
      <c r="AA21" s="157"/>
      <c r="AB21" s="157"/>
      <c r="AC21" s="157">
        <f>((W17-W18)*$E$35)-N21</f>
        <v>6087.2727272727279</v>
      </c>
      <c r="AD21" s="157"/>
      <c r="AE21" s="157"/>
      <c r="AF21" s="157">
        <f>((Z17-Z18)*$E$35)-Q21</f>
        <v>12174.545454545456</v>
      </c>
      <c r="AG21" s="157"/>
      <c r="AH21" s="157"/>
      <c r="AI21" s="157">
        <f>((AC17-AC18)*$E$35)-T21</f>
        <v>24349.090909090912</v>
      </c>
      <c r="AJ21" s="157"/>
      <c r="AK21" s="157"/>
      <c r="AL21" s="157">
        <f>((AF17-AF18)*$E$35)-W21</f>
        <v>48747.272727272728</v>
      </c>
      <c r="AM21" s="157"/>
      <c r="AN21" s="157"/>
      <c r="AO21" s="157">
        <f>((AI17-AI18)*$E$35)-Z21</f>
        <v>97494.545454545456</v>
      </c>
      <c r="AP21" s="158"/>
      <c r="AQ21" s="86" t="s">
        <v>178</v>
      </c>
    </row>
    <row r="22" spans="1:43" s="86" customFormat="1" x14ac:dyDescent="0.25">
      <c r="A22" s="86" t="s">
        <v>179</v>
      </c>
      <c r="B22" s="100"/>
      <c r="C22" s="101"/>
      <c r="D22" s="101"/>
      <c r="E22" s="101"/>
      <c r="F22" s="101"/>
      <c r="G22" s="104"/>
      <c r="H22" s="140"/>
      <c r="I22" s="140"/>
      <c r="J22" s="140"/>
      <c r="K22" s="140"/>
      <c r="L22" s="140"/>
      <c r="M22" s="141"/>
      <c r="N22" s="159">
        <f>(H17-H18)*($E$36+$E$37)</f>
        <v>46.060606060606055</v>
      </c>
      <c r="O22" s="159"/>
      <c r="P22" s="159"/>
      <c r="Q22" s="159">
        <f>(K17-K18)*($E$36+$E$37)</f>
        <v>92.12121212121211</v>
      </c>
      <c r="R22" s="159"/>
      <c r="S22" s="159"/>
      <c r="T22" s="159">
        <f>(N17-N18)*$E$36</f>
        <v>135.75757575757575</v>
      </c>
      <c r="U22" s="159"/>
      <c r="V22" s="159"/>
      <c r="W22" s="159">
        <f>(Q17-Q18)*$E$36</f>
        <v>271.5151515151515</v>
      </c>
      <c r="X22" s="159"/>
      <c r="Y22" s="159"/>
      <c r="Z22" s="159">
        <f>(T17-T18)*$E$36</f>
        <v>543.030303030303</v>
      </c>
      <c r="AA22" s="159"/>
      <c r="AB22" s="159"/>
      <c r="AC22" s="159">
        <f>(W17-W18)*$E$36</f>
        <v>1086.060606060606</v>
      </c>
      <c r="AD22" s="159"/>
      <c r="AE22" s="159"/>
      <c r="AF22" s="159">
        <f>(Z17-Z18)*$E$36</f>
        <v>2172.121212121212</v>
      </c>
      <c r="AG22" s="159"/>
      <c r="AH22" s="159"/>
      <c r="AI22" s="159">
        <f>(AC17-AC18)*$E$36</f>
        <v>4344.242424242424</v>
      </c>
      <c r="AJ22" s="159"/>
      <c r="AK22" s="159"/>
      <c r="AL22" s="159">
        <f>(AF17-AF18)*$E$36</f>
        <v>8688.484848484848</v>
      </c>
      <c r="AM22" s="159"/>
      <c r="AN22" s="159"/>
      <c r="AO22" s="159">
        <f>(AI17-AI18)*$E$36</f>
        <v>17376.969696969696</v>
      </c>
      <c r="AP22" s="160"/>
      <c r="AQ22" s="86" t="s">
        <v>179</v>
      </c>
    </row>
    <row r="23" spans="1:43" s="86" customFormat="1" x14ac:dyDescent="0.25">
      <c r="A23" s="61" t="s">
        <v>180</v>
      </c>
      <c r="B23" s="100"/>
      <c r="C23" s="101"/>
      <c r="D23" s="101"/>
      <c r="E23" s="101"/>
      <c r="F23" s="101"/>
      <c r="G23" s="104"/>
      <c r="H23" s="115"/>
      <c r="I23" s="115"/>
      <c r="J23" s="115"/>
      <c r="K23" s="115"/>
      <c r="L23" s="115"/>
      <c r="M23" s="115"/>
      <c r="N23" s="140"/>
      <c r="O23" s="140"/>
      <c r="P23" s="140"/>
      <c r="Q23" s="140"/>
      <c r="R23" s="140"/>
      <c r="S23" s="141"/>
      <c r="T23" s="54">
        <f>(N17-N18)*$E$37</f>
        <v>48.484848484848484</v>
      </c>
      <c r="U23" s="54"/>
      <c r="V23" s="54"/>
      <c r="W23" s="54">
        <f>(Q17-Q18)*$E$37</f>
        <v>96.969696969696969</v>
      </c>
      <c r="X23" s="54"/>
      <c r="Y23" s="54"/>
      <c r="Z23" s="54">
        <f>(T17-T18)*$E$37</f>
        <v>193.93939393939394</v>
      </c>
      <c r="AA23" s="54"/>
      <c r="AB23" s="54"/>
      <c r="AC23" s="54">
        <f>(W17-W18)*$E$37</f>
        <v>387.87878787878788</v>
      </c>
      <c r="AD23" s="54"/>
      <c r="AE23" s="54"/>
      <c r="AF23" s="54">
        <f>(Z17-Z18)*$E$37</f>
        <v>775.75757575757575</v>
      </c>
      <c r="AG23" s="54"/>
      <c r="AH23" s="54"/>
      <c r="AI23" s="54">
        <f>(AC17-AC18)*$E$37</f>
        <v>1551.5151515151515</v>
      </c>
      <c r="AJ23" s="54"/>
      <c r="AK23" s="54"/>
      <c r="AL23" s="54">
        <f>(AF17-AF18)*$E$37</f>
        <v>3103.030303030303</v>
      </c>
      <c r="AM23" s="54"/>
      <c r="AN23" s="54"/>
      <c r="AO23" s="54">
        <f>(AI17-AI18)*$E$37</f>
        <v>6206.060606060606</v>
      </c>
      <c r="AP23" s="161"/>
      <c r="AQ23" s="61" t="s">
        <v>180</v>
      </c>
    </row>
    <row r="24" spans="1:43" s="86" customFormat="1" x14ac:dyDescent="0.25">
      <c r="A24" s="61" t="s">
        <v>185</v>
      </c>
      <c r="B24" s="114"/>
      <c r="C24" s="115"/>
      <c r="D24" s="115"/>
      <c r="E24" s="115"/>
      <c r="F24" s="115"/>
      <c r="G24" s="48"/>
      <c r="H24" s="115"/>
      <c r="I24" s="115"/>
      <c r="J24" s="115"/>
      <c r="K24" s="115"/>
      <c r="L24" s="115"/>
      <c r="M24" s="115"/>
      <c r="N24" s="115"/>
      <c r="O24" s="115"/>
      <c r="P24" s="115"/>
      <c r="Q24" s="115"/>
      <c r="R24" s="115"/>
      <c r="S24" s="115"/>
      <c r="T24" s="140"/>
      <c r="U24" s="141"/>
      <c r="V24" s="142">
        <f>H21*$E$35</f>
        <v>49.090909090909093</v>
      </c>
      <c r="W24" s="142"/>
      <c r="X24" s="142"/>
      <c r="Y24" s="142">
        <f>K21*$E$35</f>
        <v>98.181818181818187</v>
      </c>
      <c r="Z24" s="142"/>
      <c r="AA24" s="142"/>
      <c r="AB24" s="142">
        <f>N21</f>
        <v>196.36363636363637</v>
      </c>
      <c r="AC24" s="142"/>
      <c r="AD24" s="142"/>
      <c r="AE24" s="142">
        <f>Q21</f>
        <v>392.72727272727275</v>
      </c>
      <c r="AF24" s="142"/>
      <c r="AG24" s="142"/>
      <c r="AH24" s="142">
        <f>T21</f>
        <v>785.4545454545455</v>
      </c>
      <c r="AI24" s="142"/>
      <c r="AJ24" s="142"/>
      <c r="AK24" s="142">
        <f>W21</f>
        <v>1521.818181818182</v>
      </c>
      <c r="AL24" s="142"/>
      <c r="AM24" s="142"/>
      <c r="AN24" s="142">
        <f>Z21</f>
        <v>3043.636363636364</v>
      </c>
      <c r="AO24" s="142"/>
      <c r="AP24" s="143"/>
      <c r="AQ24" s="61" t="s">
        <v>185</v>
      </c>
    </row>
    <row r="25" spans="1:43" x14ac:dyDescent="0.25">
      <c r="A25" s="61" t="s">
        <v>174</v>
      </c>
      <c r="B25" s="132"/>
      <c r="C25" s="133"/>
      <c r="D25" s="133"/>
      <c r="E25" s="133"/>
      <c r="F25" s="133"/>
      <c r="G25" s="134"/>
      <c r="H25" s="125"/>
      <c r="I25" s="125"/>
      <c r="J25" s="125"/>
      <c r="K25" s="125"/>
      <c r="L25" s="125"/>
      <c r="M25" s="125"/>
      <c r="N25" s="125"/>
      <c r="O25" s="125"/>
      <c r="P25" s="125"/>
      <c r="Q25" s="125"/>
      <c r="R25" s="125"/>
      <c r="S25" s="125"/>
      <c r="T25" s="125"/>
      <c r="U25" s="125"/>
      <c r="V25" s="125"/>
      <c r="W25" s="125"/>
      <c r="X25" s="125"/>
      <c r="Y25" s="125"/>
      <c r="Z25" s="125"/>
      <c r="AA25" s="125"/>
      <c r="AB25" s="125"/>
      <c r="AC25" s="125"/>
      <c r="AD25" s="125"/>
      <c r="AE25" s="125"/>
      <c r="AF25" s="125"/>
      <c r="AG25" s="125"/>
      <c r="AH25" s="125"/>
      <c r="AI25" s="125"/>
      <c r="AJ25" s="125"/>
      <c r="AK25" s="125"/>
      <c r="AL25" s="125"/>
      <c r="AM25" s="125"/>
      <c r="AN25" s="125"/>
      <c r="AO25" s="125"/>
      <c r="AP25" s="166">
        <f>E32</f>
        <v>1</v>
      </c>
      <c r="AQ25" s="61" t="s">
        <v>174</v>
      </c>
    </row>
    <row r="26" spans="1:43" x14ac:dyDescent="0.25">
      <c r="A26" s="167" t="s">
        <v>205</v>
      </c>
      <c r="B26" s="122">
        <f t="shared" ref="B26:G26" ca="1" si="0">C26-1</f>
        <v>43880.488586111111</v>
      </c>
      <c r="C26" s="123">
        <f t="shared" ca="1" si="0"/>
        <v>43881.488586111111</v>
      </c>
      <c r="D26" s="123">
        <f t="shared" ca="1" si="0"/>
        <v>43882.488586111111</v>
      </c>
      <c r="E26" s="123">
        <f t="shared" ca="1" si="0"/>
        <v>43883.488586111111</v>
      </c>
      <c r="F26" s="123">
        <f t="shared" ca="1" si="0"/>
        <v>43884.488586111111</v>
      </c>
      <c r="G26" s="124">
        <f t="shared" ca="1" si="0"/>
        <v>43885.488586111111</v>
      </c>
      <c r="H26" s="123">
        <f t="shared" ref="H26:U26" ca="1" si="1">I26-1</f>
        <v>43886.488586111111</v>
      </c>
      <c r="I26" s="123">
        <f t="shared" ca="1" si="1"/>
        <v>43887.488586111111</v>
      </c>
      <c r="J26" s="123">
        <f t="shared" ca="1" si="1"/>
        <v>43888.488586111111</v>
      </c>
      <c r="K26" s="123">
        <f t="shared" ca="1" si="1"/>
        <v>43889.488586111111</v>
      </c>
      <c r="L26" s="123">
        <f t="shared" ca="1" si="1"/>
        <v>43890.488586111111</v>
      </c>
      <c r="M26" s="123">
        <f t="shared" ca="1" si="1"/>
        <v>43891.488586111111</v>
      </c>
      <c r="N26" s="124">
        <f t="shared" ca="1" si="1"/>
        <v>43892.488586111111</v>
      </c>
      <c r="O26" s="122">
        <f t="shared" ca="1" si="1"/>
        <v>43893.488586111111</v>
      </c>
      <c r="P26" s="123">
        <f t="shared" ca="1" si="1"/>
        <v>43894.488586111111</v>
      </c>
      <c r="Q26" s="123">
        <f t="shared" ca="1" si="1"/>
        <v>43895.488586111111</v>
      </c>
      <c r="R26" s="123">
        <f t="shared" ca="1" si="1"/>
        <v>43896.488586111111</v>
      </c>
      <c r="S26" s="123">
        <f t="shared" ca="1" si="1"/>
        <v>43897.488586111111</v>
      </c>
      <c r="T26" s="123">
        <f t="shared" ca="1" si="1"/>
        <v>43898.488586111111</v>
      </c>
      <c r="U26" s="124">
        <f t="shared" ca="1" si="1"/>
        <v>43899.488586111111</v>
      </c>
      <c r="V26" s="122">
        <f t="shared" ref="V26:AN26" ca="1" si="2">W26-1</f>
        <v>43900.488586111111</v>
      </c>
      <c r="W26" s="123">
        <f t="shared" ca="1" si="2"/>
        <v>43901.488586111111</v>
      </c>
      <c r="X26" s="123">
        <f t="shared" ca="1" si="2"/>
        <v>43902.488586111111</v>
      </c>
      <c r="Y26" s="123">
        <f t="shared" ca="1" si="2"/>
        <v>43903.488586111111</v>
      </c>
      <c r="Z26" s="123">
        <f t="shared" ca="1" si="2"/>
        <v>43904.488586111111</v>
      </c>
      <c r="AA26" s="123">
        <f t="shared" ca="1" si="2"/>
        <v>43905.488586111111</v>
      </c>
      <c r="AB26" s="124">
        <f t="shared" ca="1" si="2"/>
        <v>43906.488586111111</v>
      </c>
      <c r="AC26" s="122">
        <f t="shared" ca="1" si="2"/>
        <v>43907.488586111111</v>
      </c>
      <c r="AD26" s="123">
        <f t="shared" ca="1" si="2"/>
        <v>43908.488586111111</v>
      </c>
      <c r="AE26" s="123">
        <f t="shared" ca="1" si="2"/>
        <v>43909.488586111111</v>
      </c>
      <c r="AF26" s="123">
        <f t="shared" ca="1" si="2"/>
        <v>43910.488586111111</v>
      </c>
      <c r="AG26" s="123">
        <f t="shared" ca="1" si="2"/>
        <v>43911.488586111111</v>
      </c>
      <c r="AH26" s="123">
        <f t="shared" ca="1" si="2"/>
        <v>43912.488586111111</v>
      </c>
      <c r="AI26" s="124">
        <f t="shared" ca="1" si="2"/>
        <v>43913.488586111111</v>
      </c>
      <c r="AJ26" s="122">
        <f t="shared" ca="1" si="2"/>
        <v>43914.488586111111</v>
      </c>
      <c r="AK26" s="123">
        <f t="shared" ca="1" si="2"/>
        <v>43915.488586111111</v>
      </c>
      <c r="AL26" s="123">
        <f t="shared" ca="1" si="2"/>
        <v>43916.488586111111</v>
      </c>
      <c r="AM26" s="123">
        <f t="shared" ca="1" si="2"/>
        <v>43917.488586111111</v>
      </c>
      <c r="AN26" s="123">
        <f t="shared" ca="1" si="2"/>
        <v>43918.488586111111</v>
      </c>
      <c r="AO26" s="123">
        <f ca="1">AP26-1</f>
        <v>43919.488586111111</v>
      </c>
      <c r="AP26" s="144">
        <f ca="1">NOW()</f>
        <v>43920.488586111111</v>
      </c>
    </row>
    <row r="27" spans="1:43" x14ac:dyDescent="0.25">
      <c r="A27" s="168" t="s">
        <v>206</v>
      </c>
      <c r="B27" s="151">
        <v>1</v>
      </c>
      <c r="C27" s="152">
        <v>2</v>
      </c>
      <c r="D27" s="151">
        <v>3</v>
      </c>
      <c r="E27" s="152">
        <v>4</v>
      </c>
      <c r="F27" s="151">
        <v>5</v>
      </c>
      <c r="G27" s="153">
        <v>6</v>
      </c>
      <c r="H27" s="152">
        <v>7</v>
      </c>
      <c r="I27" s="152">
        <v>8</v>
      </c>
      <c r="J27" s="152">
        <v>9</v>
      </c>
      <c r="K27" s="152">
        <v>10</v>
      </c>
      <c r="L27" s="152">
        <v>11</v>
      </c>
      <c r="M27" s="152">
        <v>12</v>
      </c>
      <c r="N27" s="153">
        <v>13</v>
      </c>
      <c r="O27" s="151">
        <v>14</v>
      </c>
      <c r="P27" s="152">
        <v>15</v>
      </c>
      <c r="Q27" s="152">
        <v>16</v>
      </c>
      <c r="R27" s="152">
        <v>17</v>
      </c>
      <c r="S27" s="152">
        <v>18</v>
      </c>
      <c r="T27" s="152">
        <v>19</v>
      </c>
      <c r="U27" s="153">
        <v>20</v>
      </c>
      <c r="V27" s="151">
        <v>21</v>
      </c>
      <c r="W27" s="152">
        <v>22</v>
      </c>
      <c r="X27" s="152">
        <v>23</v>
      </c>
      <c r="Y27" s="152">
        <v>24</v>
      </c>
      <c r="Z27" s="152">
        <v>25</v>
      </c>
      <c r="AA27" s="152">
        <v>26</v>
      </c>
      <c r="AB27" s="153">
        <v>27</v>
      </c>
      <c r="AC27" s="151">
        <v>28</v>
      </c>
      <c r="AD27" s="152">
        <v>29</v>
      </c>
      <c r="AE27" s="152">
        <v>30</v>
      </c>
      <c r="AF27" s="152">
        <v>31</v>
      </c>
      <c r="AG27" s="152">
        <v>32</v>
      </c>
      <c r="AH27" s="152">
        <v>33</v>
      </c>
      <c r="AI27" s="153">
        <v>34</v>
      </c>
      <c r="AJ27" s="151">
        <v>35</v>
      </c>
      <c r="AK27" s="152">
        <v>36</v>
      </c>
      <c r="AL27" s="152">
        <v>37</v>
      </c>
      <c r="AM27" s="152">
        <v>38</v>
      </c>
      <c r="AN27" s="152">
        <v>39</v>
      </c>
      <c r="AO27" s="152">
        <v>40</v>
      </c>
      <c r="AP27" s="153">
        <v>41</v>
      </c>
    </row>
    <row r="28" spans="1:43" x14ac:dyDescent="0.25">
      <c r="A28" s="169" t="s">
        <v>207</v>
      </c>
      <c r="B28" s="223" t="s">
        <v>172</v>
      </c>
      <c r="C28" s="224"/>
      <c r="D28" s="224"/>
      <c r="E28" s="224"/>
      <c r="F28" s="224"/>
      <c r="G28" s="225"/>
      <c r="H28" s="229" t="s">
        <v>159</v>
      </c>
      <c r="I28" s="229"/>
      <c r="J28" s="229"/>
      <c r="K28" s="229"/>
      <c r="L28" s="229"/>
      <c r="M28" s="229"/>
      <c r="N28" s="230"/>
      <c r="O28" s="228" t="s">
        <v>160</v>
      </c>
      <c r="P28" s="229"/>
      <c r="Q28" s="229"/>
      <c r="R28" s="229"/>
      <c r="S28" s="229"/>
      <c r="T28" s="229"/>
      <c r="U28" s="230"/>
      <c r="V28" s="228" t="s">
        <v>161</v>
      </c>
      <c r="W28" s="229"/>
      <c r="X28" s="229"/>
      <c r="Y28" s="229"/>
      <c r="Z28" s="229"/>
      <c r="AA28" s="229"/>
      <c r="AB28" s="230"/>
      <c r="AC28" s="228" t="s">
        <v>162</v>
      </c>
      <c r="AD28" s="229"/>
      <c r="AE28" s="229"/>
      <c r="AF28" s="229"/>
      <c r="AG28" s="229"/>
      <c r="AH28" s="229"/>
      <c r="AI28" s="230"/>
      <c r="AJ28" s="228" t="s">
        <v>163</v>
      </c>
      <c r="AK28" s="229"/>
      <c r="AL28" s="229"/>
      <c r="AM28" s="229"/>
      <c r="AN28" s="229"/>
      <c r="AO28" s="229"/>
      <c r="AP28" s="230"/>
    </row>
    <row r="29" spans="1:43" x14ac:dyDescent="0.25">
      <c r="B29" s="66" t="s">
        <v>184</v>
      </c>
      <c r="C29" s="129"/>
      <c r="D29" s="129"/>
      <c r="E29" s="129"/>
      <c r="F29" s="129"/>
      <c r="G29" s="130"/>
      <c r="H29" s="226" t="s">
        <v>171</v>
      </c>
      <c r="I29" s="226"/>
      <c r="J29" s="226"/>
      <c r="K29" s="226"/>
      <c r="L29" s="226"/>
      <c r="M29" s="226"/>
      <c r="N29" s="226"/>
      <c r="O29" s="226"/>
      <c r="P29" s="226"/>
      <c r="Q29" s="226"/>
      <c r="R29" s="226"/>
      <c r="S29" s="226"/>
      <c r="T29" s="226"/>
      <c r="U29" s="226"/>
      <c r="V29" s="226"/>
      <c r="W29" s="226"/>
      <c r="X29" s="226"/>
      <c r="Y29" s="226"/>
      <c r="Z29" s="226"/>
      <c r="AA29" s="226"/>
      <c r="AB29" s="226"/>
      <c r="AC29" s="226"/>
      <c r="AD29" s="226"/>
      <c r="AE29" s="226"/>
      <c r="AF29" s="226"/>
      <c r="AG29" s="226"/>
      <c r="AH29" s="226"/>
      <c r="AI29" s="226"/>
      <c r="AJ29" s="226"/>
      <c r="AK29" s="226"/>
      <c r="AL29" s="226"/>
      <c r="AM29" s="226"/>
      <c r="AN29" s="226"/>
      <c r="AO29" s="226"/>
      <c r="AP29" s="227"/>
    </row>
    <row r="31" spans="1:43" x14ac:dyDescent="0.25">
      <c r="B31" s="73" t="s">
        <v>173</v>
      </c>
      <c r="C31" s="172" t="s">
        <v>194</v>
      </c>
      <c r="D31" s="21"/>
      <c r="E31" s="109">
        <f>VLOOKUP(C31,B43:C53,2,FALSE)</f>
        <v>3.5000000000000003E-2</v>
      </c>
      <c r="F31" s="21"/>
      <c r="G31" s="21"/>
      <c r="H31" s="21"/>
      <c r="I31" s="17"/>
    </row>
    <row r="32" spans="1:43" x14ac:dyDescent="0.25">
      <c r="B32" s="55" t="s">
        <v>204</v>
      </c>
      <c r="C32" s="30"/>
      <c r="D32" s="30"/>
      <c r="E32" s="173">
        <v>1</v>
      </c>
      <c r="F32" s="30"/>
      <c r="G32" s="30"/>
      <c r="H32" s="30"/>
      <c r="I32" s="31"/>
    </row>
    <row r="33" spans="2:22" x14ac:dyDescent="0.25">
      <c r="B33" s="55" t="s">
        <v>175</v>
      </c>
      <c r="C33" s="30"/>
      <c r="D33" s="30"/>
      <c r="E33" s="30">
        <v>3</v>
      </c>
      <c r="F33" s="30" t="s">
        <v>176</v>
      </c>
      <c r="G33" s="30"/>
      <c r="H33" s="30"/>
      <c r="I33" s="31"/>
    </row>
    <row r="34" spans="2:22" x14ac:dyDescent="0.25">
      <c r="B34" s="55" t="s">
        <v>196</v>
      </c>
      <c r="C34" s="30"/>
      <c r="D34" s="30"/>
      <c r="E34" s="92">
        <v>0.3</v>
      </c>
      <c r="F34" s="30" t="s">
        <v>202</v>
      </c>
      <c r="G34" s="30"/>
      <c r="H34" s="30"/>
      <c r="I34" s="31"/>
    </row>
    <row r="35" spans="2:22" x14ac:dyDescent="0.25">
      <c r="B35" s="55" t="s">
        <v>181</v>
      </c>
      <c r="C35" s="30"/>
      <c r="D35" s="30"/>
      <c r="E35" s="174">
        <v>0.81</v>
      </c>
      <c r="F35" s="30" t="s">
        <v>203</v>
      </c>
      <c r="G35" s="30"/>
      <c r="H35" s="30"/>
      <c r="I35" s="31"/>
    </row>
    <row r="36" spans="2:22" x14ac:dyDescent="0.25">
      <c r="B36" s="55" t="s">
        <v>182</v>
      </c>
      <c r="C36" s="30"/>
      <c r="D36" s="30"/>
      <c r="E36" s="174">
        <v>0.14000000000000001</v>
      </c>
      <c r="F36" s="30" t="s">
        <v>203</v>
      </c>
      <c r="G36" s="30"/>
      <c r="H36" s="30"/>
      <c r="I36" s="31"/>
    </row>
    <row r="37" spans="2:22" x14ac:dyDescent="0.25">
      <c r="B37" s="55" t="s">
        <v>183</v>
      </c>
      <c r="C37" s="30"/>
      <c r="D37" s="30"/>
      <c r="E37" s="174">
        <v>0.05</v>
      </c>
      <c r="F37" s="30" t="s">
        <v>203</v>
      </c>
      <c r="G37" s="30"/>
      <c r="H37" s="30"/>
      <c r="I37" s="31"/>
    </row>
    <row r="38" spans="2:22" x14ac:dyDescent="0.25">
      <c r="B38" s="55" t="s">
        <v>186</v>
      </c>
      <c r="C38" s="30"/>
      <c r="D38" s="30"/>
      <c r="E38" s="170">
        <v>2</v>
      </c>
      <c r="F38" s="30" t="s">
        <v>187</v>
      </c>
      <c r="G38" s="30"/>
      <c r="H38" s="30"/>
      <c r="I38" s="31"/>
    </row>
    <row r="39" spans="2:22" x14ac:dyDescent="0.25">
      <c r="B39" s="51" t="s">
        <v>188</v>
      </c>
      <c r="C39" s="171"/>
      <c r="D39" s="53"/>
      <c r="E39" s="150">
        <v>4</v>
      </c>
      <c r="F39" s="53" t="s">
        <v>187</v>
      </c>
      <c r="G39" s="53" t="s">
        <v>189</v>
      </c>
      <c r="H39" s="53"/>
      <c r="I39" s="79"/>
    </row>
    <row r="42" spans="2:22" x14ac:dyDescent="0.25">
      <c r="B42" t="s">
        <v>195</v>
      </c>
    </row>
    <row r="43" spans="2:22" x14ac:dyDescent="0.25">
      <c r="B43" s="16" t="s">
        <v>194</v>
      </c>
      <c r="C43" s="149">
        <v>3.5000000000000003E-2</v>
      </c>
    </row>
    <row r="44" spans="2:22" x14ac:dyDescent="0.25">
      <c r="B44" s="55" t="s">
        <v>193</v>
      </c>
      <c r="C44" s="41">
        <v>2.3E-2</v>
      </c>
    </row>
    <row r="45" spans="2:22" x14ac:dyDescent="0.25">
      <c r="B45" s="55" t="s">
        <v>13</v>
      </c>
      <c r="C45" s="41">
        <v>0.14799999999999999</v>
      </c>
    </row>
    <row r="46" spans="2:22" x14ac:dyDescent="0.25">
      <c r="B46" s="55" t="s">
        <v>14</v>
      </c>
      <c r="C46" s="41">
        <v>0.08</v>
      </c>
    </row>
    <row r="47" spans="2:22" x14ac:dyDescent="0.25">
      <c r="B47" s="55" t="s">
        <v>15</v>
      </c>
      <c r="C47" s="41">
        <v>3.5999999999999997E-2</v>
      </c>
    </row>
    <row r="48" spans="2:22" x14ac:dyDescent="0.25">
      <c r="B48" s="55" t="s">
        <v>16</v>
      </c>
      <c r="C48" s="41">
        <v>1.2999999999999999E-2</v>
      </c>
      <c r="V48" s="154"/>
    </row>
    <row r="49" spans="2:3" x14ac:dyDescent="0.25">
      <c r="B49" s="55" t="s">
        <v>17</v>
      </c>
      <c r="C49" s="41">
        <v>4.0000000000000001E-3</v>
      </c>
    </row>
    <row r="50" spans="2:3" x14ac:dyDescent="0.25">
      <c r="B50" s="55" t="s">
        <v>18</v>
      </c>
      <c r="C50" s="41">
        <v>2E-3</v>
      </c>
    </row>
    <row r="51" spans="2:3" x14ac:dyDescent="0.25">
      <c r="B51" s="55" t="s">
        <v>19</v>
      </c>
      <c r="C51" s="41">
        <v>2E-3</v>
      </c>
    </row>
    <row r="52" spans="2:3" x14ac:dyDescent="0.25">
      <c r="B52" s="56" t="s">
        <v>20</v>
      </c>
      <c r="C52" s="41">
        <v>2E-3</v>
      </c>
    </row>
    <row r="53" spans="2:3" x14ac:dyDescent="0.25">
      <c r="B53" s="57" t="s">
        <v>21</v>
      </c>
      <c r="C53" s="42">
        <v>0</v>
      </c>
    </row>
    <row r="55" spans="2:3" x14ac:dyDescent="0.25">
      <c r="B55" t="s">
        <v>208</v>
      </c>
    </row>
  </sheetData>
  <mergeCells count="7">
    <mergeCell ref="B28:G28"/>
    <mergeCell ref="H29:AP29"/>
    <mergeCell ref="AJ28:AP28"/>
    <mergeCell ref="AC28:AI28"/>
    <mergeCell ref="V28:AB28"/>
    <mergeCell ref="O28:U28"/>
    <mergeCell ref="H28:N28"/>
  </mergeCells>
  <dataValidations count="1">
    <dataValidation type="list" allowBlank="1" showInputMessage="1" showErrorMessage="1" sqref="C31" xr:uid="{10A5A802-5390-4506-994F-31F22AB2690E}">
      <formula1>$B$43:$B$53</formula1>
    </dataValidation>
  </dataValidations>
  <hyperlinks>
    <hyperlink ref="B31" r:id="rId1" location="the-current-case-fatality-rate-of-covid-19" xr:uid="{3E24F533-F49C-4C01-A293-AAE084A1C4BB}"/>
  </hyperlinks>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B0FAD-39ED-4D53-8BC6-75164ED434B0}">
  <dimension ref="A1:AE76"/>
  <sheetViews>
    <sheetView tabSelected="1" zoomScaleNormal="100" workbookViewId="0">
      <selection activeCell="F6" sqref="F6"/>
    </sheetView>
  </sheetViews>
  <sheetFormatPr defaultRowHeight="15" x14ac:dyDescent="0.25"/>
  <cols>
    <col min="1" max="1" width="44.28515625" customWidth="1"/>
    <col min="2" max="2" width="16.7109375" bestFit="1" customWidth="1"/>
    <col min="3" max="3" width="10.7109375" bestFit="1" customWidth="1"/>
    <col min="4" max="4" width="13.5703125" bestFit="1" customWidth="1"/>
    <col min="5" max="5" width="9.28515625" bestFit="1" customWidth="1"/>
    <col min="6" max="6" width="10.140625" bestFit="1" customWidth="1"/>
    <col min="7" max="7" width="12.140625" bestFit="1" customWidth="1"/>
    <col min="8" max="11" width="10.7109375" bestFit="1" customWidth="1"/>
    <col min="12" max="12" width="10.5703125" customWidth="1"/>
    <col min="13" max="13" width="11.140625" bestFit="1" customWidth="1"/>
    <col min="14" max="14" width="11" customWidth="1"/>
    <col min="15" max="15" width="10.7109375" customWidth="1"/>
    <col min="16" max="16" width="11.5703125" customWidth="1"/>
    <col min="17" max="17" width="10.42578125" customWidth="1"/>
    <col min="18" max="23" width="10.7109375" bestFit="1" customWidth="1"/>
    <col min="24" max="24" width="11.140625" bestFit="1" customWidth="1"/>
    <col min="25" max="25" width="10.7109375" bestFit="1" customWidth="1"/>
    <col min="26" max="27" width="11.140625" bestFit="1" customWidth="1"/>
    <col min="28" max="28" width="11.140625" style="86" customWidth="1"/>
    <col min="29" max="29" width="11.140625" bestFit="1" customWidth="1"/>
    <col min="30" max="30" width="12.140625" bestFit="1" customWidth="1"/>
  </cols>
  <sheetData>
    <row r="1" spans="1:31" x14ac:dyDescent="0.25">
      <c r="A1" s="16" t="s">
        <v>0</v>
      </c>
      <c r="B1" s="211">
        <v>25634000</v>
      </c>
      <c r="C1" t="s">
        <v>153</v>
      </c>
    </row>
    <row r="2" spans="1:31" x14ac:dyDescent="0.25">
      <c r="A2" s="16" t="s">
        <v>227</v>
      </c>
      <c r="B2" s="213">
        <v>0.33</v>
      </c>
      <c r="C2" t="s">
        <v>226</v>
      </c>
    </row>
    <row r="3" spans="1:31" x14ac:dyDescent="0.25">
      <c r="A3" s="51" t="s">
        <v>230</v>
      </c>
      <c r="B3" s="212">
        <v>0.2</v>
      </c>
    </row>
    <row r="4" spans="1:31" x14ac:dyDescent="0.25">
      <c r="A4" s="55" t="s">
        <v>146</v>
      </c>
      <c r="B4" s="145">
        <v>2.6</v>
      </c>
      <c r="C4" s="80">
        <f>(B1/1000)*B4</f>
        <v>66648.400000000009</v>
      </c>
      <c r="F4" s="2"/>
      <c r="L4" t="s">
        <v>235</v>
      </c>
    </row>
    <row r="5" spans="1:31" x14ac:dyDescent="0.25">
      <c r="A5" s="55" t="s">
        <v>147</v>
      </c>
      <c r="B5" s="145">
        <v>7.4</v>
      </c>
      <c r="C5" s="77">
        <f>(B1/100000)*B5</f>
        <v>1896.9159999999999</v>
      </c>
      <c r="L5" s="220">
        <v>43911</v>
      </c>
      <c r="M5" s="221" t="s">
        <v>234</v>
      </c>
      <c r="N5" s="221"/>
      <c r="O5" s="221"/>
      <c r="P5" s="220">
        <f>L5+14</f>
        <v>43925</v>
      </c>
    </row>
    <row r="6" spans="1:31" x14ac:dyDescent="0.25">
      <c r="A6" s="16" t="s">
        <v>178</v>
      </c>
      <c r="B6" s="146">
        <v>0.81</v>
      </c>
      <c r="C6" s="2"/>
      <c r="I6" s="216"/>
      <c r="M6" s="220">
        <v>43913</v>
      </c>
      <c r="N6" s="221" t="s">
        <v>231</v>
      </c>
      <c r="O6" s="221"/>
      <c r="P6" s="220">
        <f>M6+14</f>
        <v>43927</v>
      </c>
    </row>
    <row r="7" spans="1:31" x14ac:dyDescent="0.25">
      <c r="A7" s="55" t="s">
        <v>179</v>
      </c>
      <c r="B7" s="147">
        <v>0.14000000000000001</v>
      </c>
      <c r="C7" s="2"/>
      <c r="N7" s="222">
        <v>43915</v>
      </c>
      <c r="O7" s="221" t="s">
        <v>232</v>
      </c>
      <c r="P7" s="220">
        <f>N7+14</f>
        <v>43929</v>
      </c>
    </row>
    <row r="8" spans="1:31" x14ac:dyDescent="0.25">
      <c r="A8" s="51" t="s">
        <v>219</v>
      </c>
      <c r="B8" s="148">
        <v>0.05</v>
      </c>
      <c r="C8" s="2"/>
      <c r="K8" s="30"/>
      <c r="L8" s="30"/>
      <c r="M8" s="30"/>
      <c r="N8" s="220">
        <v>43920</v>
      </c>
      <c r="O8" s="221" t="s">
        <v>233</v>
      </c>
      <c r="P8" s="221"/>
      <c r="Q8" s="220">
        <f>N8+14</f>
        <v>43934</v>
      </c>
    </row>
    <row r="9" spans="1:31" x14ac:dyDescent="0.25">
      <c r="A9" s="51" t="s">
        <v>228</v>
      </c>
      <c r="B9" s="81">
        <v>3.5000000000000003E-2</v>
      </c>
      <c r="C9" s="2"/>
      <c r="J9" s="30"/>
      <c r="K9" s="30"/>
      <c r="L9" s="16" t="s">
        <v>166</v>
      </c>
      <c r="M9" s="21"/>
      <c r="N9" s="17"/>
    </row>
    <row r="10" spans="1:31" x14ac:dyDescent="0.25">
      <c r="A10" s="209" t="s">
        <v>212</v>
      </c>
      <c r="B10" s="210">
        <v>43855</v>
      </c>
      <c r="C10" s="2"/>
      <c r="J10" s="30"/>
      <c r="K10" s="30"/>
      <c r="L10" s="55" t="s">
        <v>154</v>
      </c>
      <c r="M10" s="30"/>
      <c r="N10" s="31"/>
    </row>
    <row r="11" spans="1:31" x14ac:dyDescent="0.25">
      <c r="A11" s="30"/>
      <c r="B11" s="65" t="s">
        <v>152</v>
      </c>
      <c r="C11" s="22"/>
      <c r="D11" s="30"/>
      <c r="E11" s="30"/>
      <c r="F11" s="30"/>
      <c r="G11" s="30"/>
      <c r="H11" s="30"/>
      <c r="I11" s="30"/>
      <c r="J11" s="30"/>
      <c r="K11" s="30"/>
      <c r="L11" s="55"/>
      <c r="M11" s="30" t="s">
        <v>155</v>
      </c>
      <c r="N11" s="31"/>
      <c r="O11" s="30"/>
      <c r="P11" s="30"/>
      <c r="Q11" s="30"/>
      <c r="R11" s="30"/>
      <c r="S11" s="30"/>
      <c r="T11" s="30"/>
      <c r="U11" s="30"/>
      <c r="V11" s="30"/>
      <c r="W11" s="30"/>
      <c r="X11" s="30"/>
      <c r="AB11" s="203"/>
    </row>
    <row r="12" spans="1:31" x14ac:dyDescent="0.25">
      <c r="A12" s="69" t="s">
        <v>134</v>
      </c>
      <c r="B12" s="97">
        <v>43892</v>
      </c>
      <c r="C12" s="97">
        <v>43908</v>
      </c>
      <c r="D12" s="97">
        <v>43914</v>
      </c>
      <c r="E12" s="97"/>
      <c r="F12" s="30"/>
      <c r="G12" s="61" t="s">
        <v>167</v>
      </c>
      <c r="H12" s="30"/>
      <c r="I12" s="30"/>
      <c r="J12" s="30"/>
      <c r="K12" s="30"/>
      <c r="L12" s="55"/>
      <c r="M12" s="30"/>
      <c r="N12" s="31" t="s">
        <v>156</v>
      </c>
      <c r="O12" s="30"/>
      <c r="P12" s="30"/>
      <c r="Q12" s="118" t="s">
        <v>132</v>
      </c>
      <c r="R12" s="30"/>
      <c r="S12" s="30"/>
      <c r="U12" s="30"/>
      <c r="V12" s="30"/>
      <c r="W12" s="30"/>
      <c r="X12" s="30"/>
      <c r="Y12" t="s">
        <v>229</v>
      </c>
    </row>
    <row r="13" spans="1:31" x14ac:dyDescent="0.25">
      <c r="A13" s="16" t="s">
        <v>12</v>
      </c>
      <c r="B13" s="218">
        <v>4</v>
      </c>
      <c r="C13" s="219">
        <v>3</v>
      </c>
      <c r="D13" s="108">
        <v>5</v>
      </c>
      <c r="E13" s="21"/>
      <c r="F13" s="21"/>
      <c r="G13" s="192">
        <v>43892</v>
      </c>
      <c r="H13" s="193">
        <f>G13+$B$13</f>
        <v>43896</v>
      </c>
      <c r="I13" s="193">
        <f>H13+$B$13</f>
        <v>43900</v>
      </c>
      <c r="J13" s="193">
        <f>I13+$B$13</f>
        <v>43904</v>
      </c>
      <c r="K13" s="193">
        <f>J13+$B$13</f>
        <v>43908</v>
      </c>
      <c r="L13" s="194">
        <f t="shared" ref="L13:M13" si="0">K13+$C$13</f>
        <v>43911</v>
      </c>
      <c r="M13" s="195">
        <f t="shared" si="0"/>
        <v>43914</v>
      </c>
      <c r="N13" s="103">
        <f t="shared" ref="N13:AA13" si="1">M13+$D$13</f>
        <v>43919</v>
      </c>
      <c r="O13" s="102">
        <f t="shared" si="1"/>
        <v>43924</v>
      </c>
      <c r="P13" s="102">
        <f t="shared" si="1"/>
        <v>43929</v>
      </c>
      <c r="Q13" s="196">
        <f t="shared" si="1"/>
        <v>43934</v>
      </c>
      <c r="R13" s="196">
        <f t="shared" si="1"/>
        <v>43939</v>
      </c>
      <c r="S13" s="102">
        <f t="shared" si="1"/>
        <v>43944</v>
      </c>
      <c r="T13" s="102">
        <f t="shared" si="1"/>
        <v>43949</v>
      </c>
      <c r="U13" s="102">
        <f t="shared" si="1"/>
        <v>43954</v>
      </c>
      <c r="V13" s="102">
        <f t="shared" si="1"/>
        <v>43959</v>
      </c>
      <c r="W13" s="102">
        <f t="shared" si="1"/>
        <v>43964</v>
      </c>
      <c r="X13" s="102">
        <f t="shared" si="1"/>
        <v>43969</v>
      </c>
      <c r="Y13" s="102">
        <f t="shared" si="1"/>
        <v>43974</v>
      </c>
      <c r="Z13" s="197">
        <f t="shared" si="1"/>
        <v>43979</v>
      </c>
      <c r="AA13" s="204">
        <f t="shared" si="1"/>
        <v>43984</v>
      </c>
      <c r="AB13" s="208">
        <f>AA13+(7*8)</f>
        <v>44040</v>
      </c>
      <c r="AC13" s="87"/>
      <c r="AD13" s="87"/>
      <c r="AE13" s="86"/>
    </row>
    <row r="14" spans="1:31" x14ac:dyDescent="0.25">
      <c r="A14" s="55" t="s">
        <v>217</v>
      </c>
      <c r="B14" s="30"/>
      <c r="C14" s="30"/>
      <c r="D14" s="30"/>
      <c r="E14" s="30"/>
      <c r="F14" s="30"/>
      <c r="G14" s="117">
        <v>31.25</v>
      </c>
      <c r="H14" s="33">
        <f>G14*2</f>
        <v>62.5</v>
      </c>
      <c r="I14" s="33">
        <f t="shared" ref="I14:W14" si="2">H14*2</f>
        <v>125</v>
      </c>
      <c r="J14" s="33">
        <f t="shared" si="2"/>
        <v>250</v>
      </c>
      <c r="K14" s="33">
        <f t="shared" si="2"/>
        <v>500</v>
      </c>
      <c r="L14" s="32">
        <f t="shared" si="2"/>
        <v>1000</v>
      </c>
      <c r="M14" s="33">
        <f t="shared" si="2"/>
        <v>2000</v>
      </c>
      <c r="N14" s="33">
        <f t="shared" si="2"/>
        <v>4000</v>
      </c>
      <c r="O14" s="32">
        <f t="shared" si="2"/>
        <v>8000</v>
      </c>
      <c r="P14" s="76">
        <f>O14*2</f>
        <v>16000</v>
      </c>
      <c r="Q14" s="33">
        <f>P14*2</f>
        <v>32000</v>
      </c>
      <c r="R14" s="32">
        <f>Q14*2</f>
        <v>64000</v>
      </c>
      <c r="S14" s="33">
        <f>R14*2</f>
        <v>128000</v>
      </c>
      <c r="T14" s="33">
        <f t="shared" si="2"/>
        <v>256000</v>
      </c>
      <c r="U14" s="33">
        <f t="shared" si="2"/>
        <v>512000</v>
      </c>
      <c r="V14" s="33">
        <f t="shared" si="2"/>
        <v>1024000</v>
      </c>
      <c r="W14" s="33">
        <f t="shared" si="2"/>
        <v>2048000</v>
      </c>
      <c r="X14" s="33">
        <f>W14*2</f>
        <v>4096000</v>
      </c>
      <c r="Y14" s="138">
        <f>X14*2</f>
        <v>8192000</v>
      </c>
      <c r="Z14" s="47">
        <f>Y14*2</f>
        <v>16384000</v>
      </c>
      <c r="AA14" s="138">
        <f>B1</f>
        <v>25634000</v>
      </c>
      <c r="AB14" s="205">
        <f>B1*AB15</f>
        <v>5126800</v>
      </c>
      <c r="AC14" s="59"/>
      <c r="AD14" s="59"/>
      <c r="AE14" s="86"/>
    </row>
    <row r="15" spans="1:31" x14ac:dyDescent="0.25">
      <c r="A15" s="55" t="s">
        <v>218</v>
      </c>
      <c r="B15" s="30"/>
      <c r="C15" s="30"/>
      <c r="D15" s="30"/>
      <c r="E15" s="30"/>
      <c r="F15" s="30"/>
      <c r="G15" s="82">
        <f t="shared" ref="G15:W15" si="3">G14/$B$1</f>
        <v>1.2190840290239525E-6</v>
      </c>
      <c r="H15" s="83">
        <f t="shared" si="3"/>
        <v>2.438168058047905E-6</v>
      </c>
      <c r="I15" s="83">
        <f t="shared" si="3"/>
        <v>4.87633611609581E-6</v>
      </c>
      <c r="J15" s="50">
        <f t="shared" si="3"/>
        <v>9.7526722321916199E-6</v>
      </c>
      <c r="K15" s="50">
        <f t="shared" si="3"/>
        <v>1.950534446438324E-5</v>
      </c>
      <c r="L15" s="119">
        <f t="shared" si="3"/>
        <v>3.901068892876648E-5</v>
      </c>
      <c r="M15" s="50">
        <f t="shared" si="3"/>
        <v>7.8021377857532959E-5</v>
      </c>
      <c r="N15" s="50">
        <f t="shared" si="3"/>
        <v>1.5604275571506592E-4</v>
      </c>
      <c r="O15" s="18">
        <f t="shared" si="3"/>
        <v>3.1208551143013184E-4</v>
      </c>
      <c r="P15" s="214">
        <f>P14/$B$1</f>
        <v>6.2417102286026367E-4</v>
      </c>
      <c r="Q15" s="28">
        <f>Q14/$B$1</f>
        <v>1.2483420457205273E-3</v>
      </c>
      <c r="R15" s="18">
        <f>R14/$B$1</f>
        <v>2.4966840914410547E-3</v>
      </c>
      <c r="S15" s="29">
        <f>S14/$B$1</f>
        <v>4.9933681828821094E-3</v>
      </c>
      <c r="T15" s="92">
        <f t="shared" si="3"/>
        <v>9.9867363657642188E-3</v>
      </c>
      <c r="U15" s="92">
        <f t="shared" si="3"/>
        <v>1.9973472731528438E-2</v>
      </c>
      <c r="V15" s="92">
        <f t="shared" si="3"/>
        <v>3.9946945463056875E-2</v>
      </c>
      <c r="W15" s="92">
        <f t="shared" si="3"/>
        <v>7.989389092611375E-2</v>
      </c>
      <c r="X15" s="92">
        <f>X14/$B$1</f>
        <v>0.1597877818522275</v>
      </c>
      <c r="Y15" s="198">
        <f>Y14/$B$1</f>
        <v>0.319575563704455</v>
      </c>
      <c r="Z15" s="93">
        <f>Z14/$B$1</f>
        <v>0.63915112740891</v>
      </c>
      <c r="AA15" s="198">
        <f>AA14/$B$1</f>
        <v>1</v>
      </c>
      <c r="AB15" s="206">
        <f>B3</f>
        <v>0.2</v>
      </c>
      <c r="AC15" s="39"/>
      <c r="AD15" s="39"/>
      <c r="AE15" s="86"/>
    </row>
    <row r="16" spans="1:31" x14ac:dyDescent="0.25">
      <c r="A16" s="55" t="s">
        <v>225</v>
      </c>
      <c r="B16" s="30"/>
      <c r="C16" s="30"/>
      <c r="D16" s="30"/>
      <c r="E16" s="30"/>
      <c r="F16" s="30"/>
      <c r="G16" s="62">
        <f>G14/$B$2</f>
        <v>94.696969696969688</v>
      </c>
      <c r="H16" s="22">
        <f t="shared" ref="H16:X16" si="4">H14/$B$2</f>
        <v>189.39393939393938</v>
      </c>
      <c r="I16" s="22">
        <f t="shared" si="4"/>
        <v>378.78787878787875</v>
      </c>
      <c r="J16" s="22">
        <f t="shared" si="4"/>
        <v>757.57575757575751</v>
      </c>
      <c r="K16" s="22">
        <f t="shared" si="4"/>
        <v>1515.151515151515</v>
      </c>
      <c r="L16" s="62">
        <f t="shared" si="4"/>
        <v>3030.30303030303</v>
      </c>
      <c r="M16" s="22">
        <f t="shared" si="4"/>
        <v>6060.6060606060601</v>
      </c>
      <c r="N16" s="22">
        <f t="shared" si="4"/>
        <v>12121.21212121212</v>
      </c>
      <c r="O16" s="62">
        <f t="shared" si="4"/>
        <v>24242.42424242424</v>
      </c>
      <c r="P16" s="105">
        <f t="shared" si="4"/>
        <v>48484.84848484848</v>
      </c>
      <c r="Q16" s="22">
        <f t="shared" si="4"/>
        <v>96969.696969696961</v>
      </c>
      <c r="R16" s="62">
        <f t="shared" si="4"/>
        <v>193939.39393939392</v>
      </c>
      <c r="S16" s="22">
        <f t="shared" si="4"/>
        <v>387878.78787878784</v>
      </c>
      <c r="T16" s="22">
        <f t="shared" si="4"/>
        <v>775757.57575757569</v>
      </c>
      <c r="U16" s="22">
        <f t="shared" si="4"/>
        <v>1551515.1515151514</v>
      </c>
      <c r="V16" s="22">
        <f t="shared" si="4"/>
        <v>3103030.3030303027</v>
      </c>
      <c r="W16" s="22">
        <f t="shared" si="4"/>
        <v>6206060.6060606055</v>
      </c>
      <c r="X16" s="22">
        <f t="shared" si="4"/>
        <v>12412121.212121211</v>
      </c>
      <c r="Y16" s="101">
        <f t="shared" ref="Y16" si="5">Y14/$B$2</f>
        <v>24824242.424242422</v>
      </c>
      <c r="Z16" s="104">
        <f>B1</f>
        <v>25634000</v>
      </c>
      <c r="AA16" s="101"/>
      <c r="AB16" s="205">
        <f>($B$1*$B$3)/$B$2</f>
        <v>15535757.575757574</v>
      </c>
      <c r="AC16" s="39"/>
      <c r="AD16" s="39"/>
      <c r="AE16" s="86"/>
    </row>
    <row r="17" spans="1:31" x14ac:dyDescent="0.25">
      <c r="A17" s="55" t="s">
        <v>224</v>
      </c>
      <c r="B17" s="30"/>
      <c r="C17" s="30"/>
      <c r="D17" s="30"/>
      <c r="E17" s="30"/>
      <c r="F17" s="30"/>
      <c r="G17" s="82">
        <f>G16/$B$1</f>
        <v>3.6941940273453105E-6</v>
      </c>
      <c r="H17" s="50">
        <f t="shared" ref="H17:Y17" si="6">H16/$B$1</f>
        <v>7.388388054690621E-6</v>
      </c>
      <c r="I17" s="50">
        <f t="shared" si="6"/>
        <v>1.4776776109381242E-5</v>
      </c>
      <c r="J17" s="50">
        <f t="shared" si="6"/>
        <v>2.9553552218762484E-5</v>
      </c>
      <c r="K17" s="50">
        <f t="shared" si="6"/>
        <v>5.9107104437524968E-5</v>
      </c>
      <c r="L17" s="18">
        <f t="shared" si="6"/>
        <v>1.1821420887504994E-4</v>
      </c>
      <c r="M17" s="28">
        <f t="shared" si="6"/>
        <v>2.3642841775009987E-4</v>
      </c>
      <c r="N17" s="28">
        <f t="shared" si="6"/>
        <v>4.7285683550019975E-4</v>
      </c>
      <c r="O17" s="20">
        <f t="shared" si="6"/>
        <v>9.4571367100039949E-4</v>
      </c>
      <c r="P17" s="215">
        <f t="shared" si="6"/>
        <v>1.891427342000799E-3</v>
      </c>
      <c r="Q17" s="29">
        <f t="shared" si="6"/>
        <v>3.782854684001598E-3</v>
      </c>
      <c r="R17" s="20">
        <f t="shared" si="6"/>
        <v>7.5657093680031959E-3</v>
      </c>
      <c r="S17" s="29">
        <f t="shared" si="6"/>
        <v>1.5131418736006392E-2</v>
      </c>
      <c r="T17" s="92">
        <f t="shared" si="6"/>
        <v>3.0262837472012784E-2</v>
      </c>
      <c r="U17" s="92">
        <f t="shared" si="6"/>
        <v>6.0525674944025568E-2</v>
      </c>
      <c r="V17" s="92">
        <f t="shared" si="6"/>
        <v>0.12105134988805114</v>
      </c>
      <c r="W17" s="92">
        <f t="shared" si="6"/>
        <v>0.24210269977610227</v>
      </c>
      <c r="X17" s="92">
        <f t="shared" si="6"/>
        <v>0.48420539955220454</v>
      </c>
      <c r="Y17" s="198">
        <f t="shared" si="6"/>
        <v>0.96841079910440908</v>
      </c>
      <c r="Z17" s="93">
        <f>Z16/$B$1</f>
        <v>1</v>
      </c>
      <c r="AA17" s="198"/>
      <c r="AB17" s="206">
        <f>AB16/B1</f>
        <v>0.60606060606060597</v>
      </c>
      <c r="AC17" s="39"/>
      <c r="AD17" s="39"/>
      <c r="AE17" s="86"/>
    </row>
    <row r="18" spans="1:31" x14ac:dyDescent="0.25">
      <c r="A18" s="55" t="s">
        <v>209</v>
      </c>
      <c r="B18" s="30"/>
      <c r="C18" s="30"/>
      <c r="D18" s="30"/>
      <c r="E18" s="30"/>
      <c r="F18" s="30"/>
      <c r="G18" s="100"/>
      <c r="H18" s="101"/>
      <c r="I18" s="101"/>
      <c r="J18" s="101"/>
      <c r="K18" s="106">
        <f t="shared" ref="K18:AA18" si="7">$B$6*HLOOKUP((K13-14),$G$13:$AA$14,2,TRUE)</f>
        <v>25.3125</v>
      </c>
      <c r="L18" s="107">
        <f t="shared" si="7"/>
        <v>50.625</v>
      </c>
      <c r="M18" s="106">
        <f t="shared" si="7"/>
        <v>101.25</v>
      </c>
      <c r="N18" s="106">
        <f t="shared" si="7"/>
        <v>202.5</v>
      </c>
      <c r="O18" s="107">
        <f t="shared" si="7"/>
        <v>405</v>
      </c>
      <c r="P18" s="120">
        <f t="shared" si="7"/>
        <v>1620</v>
      </c>
      <c r="Q18" s="106">
        <f t="shared" si="7"/>
        <v>3240</v>
      </c>
      <c r="R18" s="107">
        <f t="shared" si="7"/>
        <v>6480</v>
      </c>
      <c r="S18" s="106">
        <f t="shared" si="7"/>
        <v>12960</v>
      </c>
      <c r="T18" s="106">
        <f t="shared" si="7"/>
        <v>25920</v>
      </c>
      <c r="U18" s="106">
        <f t="shared" si="7"/>
        <v>51840</v>
      </c>
      <c r="V18" s="106">
        <f t="shared" si="7"/>
        <v>103680</v>
      </c>
      <c r="W18" s="106">
        <f t="shared" si="7"/>
        <v>207360</v>
      </c>
      <c r="X18" s="106">
        <f t="shared" si="7"/>
        <v>414720</v>
      </c>
      <c r="Y18" s="106">
        <f t="shared" si="7"/>
        <v>829440</v>
      </c>
      <c r="Z18" s="120">
        <f>$B$6*HLOOKUP((Z13-14),$G$13:$AA$14,2,TRUE)</f>
        <v>1658880</v>
      </c>
      <c r="AA18" s="101">
        <f t="shared" si="7"/>
        <v>3317760</v>
      </c>
      <c r="AB18" s="205">
        <f>AB14*B6</f>
        <v>4152708.0000000005</v>
      </c>
      <c r="AC18" s="39"/>
      <c r="AD18" s="39"/>
      <c r="AE18" s="86"/>
    </row>
    <row r="19" spans="1:31" x14ac:dyDescent="0.25">
      <c r="A19" s="55" t="s">
        <v>142</v>
      </c>
      <c r="B19" s="30"/>
      <c r="C19" s="30"/>
      <c r="D19" s="30"/>
      <c r="E19" s="30"/>
      <c r="F19" s="30"/>
      <c r="G19" s="23">
        <f>G14</f>
        <v>31.25</v>
      </c>
      <c r="H19" s="24">
        <f>H14</f>
        <v>62.5</v>
      </c>
      <c r="I19" s="24">
        <f>I14</f>
        <v>125</v>
      </c>
      <c r="J19" s="24">
        <f>J14</f>
        <v>250</v>
      </c>
      <c r="K19" s="24">
        <f>K14-K18-(K20-K21)-(K22-K23)</f>
        <v>473.125</v>
      </c>
      <c r="L19" s="23">
        <f t="shared" ref="L19:AA19" si="8">L14-L18-(L20-L21)-(L22-L23)</f>
        <v>946.25</v>
      </c>
      <c r="M19" s="24">
        <f t="shared" si="8"/>
        <v>1892.5</v>
      </c>
      <c r="N19" s="24">
        <f t="shared" si="8"/>
        <v>3785</v>
      </c>
      <c r="O19" s="23">
        <f>O14-O18-(O20-O21)-(O22-O23)</f>
        <v>7570</v>
      </c>
      <c r="P19" s="77">
        <f>P14-P18-(P20-P21)-(P22-P23)</f>
        <v>14280</v>
      </c>
      <c r="Q19" s="24">
        <f t="shared" si="8"/>
        <v>28560</v>
      </c>
      <c r="R19" s="23">
        <f t="shared" si="8"/>
        <v>57120</v>
      </c>
      <c r="S19" s="24">
        <f t="shared" si="8"/>
        <v>114240</v>
      </c>
      <c r="T19" s="24">
        <f t="shared" si="8"/>
        <v>228480</v>
      </c>
      <c r="U19" s="24">
        <f t="shared" si="8"/>
        <v>456909.375</v>
      </c>
      <c r="V19" s="24">
        <f>V14-V18-(V20-V21)-(V22-V23)</f>
        <v>913818.75</v>
      </c>
      <c r="W19" s="24">
        <f t="shared" si="8"/>
        <v>1827637.5</v>
      </c>
      <c r="X19" s="24">
        <f t="shared" si="8"/>
        <v>3655275</v>
      </c>
      <c r="Y19" s="199">
        <f t="shared" si="8"/>
        <v>7309740</v>
      </c>
      <c r="Z19" s="202">
        <f t="shared" si="8"/>
        <v>14619480</v>
      </c>
      <c r="AA19" s="115">
        <f t="shared" si="8"/>
        <v>22104960</v>
      </c>
      <c r="AB19" s="205"/>
      <c r="AC19" s="59"/>
      <c r="AD19" s="59"/>
      <c r="AE19" s="86"/>
    </row>
    <row r="20" spans="1:31" x14ac:dyDescent="0.25">
      <c r="A20" s="78" t="s">
        <v>220</v>
      </c>
      <c r="B20" s="21"/>
      <c r="C20" s="21"/>
      <c r="D20" s="21"/>
      <c r="E20" s="21"/>
      <c r="F20" s="21"/>
      <c r="G20" s="100"/>
      <c r="H20" s="101"/>
      <c r="I20" s="22">
        <f t="shared" ref="I20:AA20" si="9">($B$7+$B$8)*HLOOKUP((I13-7),$G$13:$AA$14,2,TRUE)</f>
        <v>5.9375</v>
      </c>
      <c r="J20" s="22">
        <f t="shared" si="9"/>
        <v>11.875</v>
      </c>
      <c r="K20" s="22">
        <f t="shared" si="9"/>
        <v>23.75</v>
      </c>
      <c r="L20" s="62">
        <f t="shared" si="9"/>
        <v>47.5</v>
      </c>
      <c r="M20" s="22">
        <f t="shared" si="9"/>
        <v>47.5</v>
      </c>
      <c r="N20" s="105">
        <f t="shared" si="9"/>
        <v>190</v>
      </c>
      <c r="O20" s="22">
        <f t="shared" si="9"/>
        <v>380</v>
      </c>
      <c r="P20" s="22">
        <f t="shared" si="9"/>
        <v>760</v>
      </c>
      <c r="Q20" s="25">
        <f t="shared" si="9"/>
        <v>1520</v>
      </c>
      <c r="R20" s="62">
        <f t="shared" si="9"/>
        <v>3040</v>
      </c>
      <c r="S20" s="22">
        <f t="shared" si="9"/>
        <v>6080</v>
      </c>
      <c r="T20" s="22">
        <f t="shared" si="9"/>
        <v>12160</v>
      </c>
      <c r="U20" s="22">
        <f t="shared" si="9"/>
        <v>24320</v>
      </c>
      <c r="V20" s="22">
        <f t="shared" si="9"/>
        <v>48640</v>
      </c>
      <c r="W20" s="22">
        <f t="shared" si="9"/>
        <v>97280</v>
      </c>
      <c r="X20" s="22">
        <f t="shared" si="9"/>
        <v>194560</v>
      </c>
      <c r="Y20" s="22">
        <f t="shared" si="9"/>
        <v>389120</v>
      </c>
      <c r="Z20" s="105">
        <f t="shared" si="9"/>
        <v>778240</v>
      </c>
      <c r="AA20" s="116">
        <f t="shared" si="9"/>
        <v>1556480</v>
      </c>
      <c r="AB20" s="205">
        <f>AB14*(B7+B8)</f>
        <v>974092</v>
      </c>
      <c r="AC20" s="59"/>
      <c r="AD20" s="59"/>
      <c r="AE20" s="86"/>
    </row>
    <row r="21" spans="1:31" x14ac:dyDescent="0.25">
      <c r="A21" s="51" t="s">
        <v>221</v>
      </c>
      <c r="B21" s="52"/>
      <c r="C21" s="53"/>
      <c r="D21" s="53"/>
      <c r="E21" s="53"/>
      <c r="F21" s="53"/>
      <c r="G21" s="100"/>
      <c r="H21" s="101"/>
      <c r="I21" s="22">
        <f t="shared" ref="I21:J21" si="10">I20</f>
        <v>5.9375</v>
      </c>
      <c r="J21" s="22">
        <f t="shared" si="10"/>
        <v>11.875</v>
      </c>
      <c r="K21" s="22">
        <f>K20-K23</f>
        <v>22.1875</v>
      </c>
      <c r="L21" s="23">
        <f t="shared" ref="L21:O21" si="11">L20-L23</f>
        <v>44.375</v>
      </c>
      <c r="M21" s="24">
        <f t="shared" si="11"/>
        <v>41.25</v>
      </c>
      <c r="N21" s="77">
        <f>N20-N23</f>
        <v>177.5</v>
      </c>
      <c r="O21" s="22">
        <f t="shared" si="11"/>
        <v>355</v>
      </c>
      <c r="P21" s="22">
        <f>P20-P23</f>
        <v>661.09375</v>
      </c>
      <c r="Q21" s="23">
        <f>Q20-HLOOKUP((Q13-42),$G$13:$AA$20,6,TRUE)-Q23</f>
        <v>1321.09375</v>
      </c>
      <c r="R21" s="23">
        <f t="shared" ref="R21:AA21" si="12">R20-HLOOKUP((R13-42),$G$13:$AA$20,6,TRUE)-R23</f>
        <v>2646.5625</v>
      </c>
      <c r="S21" s="24">
        <f t="shared" si="12"/>
        <v>5294.6875</v>
      </c>
      <c r="T21" s="24">
        <f t="shared" si="12"/>
        <v>10624.375</v>
      </c>
      <c r="U21" s="24">
        <f t="shared" si="12"/>
        <v>21186.875</v>
      </c>
      <c r="V21" s="24">
        <f t="shared" si="12"/>
        <v>42326.25</v>
      </c>
      <c r="W21" s="24">
        <f t="shared" si="12"/>
        <v>84747.5</v>
      </c>
      <c r="X21" s="24">
        <f t="shared" si="12"/>
        <v>169495</v>
      </c>
      <c r="Y21" s="24">
        <f t="shared" si="12"/>
        <v>338180</v>
      </c>
      <c r="Z21" s="77">
        <f t="shared" si="12"/>
        <v>676360</v>
      </c>
      <c r="AA21" s="114">
        <f t="shared" si="12"/>
        <v>1352720</v>
      </c>
      <c r="AB21" s="205"/>
      <c r="AC21" s="59"/>
      <c r="AD21" s="59"/>
      <c r="AE21" s="86"/>
    </row>
    <row r="22" spans="1:31" x14ac:dyDescent="0.25">
      <c r="A22" s="63" t="s">
        <v>222</v>
      </c>
      <c r="C22" s="21"/>
      <c r="D22" s="21"/>
      <c r="E22" s="21"/>
      <c r="F22" s="21"/>
      <c r="G22" s="116"/>
      <c r="H22" s="138"/>
      <c r="I22" s="138"/>
      <c r="J22" s="138"/>
      <c r="K22" s="26">
        <f t="shared" ref="K22:AA22" si="13">$B$8*HLOOKUP((K13-14),$G$13:$AA$14,2,TRUE)</f>
        <v>1.5625</v>
      </c>
      <c r="L22" s="25">
        <f t="shared" si="13"/>
        <v>3.125</v>
      </c>
      <c r="M22" s="26">
        <f t="shared" si="13"/>
        <v>6.25</v>
      </c>
      <c r="N22" s="80">
        <f t="shared" si="13"/>
        <v>12.5</v>
      </c>
      <c r="O22" s="26">
        <f t="shared" si="13"/>
        <v>25</v>
      </c>
      <c r="P22" s="26">
        <f t="shared" si="13"/>
        <v>100</v>
      </c>
      <c r="Q22" s="25">
        <f t="shared" si="13"/>
        <v>200</v>
      </c>
      <c r="R22" s="25">
        <f t="shared" si="13"/>
        <v>400</v>
      </c>
      <c r="S22" s="26">
        <f t="shared" si="13"/>
        <v>800</v>
      </c>
      <c r="T22" s="26">
        <f t="shared" si="13"/>
        <v>1600</v>
      </c>
      <c r="U22" s="26">
        <f t="shared" si="13"/>
        <v>3200</v>
      </c>
      <c r="V22" s="26">
        <f t="shared" si="13"/>
        <v>6400</v>
      </c>
      <c r="W22" s="26">
        <f t="shared" si="13"/>
        <v>12800</v>
      </c>
      <c r="X22" s="26">
        <f t="shared" si="13"/>
        <v>25600</v>
      </c>
      <c r="Y22" s="26">
        <f t="shared" si="13"/>
        <v>51200</v>
      </c>
      <c r="Z22" s="80">
        <f t="shared" si="13"/>
        <v>102400</v>
      </c>
      <c r="AA22" s="138">
        <f t="shared" si="13"/>
        <v>204800</v>
      </c>
      <c r="AB22" s="205">
        <f>AB14*B8</f>
        <v>256340</v>
      </c>
      <c r="AC22" s="59"/>
      <c r="AD22" s="59"/>
      <c r="AE22" s="86"/>
    </row>
    <row r="23" spans="1:31" x14ac:dyDescent="0.25">
      <c r="A23" s="55" t="s">
        <v>223</v>
      </c>
      <c r="B23" s="29"/>
      <c r="C23" s="30"/>
      <c r="D23" s="30"/>
      <c r="E23" s="30"/>
      <c r="F23" s="30"/>
      <c r="G23" s="100"/>
      <c r="H23" s="101"/>
      <c r="I23" s="101"/>
      <c r="J23" s="101"/>
      <c r="K23" s="22">
        <f>K22</f>
        <v>1.5625</v>
      </c>
      <c r="L23" s="62">
        <f t="shared" ref="L23:O23" si="14">L22</f>
        <v>3.125</v>
      </c>
      <c r="M23" s="22">
        <f t="shared" si="14"/>
        <v>6.25</v>
      </c>
      <c r="N23" s="105">
        <f t="shared" si="14"/>
        <v>12.5</v>
      </c>
      <c r="O23" s="22">
        <f t="shared" si="14"/>
        <v>25</v>
      </c>
      <c r="P23" s="22">
        <f>P22-P25</f>
        <v>98.90625</v>
      </c>
      <c r="Q23" s="200">
        <f t="shared" ref="Q23:AA23" si="15">Q22-HLOOKUP((Q13-42),$G$13:$AA$22,8,TRUE)-(Q25-P25)</f>
        <v>198.90625</v>
      </c>
      <c r="R23" s="201">
        <f t="shared" si="15"/>
        <v>393.4375</v>
      </c>
      <c r="S23" s="199">
        <f t="shared" si="15"/>
        <v>785.3125</v>
      </c>
      <c r="T23" s="199">
        <f t="shared" si="15"/>
        <v>1535.625</v>
      </c>
      <c r="U23" s="199">
        <f t="shared" si="15"/>
        <v>3082.5</v>
      </c>
      <c r="V23" s="199">
        <f t="shared" si="15"/>
        <v>6212.5</v>
      </c>
      <c r="W23" s="199">
        <f t="shared" si="15"/>
        <v>12330</v>
      </c>
      <c r="X23" s="199">
        <f t="shared" si="15"/>
        <v>24660</v>
      </c>
      <c r="Y23" s="199">
        <f t="shared" si="15"/>
        <v>49320</v>
      </c>
      <c r="Z23" s="202">
        <f t="shared" si="15"/>
        <v>98640</v>
      </c>
      <c r="AA23" s="115">
        <f t="shared" si="15"/>
        <v>197280</v>
      </c>
      <c r="AB23" s="205"/>
      <c r="AC23" s="59"/>
      <c r="AD23" s="59"/>
      <c r="AE23" s="86"/>
    </row>
    <row r="24" spans="1:31" x14ac:dyDescent="0.25">
      <c r="A24" s="16" t="s">
        <v>158</v>
      </c>
      <c r="B24" s="109"/>
      <c r="C24" s="21"/>
      <c r="D24" s="21"/>
      <c r="E24" s="21"/>
      <c r="F24" s="21"/>
      <c r="G24" s="111">
        <f t="shared" ref="G24:O24" si="16">G14*$B$9</f>
        <v>1.09375</v>
      </c>
      <c r="H24" s="110">
        <f t="shared" si="16"/>
        <v>2.1875</v>
      </c>
      <c r="I24" s="110">
        <f t="shared" si="16"/>
        <v>4.375</v>
      </c>
      <c r="J24" s="110">
        <f t="shared" si="16"/>
        <v>8.75</v>
      </c>
      <c r="K24" s="110">
        <f t="shared" si="16"/>
        <v>17.5</v>
      </c>
      <c r="L24" s="111">
        <f t="shared" si="16"/>
        <v>35</v>
      </c>
      <c r="M24" s="110">
        <f t="shared" si="16"/>
        <v>70</v>
      </c>
      <c r="N24" s="121">
        <f t="shared" si="16"/>
        <v>140</v>
      </c>
      <c r="O24" s="110">
        <f t="shared" si="16"/>
        <v>280</v>
      </c>
      <c r="P24" s="110">
        <f t="shared" ref="P24:AA24" si="17">P14*$B$9</f>
        <v>560</v>
      </c>
      <c r="Q24" s="112">
        <f t="shared" si="17"/>
        <v>1120</v>
      </c>
      <c r="R24" s="44">
        <f t="shared" si="17"/>
        <v>2240</v>
      </c>
      <c r="S24" s="44">
        <f t="shared" si="17"/>
        <v>4480</v>
      </c>
      <c r="T24" s="44">
        <f t="shared" si="17"/>
        <v>8960</v>
      </c>
      <c r="U24" s="44">
        <f t="shared" si="17"/>
        <v>17920</v>
      </c>
      <c r="V24" s="44">
        <f t="shared" si="17"/>
        <v>35840</v>
      </c>
      <c r="W24" s="44">
        <f t="shared" si="17"/>
        <v>71680</v>
      </c>
      <c r="X24" s="44">
        <f t="shared" si="17"/>
        <v>143360</v>
      </c>
      <c r="Y24" s="101">
        <f t="shared" si="17"/>
        <v>286720</v>
      </c>
      <c r="Z24" s="101">
        <f t="shared" si="17"/>
        <v>573440</v>
      </c>
      <c r="AA24" s="116">
        <f t="shared" si="17"/>
        <v>897190.00000000012</v>
      </c>
      <c r="AB24" s="205">
        <f>AB14*B9</f>
        <v>179438.00000000003</v>
      </c>
      <c r="AC24" s="59"/>
      <c r="AD24" s="59"/>
      <c r="AE24" s="86"/>
    </row>
    <row r="25" spans="1:31" x14ac:dyDescent="0.25">
      <c r="A25" s="51" t="s">
        <v>157</v>
      </c>
      <c r="B25" s="52"/>
      <c r="C25" s="53"/>
      <c r="D25" s="53"/>
      <c r="E25" s="53"/>
      <c r="F25" s="53"/>
      <c r="G25" s="114"/>
      <c r="H25" s="115"/>
      <c r="I25" s="115"/>
      <c r="J25" s="115"/>
      <c r="K25" s="115"/>
      <c r="L25" s="114"/>
      <c r="M25" s="115"/>
      <c r="N25" s="48"/>
      <c r="O25" s="115"/>
      <c r="P25" s="46">
        <f t="shared" ref="P25:AA25" si="18">$B$9*HLOOKUP((P13-35),$G$13:$AA$14,2,TRUE)</f>
        <v>1.09375</v>
      </c>
      <c r="Q25" s="113">
        <f t="shared" si="18"/>
        <v>2.1875</v>
      </c>
      <c r="R25" s="46">
        <f t="shared" si="18"/>
        <v>8.75</v>
      </c>
      <c r="S25" s="46">
        <f t="shared" si="18"/>
        <v>17.5</v>
      </c>
      <c r="T25" s="46">
        <f t="shared" si="18"/>
        <v>70</v>
      </c>
      <c r="U25" s="46">
        <f t="shared" si="18"/>
        <v>140</v>
      </c>
      <c r="V25" s="46">
        <f t="shared" si="18"/>
        <v>280</v>
      </c>
      <c r="W25" s="46">
        <f t="shared" si="18"/>
        <v>560</v>
      </c>
      <c r="X25" s="46">
        <f t="shared" si="18"/>
        <v>1120</v>
      </c>
      <c r="Y25" s="46">
        <f t="shared" si="18"/>
        <v>2240</v>
      </c>
      <c r="Z25" s="46">
        <f t="shared" si="18"/>
        <v>4480</v>
      </c>
      <c r="AA25" s="114">
        <f t="shared" si="18"/>
        <v>8960</v>
      </c>
      <c r="AB25" s="207"/>
      <c r="AC25" s="59"/>
      <c r="AD25" s="59"/>
      <c r="AE25" s="86"/>
    </row>
    <row r="26" spans="1:31" s="86" customFormat="1" hidden="1" x14ac:dyDescent="0.25">
      <c r="A26" s="63" t="s">
        <v>215</v>
      </c>
      <c r="B26" s="39"/>
      <c r="C26" s="61"/>
      <c r="D26" s="61"/>
      <c r="E26" s="61"/>
      <c r="F26" s="61"/>
      <c r="G26" s="191">
        <f>G13-7</f>
        <v>43885</v>
      </c>
      <c r="H26" s="191">
        <f t="shared" ref="H26:AA26" si="19">H13-7</f>
        <v>43889</v>
      </c>
      <c r="I26" s="191">
        <f t="shared" si="19"/>
        <v>43893</v>
      </c>
      <c r="J26" s="191">
        <f t="shared" si="19"/>
        <v>43897</v>
      </c>
      <c r="K26" s="191">
        <f t="shared" si="19"/>
        <v>43901</v>
      </c>
      <c r="L26" s="191">
        <f t="shared" si="19"/>
        <v>43904</v>
      </c>
      <c r="M26" s="191">
        <f t="shared" si="19"/>
        <v>43907</v>
      </c>
      <c r="N26" s="191">
        <f t="shared" si="19"/>
        <v>43912</v>
      </c>
      <c r="O26" s="191">
        <f t="shared" si="19"/>
        <v>43917</v>
      </c>
      <c r="P26" s="191">
        <f t="shared" si="19"/>
        <v>43922</v>
      </c>
      <c r="Q26" s="191">
        <f t="shared" si="19"/>
        <v>43927</v>
      </c>
      <c r="R26" s="191">
        <f t="shared" si="19"/>
        <v>43932</v>
      </c>
      <c r="S26" s="191">
        <f t="shared" si="19"/>
        <v>43937</v>
      </c>
      <c r="T26" s="191">
        <f t="shared" si="19"/>
        <v>43942</v>
      </c>
      <c r="U26" s="191">
        <f t="shared" si="19"/>
        <v>43947</v>
      </c>
      <c r="V26" s="191">
        <f t="shared" si="19"/>
        <v>43952</v>
      </c>
      <c r="W26" s="191">
        <f t="shared" si="19"/>
        <v>43957</v>
      </c>
      <c r="X26" s="191">
        <f t="shared" si="19"/>
        <v>43962</v>
      </c>
      <c r="Y26" s="191">
        <f t="shared" si="19"/>
        <v>43967</v>
      </c>
      <c r="Z26" s="191">
        <f t="shared" si="19"/>
        <v>43972</v>
      </c>
      <c r="AA26" s="191">
        <f t="shared" si="19"/>
        <v>43977</v>
      </c>
      <c r="AB26" s="191"/>
      <c r="AC26" s="59"/>
      <c r="AD26" s="59"/>
    </row>
    <row r="27" spans="1:31" s="86" customFormat="1" hidden="1" x14ac:dyDescent="0.25">
      <c r="A27" s="63" t="s">
        <v>213</v>
      </c>
      <c r="B27" s="39"/>
      <c r="C27" s="61"/>
      <c r="D27" s="61"/>
      <c r="E27" s="61"/>
      <c r="F27" s="61"/>
      <c r="G27" s="191">
        <f>G13-14</f>
        <v>43878</v>
      </c>
      <c r="H27" s="191">
        <f t="shared" ref="H27:AA27" si="20">H13-14</f>
        <v>43882</v>
      </c>
      <c r="I27" s="191">
        <f t="shared" si="20"/>
        <v>43886</v>
      </c>
      <c r="J27" s="191">
        <f t="shared" si="20"/>
        <v>43890</v>
      </c>
      <c r="K27" s="191">
        <f t="shared" si="20"/>
        <v>43894</v>
      </c>
      <c r="L27" s="191">
        <f t="shared" si="20"/>
        <v>43897</v>
      </c>
      <c r="M27" s="191">
        <f t="shared" si="20"/>
        <v>43900</v>
      </c>
      <c r="N27" s="191">
        <f t="shared" si="20"/>
        <v>43905</v>
      </c>
      <c r="O27" s="191">
        <f t="shared" si="20"/>
        <v>43910</v>
      </c>
      <c r="P27" s="191">
        <f t="shared" si="20"/>
        <v>43915</v>
      </c>
      <c r="Q27" s="191">
        <f t="shared" si="20"/>
        <v>43920</v>
      </c>
      <c r="R27" s="191">
        <f t="shared" si="20"/>
        <v>43925</v>
      </c>
      <c r="S27" s="191">
        <f t="shared" si="20"/>
        <v>43930</v>
      </c>
      <c r="T27" s="191">
        <f t="shared" si="20"/>
        <v>43935</v>
      </c>
      <c r="U27" s="191">
        <f t="shared" si="20"/>
        <v>43940</v>
      </c>
      <c r="V27" s="191">
        <f t="shared" si="20"/>
        <v>43945</v>
      </c>
      <c r="W27" s="191">
        <f t="shared" si="20"/>
        <v>43950</v>
      </c>
      <c r="X27" s="191">
        <f t="shared" si="20"/>
        <v>43955</v>
      </c>
      <c r="Y27" s="191">
        <f t="shared" si="20"/>
        <v>43960</v>
      </c>
      <c r="Z27" s="191">
        <f t="shared" si="20"/>
        <v>43965</v>
      </c>
      <c r="AA27" s="191">
        <f t="shared" si="20"/>
        <v>43970</v>
      </c>
      <c r="AB27" s="191"/>
      <c r="AC27" s="59"/>
      <c r="AD27" s="59"/>
    </row>
    <row r="28" spans="1:31" s="86" customFormat="1" hidden="1" x14ac:dyDescent="0.25">
      <c r="A28" s="63" t="s">
        <v>216</v>
      </c>
      <c r="B28" s="39"/>
      <c r="C28" s="61"/>
      <c r="D28" s="61"/>
      <c r="E28" s="61"/>
      <c r="F28" s="61"/>
      <c r="G28" s="191">
        <f>G13-(7*5)</f>
        <v>43857</v>
      </c>
      <c r="H28" s="191">
        <f t="shared" ref="H28:AA28" si="21">H13-(7*5)</f>
        <v>43861</v>
      </c>
      <c r="I28" s="191">
        <f t="shared" si="21"/>
        <v>43865</v>
      </c>
      <c r="J28" s="191">
        <f t="shared" si="21"/>
        <v>43869</v>
      </c>
      <c r="K28" s="191">
        <f t="shared" si="21"/>
        <v>43873</v>
      </c>
      <c r="L28" s="191">
        <f t="shared" si="21"/>
        <v>43876</v>
      </c>
      <c r="M28" s="191">
        <f t="shared" si="21"/>
        <v>43879</v>
      </c>
      <c r="N28" s="191">
        <f t="shared" si="21"/>
        <v>43884</v>
      </c>
      <c r="O28" s="191">
        <f t="shared" si="21"/>
        <v>43889</v>
      </c>
      <c r="P28" s="191">
        <f t="shared" si="21"/>
        <v>43894</v>
      </c>
      <c r="Q28" s="191">
        <f t="shared" si="21"/>
        <v>43899</v>
      </c>
      <c r="R28" s="191">
        <f t="shared" si="21"/>
        <v>43904</v>
      </c>
      <c r="S28" s="191">
        <f t="shared" si="21"/>
        <v>43909</v>
      </c>
      <c r="T28" s="191">
        <f t="shared" si="21"/>
        <v>43914</v>
      </c>
      <c r="U28" s="191">
        <f t="shared" si="21"/>
        <v>43919</v>
      </c>
      <c r="V28" s="191">
        <f t="shared" si="21"/>
        <v>43924</v>
      </c>
      <c r="W28" s="191">
        <f t="shared" si="21"/>
        <v>43929</v>
      </c>
      <c r="X28" s="191">
        <f t="shared" si="21"/>
        <v>43934</v>
      </c>
      <c r="Y28" s="191">
        <f t="shared" si="21"/>
        <v>43939</v>
      </c>
      <c r="Z28" s="191">
        <f t="shared" si="21"/>
        <v>43944</v>
      </c>
      <c r="AA28" s="191">
        <f t="shared" si="21"/>
        <v>43949</v>
      </c>
      <c r="AB28" s="191"/>
      <c r="AC28" s="59"/>
      <c r="AD28" s="59"/>
    </row>
    <row r="29" spans="1:31" s="86" customFormat="1" hidden="1" x14ac:dyDescent="0.25">
      <c r="A29" s="63" t="s">
        <v>214</v>
      </c>
      <c r="B29" s="39"/>
      <c r="C29" s="61"/>
      <c r="D29" s="61"/>
      <c r="E29" s="61"/>
      <c r="F29" s="61"/>
      <c r="G29" s="191">
        <f>G13-(6*7)</f>
        <v>43850</v>
      </c>
      <c r="H29" s="191">
        <f t="shared" ref="H29:AA29" si="22">H13-(6*7)</f>
        <v>43854</v>
      </c>
      <c r="I29" s="191">
        <f t="shared" si="22"/>
        <v>43858</v>
      </c>
      <c r="J29" s="191">
        <f t="shared" si="22"/>
        <v>43862</v>
      </c>
      <c r="K29" s="191">
        <f t="shared" si="22"/>
        <v>43866</v>
      </c>
      <c r="L29" s="191">
        <f t="shared" si="22"/>
        <v>43869</v>
      </c>
      <c r="M29" s="191">
        <f t="shared" si="22"/>
        <v>43872</v>
      </c>
      <c r="N29" s="191">
        <f t="shared" si="22"/>
        <v>43877</v>
      </c>
      <c r="O29" s="191">
        <f t="shared" si="22"/>
        <v>43882</v>
      </c>
      <c r="P29" s="191">
        <f t="shared" si="22"/>
        <v>43887</v>
      </c>
      <c r="Q29" s="191">
        <f t="shared" si="22"/>
        <v>43892</v>
      </c>
      <c r="R29" s="191">
        <f t="shared" si="22"/>
        <v>43897</v>
      </c>
      <c r="S29" s="191">
        <f t="shared" si="22"/>
        <v>43902</v>
      </c>
      <c r="T29" s="191">
        <f t="shared" si="22"/>
        <v>43907</v>
      </c>
      <c r="U29" s="191">
        <f t="shared" si="22"/>
        <v>43912</v>
      </c>
      <c r="V29" s="191">
        <f t="shared" si="22"/>
        <v>43917</v>
      </c>
      <c r="W29" s="191">
        <f t="shared" si="22"/>
        <v>43922</v>
      </c>
      <c r="X29" s="191">
        <f t="shared" si="22"/>
        <v>43927</v>
      </c>
      <c r="Y29" s="191">
        <f t="shared" si="22"/>
        <v>43932</v>
      </c>
      <c r="Z29" s="191">
        <f t="shared" si="22"/>
        <v>43937</v>
      </c>
      <c r="AA29" s="191">
        <f t="shared" si="22"/>
        <v>43942</v>
      </c>
      <c r="AB29" s="191"/>
      <c r="AC29" s="59"/>
      <c r="AD29" s="59"/>
    </row>
    <row r="31" spans="1:31" x14ac:dyDescent="0.25">
      <c r="A31" s="69" t="s">
        <v>141</v>
      </c>
      <c r="B31" s="29"/>
      <c r="C31" s="30"/>
      <c r="D31" s="30"/>
      <c r="E31" s="30"/>
      <c r="F31" s="30"/>
    </row>
    <row r="32" spans="1:31" s="86" customFormat="1" x14ac:dyDescent="0.25">
      <c r="A32" s="179" t="s">
        <v>211</v>
      </c>
      <c r="B32" s="39"/>
      <c r="C32" s="61"/>
      <c r="D32" s="61"/>
      <c r="E32" s="61"/>
      <c r="F32" s="61"/>
      <c r="G32" s="180">
        <f>(G13-$B$10)/7</f>
        <v>5.2857142857142856</v>
      </c>
      <c r="H32" s="175">
        <f t="shared" ref="H32:AA32" si="23">(H13-$B$10)/7</f>
        <v>5.8571428571428568</v>
      </c>
      <c r="I32" s="176">
        <f t="shared" si="23"/>
        <v>6.4285714285714288</v>
      </c>
      <c r="J32" s="180">
        <f t="shared" si="23"/>
        <v>7</v>
      </c>
      <c r="K32" s="175">
        <f t="shared" si="23"/>
        <v>7.5714285714285712</v>
      </c>
      <c r="L32" s="181">
        <f t="shared" si="23"/>
        <v>8</v>
      </c>
      <c r="M32" s="176">
        <f t="shared" si="23"/>
        <v>8.4285714285714288</v>
      </c>
      <c r="N32" s="180">
        <f t="shared" si="23"/>
        <v>9.1428571428571423</v>
      </c>
      <c r="O32" s="175">
        <f t="shared" si="23"/>
        <v>9.8571428571428577</v>
      </c>
      <c r="P32" s="175">
        <f t="shared" si="23"/>
        <v>10.571428571428571</v>
      </c>
      <c r="Q32" s="176">
        <f t="shared" si="23"/>
        <v>11.285714285714286</v>
      </c>
      <c r="R32" s="180">
        <f t="shared" si="23"/>
        <v>12</v>
      </c>
      <c r="S32" s="175">
        <f t="shared" si="23"/>
        <v>12.714285714285714</v>
      </c>
      <c r="T32" s="176">
        <f t="shared" si="23"/>
        <v>13.428571428571429</v>
      </c>
      <c r="U32" s="180">
        <f t="shared" si="23"/>
        <v>14.142857142857142</v>
      </c>
      <c r="V32" s="180">
        <f t="shared" si="23"/>
        <v>14.857142857142858</v>
      </c>
      <c r="W32" s="175">
        <f t="shared" si="23"/>
        <v>15.571428571428571</v>
      </c>
      <c r="X32" s="176">
        <f t="shared" si="23"/>
        <v>16.285714285714285</v>
      </c>
      <c r="Y32" s="180">
        <f t="shared" si="23"/>
        <v>17</v>
      </c>
      <c r="Z32" s="175">
        <f t="shared" si="23"/>
        <v>17.714285714285715</v>
      </c>
      <c r="AA32" s="180">
        <f t="shared" si="23"/>
        <v>18.428571428571427</v>
      </c>
      <c r="AB32" s="180">
        <f t="shared" ref="AB32" si="24">(AB13-$B$10)/7</f>
        <v>26.428571428571427</v>
      </c>
    </row>
    <row r="33" spans="1:28" s="86" customFormat="1" x14ac:dyDescent="0.25">
      <c r="A33" s="179" t="s">
        <v>210</v>
      </c>
      <c r="B33" s="39"/>
      <c r="C33" s="61"/>
      <c r="D33" s="61"/>
      <c r="E33" s="61"/>
      <c r="F33" s="61"/>
      <c r="G33" s="182">
        <f>G13-B10</f>
        <v>37</v>
      </c>
      <c r="H33" s="177">
        <f>G33+$B$13</f>
        <v>41</v>
      </c>
      <c r="I33" s="177">
        <f>H33+$B$13</f>
        <v>45</v>
      </c>
      <c r="J33" s="177">
        <f>I33+$B$13</f>
        <v>49</v>
      </c>
      <c r="K33" s="177">
        <f>J33+$B$13</f>
        <v>53</v>
      </c>
      <c r="L33" s="177">
        <f>K33+$C$13</f>
        <v>56</v>
      </c>
      <c r="M33" s="177">
        <f>L33+$C$13</f>
        <v>59</v>
      </c>
      <c r="N33" s="178">
        <f t="shared" ref="N33:AB33" si="25">M33+$D$13</f>
        <v>64</v>
      </c>
      <c r="O33" s="178">
        <f t="shared" si="25"/>
        <v>69</v>
      </c>
      <c r="P33" s="178">
        <f t="shared" si="25"/>
        <v>74</v>
      </c>
      <c r="Q33" s="178">
        <f t="shared" si="25"/>
        <v>79</v>
      </c>
      <c r="R33" s="178">
        <f t="shared" si="25"/>
        <v>84</v>
      </c>
      <c r="S33" s="178">
        <f t="shared" si="25"/>
        <v>89</v>
      </c>
      <c r="T33" s="178">
        <f t="shared" si="25"/>
        <v>94</v>
      </c>
      <c r="U33" s="178">
        <f t="shared" si="25"/>
        <v>99</v>
      </c>
      <c r="V33" s="178">
        <f t="shared" si="25"/>
        <v>104</v>
      </c>
      <c r="W33" s="178">
        <f t="shared" si="25"/>
        <v>109</v>
      </c>
      <c r="X33" s="178">
        <f t="shared" si="25"/>
        <v>114</v>
      </c>
      <c r="Y33" s="178">
        <f t="shared" si="25"/>
        <v>119</v>
      </c>
      <c r="Z33" s="178">
        <f t="shared" si="25"/>
        <v>124</v>
      </c>
      <c r="AA33" s="217">
        <f t="shared" si="25"/>
        <v>129</v>
      </c>
      <c r="AB33" s="217">
        <f t="shared" si="25"/>
        <v>134</v>
      </c>
    </row>
    <row r="34" spans="1:28" x14ac:dyDescent="0.25">
      <c r="A34" s="55" t="s">
        <v>135</v>
      </c>
      <c r="B34" s="30"/>
      <c r="C34" s="30"/>
      <c r="D34" s="30"/>
      <c r="E34" s="30"/>
      <c r="F34" s="30"/>
      <c r="G34" s="183">
        <v>32</v>
      </c>
      <c r="H34" s="184">
        <v>63</v>
      </c>
      <c r="I34" s="185">
        <v>112</v>
      </c>
      <c r="J34" s="185">
        <v>249</v>
      </c>
      <c r="K34" s="185">
        <v>567</v>
      </c>
      <c r="L34" s="185">
        <v>1072</v>
      </c>
      <c r="M34" s="185">
        <v>2050</v>
      </c>
      <c r="N34" s="185">
        <v>3984</v>
      </c>
      <c r="O34" s="185"/>
      <c r="P34" s="185"/>
      <c r="Q34" s="185"/>
      <c r="R34" s="185"/>
      <c r="S34" s="185"/>
      <c r="T34" s="185"/>
      <c r="U34" s="185"/>
      <c r="V34" s="185"/>
      <c r="W34" s="185"/>
      <c r="X34" s="185"/>
      <c r="Y34" s="185"/>
      <c r="Z34" s="185"/>
      <c r="AA34" s="185"/>
      <c r="AB34" s="186"/>
    </row>
    <row r="35" spans="1:28" x14ac:dyDescent="0.25">
      <c r="A35" s="55" t="s">
        <v>165</v>
      </c>
      <c r="B35" s="30"/>
      <c r="C35" s="30"/>
      <c r="D35" s="30"/>
      <c r="E35" s="30"/>
      <c r="F35" s="30"/>
      <c r="G35" s="187">
        <v>5</v>
      </c>
      <c r="H35" s="188">
        <v>12</v>
      </c>
      <c r="I35" s="140">
        <v>12</v>
      </c>
      <c r="J35" s="140">
        <v>17</v>
      </c>
      <c r="K35" s="189">
        <v>33</v>
      </c>
      <c r="L35" s="189">
        <v>53</v>
      </c>
      <c r="M35" s="189">
        <v>97</v>
      </c>
      <c r="N35" s="189" t="s">
        <v>236</v>
      </c>
      <c r="O35" s="189"/>
      <c r="P35" s="189"/>
      <c r="Q35" s="189"/>
      <c r="R35" s="189"/>
      <c r="S35" s="189"/>
      <c r="T35" s="189"/>
      <c r="U35" s="189"/>
      <c r="V35" s="189"/>
      <c r="W35" s="189"/>
      <c r="X35" s="189"/>
      <c r="Y35" s="189"/>
      <c r="Z35" s="189"/>
      <c r="AA35" s="189"/>
      <c r="AB35" s="190"/>
    </row>
    <row r="36" spans="1:28" x14ac:dyDescent="0.25">
      <c r="A36" s="64" t="s">
        <v>136</v>
      </c>
      <c r="B36" s="52"/>
      <c r="C36" s="53"/>
      <c r="D36" s="53"/>
      <c r="E36" s="53"/>
      <c r="F36" s="53"/>
      <c r="G36" s="84">
        <v>1</v>
      </c>
      <c r="H36" s="85">
        <v>2</v>
      </c>
      <c r="I36" s="67">
        <v>3</v>
      </c>
      <c r="J36" s="67">
        <v>5</v>
      </c>
      <c r="K36" s="67">
        <v>6</v>
      </c>
      <c r="L36" s="67">
        <v>7</v>
      </c>
      <c r="M36" s="67">
        <v>8</v>
      </c>
      <c r="N36" s="67">
        <v>16</v>
      </c>
      <c r="O36" s="67"/>
      <c r="P36" s="67"/>
      <c r="Q36" s="67"/>
      <c r="R36" s="67"/>
      <c r="S36" s="67"/>
      <c r="T36" s="67"/>
      <c r="U36" s="67"/>
      <c r="V36" s="67"/>
      <c r="W36" s="67"/>
      <c r="X36" s="67"/>
      <c r="Y36" s="67"/>
      <c r="Z36" s="67"/>
      <c r="AA36" s="67"/>
      <c r="AB36" s="68"/>
    </row>
    <row r="37" spans="1:28" x14ac:dyDescent="0.25">
      <c r="B37" s="3"/>
      <c r="G37" s="49"/>
      <c r="H37" s="49"/>
      <c r="I37" s="49"/>
      <c r="J37" s="49"/>
      <c r="K37" s="49"/>
      <c r="L37" s="49"/>
      <c r="M37" s="49"/>
      <c r="N37" s="49"/>
      <c r="O37" s="49"/>
      <c r="P37" s="49"/>
      <c r="Q37" s="49"/>
      <c r="R37" s="49"/>
      <c r="S37" s="49"/>
      <c r="T37" s="49"/>
      <c r="U37" s="49"/>
      <c r="V37" s="49"/>
      <c r="W37" s="49"/>
      <c r="X37" s="49"/>
    </row>
    <row r="38" spans="1:28" x14ac:dyDescent="0.25">
      <c r="A38" s="91" t="s">
        <v>143</v>
      </c>
      <c r="X38" s="30"/>
    </row>
    <row r="39" spans="1:28" x14ac:dyDescent="0.25">
      <c r="A39" s="16" t="s">
        <v>1</v>
      </c>
      <c r="B39" s="73" t="s">
        <v>149</v>
      </c>
      <c r="C39" s="17" t="s">
        <v>4</v>
      </c>
      <c r="D39" s="73" t="s">
        <v>145</v>
      </c>
      <c r="E39" s="74" t="s">
        <v>3</v>
      </c>
      <c r="F39" s="21" t="s">
        <v>4</v>
      </c>
      <c r="G39" s="21"/>
      <c r="H39" s="21"/>
      <c r="I39" s="21"/>
      <c r="J39" s="21"/>
      <c r="K39" s="21"/>
      <c r="L39" s="21"/>
      <c r="M39" s="21"/>
      <c r="N39" s="21"/>
      <c r="O39" s="21"/>
      <c r="P39" s="21"/>
      <c r="Q39" s="21"/>
      <c r="R39" s="21"/>
      <c r="S39" s="21"/>
      <c r="T39" s="21"/>
      <c r="U39" s="21"/>
      <c r="V39" s="21"/>
      <c r="W39" s="21"/>
      <c r="X39" s="21"/>
      <c r="Y39" s="21"/>
      <c r="Z39" s="21"/>
      <c r="AA39" s="17"/>
      <c r="AB39" s="61"/>
    </row>
    <row r="40" spans="1:28" x14ac:dyDescent="0.25">
      <c r="A40" s="55" t="s">
        <v>13</v>
      </c>
      <c r="B40" s="27">
        <f>'ABS Population by Age Range'!D107</f>
        <v>4.0260989985204748E-2</v>
      </c>
      <c r="C40" s="26">
        <f>$B$1*B40</f>
        <v>1032050.2172807385</v>
      </c>
      <c r="D40" s="36">
        <f>'AU Infection Rate by Age'!C4</f>
        <v>2.703419029949642E-2</v>
      </c>
      <c r="E40" s="17"/>
      <c r="F40" s="30"/>
      <c r="G40" s="32">
        <f>G$14*$D$40</f>
        <v>0.84481844685926311</v>
      </c>
      <c r="H40" s="33">
        <f t="shared" ref="H40:W40" si="26">H$14*$D$40</f>
        <v>1.6896368937185262</v>
      </c>
      <c r="I40" s="33">
        <f t="shared" si="26"/>
        <v>3.3792737874370524</v>
      </c>
      <c r="J40" s="33">
        <f t="shared" si="26"/>
        <v>6.7585475748741048</v>
      </c>
      <c r="K40" s="33">
        <f t="shared" si="26"/>
        <v>13.51709514974821</v>
      </c>
      <c r="L40" s="33">
        <f t="shared" si="26"/>
        <v>27.034190299496419</v>
      </c>
      <c r="M40" s="33">
        <f t="shared" si="26"/>
        <v>54.068380598992839</v>
      </c>
      <c r="N40" s="33">
        <f t="shared" si="26"/>
        <v>108.13676119798568</v>
      </c>
      <c r="O40" s="33">
        <f t="shared" si="26"/>
        <v>216.27352239597136</v>
      </c>
      <c r="P40" s="33">
        <f t="shared" si="26"/>
        <v>432.54704479194271</v>
      </c>
      <c r="Q40" s="33">
        <f t="shared" si="26"/>
        <v>865.09408958388542</v>
      </c>
      <c r="R40" s="33">
        <f t="shared" si="26"/>
        <v>1730.1881791677708</v>
      </c>
      <c r="S40" s="33">
        <f t="shared" si="26"/>
        <v>3460.3763583355417</v>
      </c>
      <c r="T40" s="33">
        <f t="shared" si="26"/>
        <v>6920.7527166710834</v>
      </c>
      <c r="U40" s="33">
        <f t="shared" si="26"/>
        <v>13841.505433342167</v>
      </c>
      <c r="V40" s="33">
        <f t="shared" si="26"/>
        <v>27683.010866684333</v>
      </c>
      <c r="W40" s="33">
        <f t="shared" si="26"/>
        <v>55366.021733368667</v>
      </c>
      <c r="X40" s="33">
        <f>X$14*$D$40</f>
        <v>110732.04346673733</v>
      </c>
      <c r="Y40" s="33">
        <f>Y$14*$D$40</f>
        <v>221464.08693347467</v>
      </c>
      <c r="Z40" s="33">
        <f>Z$14*$D$40</f>
        <v>442928.17386694934</v>
      </c>
      <c r="AA40" s="76">
        <f>AA$14*$D$40</f>
        <v>692994.43413729127</v>
      </c>
      <c r="AB40" s="59"/>
    </row>
    <row r="41" spans="1:28" x14ac:dyDescent="0.25">
      <c r="A41" s="55"/>
      <c r="B41" s="18"/>
      <c r="C41" s="22"/>
      <c r="D41" s="20"/>
      <c r="E41" s="41">
        <v>0.14799999999999999</v>
      </c>
      <c r="F41" s="22"/>
      <c r="G41" s="43">
        <f>G$14*$D$40*$E$41</f>
        <v>0.12503313013517092</v>
      </c>
      <c r="H41" s="44">
        <f t="shared" ref="H41:W41" si="27">H$14*$D$40*$E$41</f>
        <v>0.25006626027034184</v>
      </c>
      <c r="I41" s="44">
        <f t="shared" si="27"/>
        <v>0.50013252054068369</v>
      </c>
      <c r="J41" s="44">
        <f t="shared" si="27"/>
        <v>1.0002650410813674</v>
      </c>
      <c r="K41" s="44">
        <f t="shared" si="27"/>
        <v>2.0005300821627348</v>
      </c>
      <c r="L41" s="44">
        <f t="shared" si="27"/>
        <v>4.0010601643254695</v>
      </c>
      <c r="M41" s="44">
        <f t="shared" si="27"/>
        <v>8.002120328650939</v>
      </c>
      <c r="N41" s="44">
        <f t="shared" si="27"/>
        <v>16.004240657301878</v>
      </c>
      <c r="O41" s="44">
        <f t="shared" si="27"/>
        <v>32.008481314603756</v>
      </c>
      <c r="P41" s="44">
        <f t="shared" si="27"/>
        <v>64.016962629207512</v>
      </c>
      <c r="Q41" s="44">
        <f t="shared" si="27"/>
        <v>128.03392525841502</v>
      </c>
      <c r="R41" s="44">
        <f t="shared" si="27"/>
        <v>256.06785051683005</v>
      </c>
      <c r="S41" s="44">
        <f t="shared" si="27"/>
        <v>512.1357010336601</v>
      </c>
      <c r="T41" s="44">
        <f t="shared" si="27"/>
        <v>1024.2714020673202</v>
      </c>
      <c r="U41" s="44">
        <f t="shared" si="27"/>
        <v>2048.5428041346404</v>
      </c>
      <c r="V41" s="44">
        <f t="shared" si="27"/>
        <v>4097.0856082692808</v>
      </c>
      <c r="W41" s="44">
        <f t="shared" si="27"/>
        <v>8194.1712165385616</v>
      </c>
      <c r="X41" s="44">
        <f>X$14*$D$40*$E$41</f>
        <v>16388.342433077123</v>
      </c>
      <c r="Y41" s="44">
        <f>Y$14*$D$40*$E$41</f>
        <v>32776.684866154246</v>
      </c>
      <c r="Z41" s="44">
        <f>Z$14*$D$40*$E$41</f>
        <v>65553.369732308493</v>
      </c>
      <c r="AA41" s="88">
        <f>AA$14*$D$40*$E$41</f>
        <v>102563.1762523191</v>
      </c>
      <c r="AB41" s="59"/>
    </row>
    <row r="42" spans="1:28" x14ac:dyDescent="0.25">
      <c r="A42" s="55" t="s">
        <v>14</v>
      </c>
      <c r="B42" s="18">
        <f>'ABS Population by Age Range'!D97</f>
        <v>7.065336711718416E-2</v>
      </c>
      <c r="C42" s="22">
        <f t="shared" ref="C42:C56" si="28">$B$1*B42</f>
        <v>1811128.4126818988</v>
      </c>
      <c r="D42" s="99">
        <f>'AU Infection Rate by Age'!C5</f>
        <v>0.11264245958123509</v>
      </c>
      <c r="E42" s="31"/>
      <c r="F42" s="30"/>
      <c r="G42" s="34">
        <f t="shared" ref="G42:W42" si="29">G$14*$D$42</f>
        <v>3.5200768619135965</v>
      </c>
      <c r="H42" s="35">
        <f t="shared" si="29"/>
        <v>7.040153723827193</v>
      </c>
      <c r="I42" s="35">
        <f t="shared" si="29"/>
        <v>14.080307447654386</v>
      </c>
      <c r="J42" s="35">
        <f t="shared" si="29"/>
        <v>28.160614895308772</v>
      </c>
      <c r="K42" s="35">
        <f t="shared" si="29"/>
        <v>56.321229790617544</v>
      </c>
      <c r="L42" s="35">
        <f t="shared" si="29"/>
        <v>112.64245958123509</v>
      </c>
      <c r="M42" s="35">
        <f t="shared" si="29"/>
        <v>225.28491916247017</v>
      </c>
      <c r="N42" s="35">
        <f t="shared" si="29"/>
        <v>450.56983832494035</v>
      </c>
      <c r="O42" s="35">
        <f t="shared" si="29"/>
        <v>901.1396766498807</v>
      </c>
      <c r="P42" s="35">
        <f t="shared" si="29"/>
        <v>1802.2793532997614</v>
      </c>
      <c r="Q42" s="35">
        <f t="shared" si="29"/>
        <v>3604.5587065995228</v>
      </c>
      <c r="R42" s="35">
        <f t="shared" si="29"/>
        <v>7209.1174131990456</v>
      </c>
      <c r="S42" s="35">
        <f t="shared" si="29"/>
        <v>14418.234826398091</v>
      </c>
      <c r="T42" s="35">
        <f t="shared" si="29"/>
        <v>28836.469652796182</v>
      </c>
      <c r="U42" s="35">
        <f t="shared" si="29"/>
        <v>57672.939305592365</v>
      </c>
      <c r="V42" s="35">
        <f t="shared" si="29"/>
        <v>115345.87861118473</v>
      </c>
      <c r="W42" s="35">
        <f t="shared" si="29"/>
        <v>230691.75722236946</v>
      </c>
      <c r="X42" s="35">
        <f>X$14*$D$42</f>
        <v>461383.51444473892</v>
      </c>
      <c r="Y42" s="35">
        <f>Y$14*$D$42</f>
        <v>922767.02888947784</v>
      </c>
      <c r="Z42" s="35">
        <f>Z$14*$D$42</f>
        <v>1845534.0577789557</v>
      </c>
      <c r="AA42" s="98">
        <f>AA$14*$D$42</f>
        <v>2887476.8089053803</v>
      </c>
      <c r="AB42" s="59"/>
    </row>
    <row r="43" spans="1:28" x14ac:dyDescent="0.25">
      <c r="A43" s="55"/>
      <c r="B43" s="18"/>
      <c r="C43" s="22"/>
      <c r="D43" s="20"/>
      <c r="E43" s="41">
        <v>0.08</v>
      </c>
      <c r="F43" s="22"/>
      <c r="G43" s="43">
        <f t="shared" ref="G43:W43" si="30">G$14*$D$42*$E$43</f>
        <v>0.28160614895308772</v>
      </c>
      <c r="H43" s="44">
        <f t="shared" si="30"/>
        <v>0.56321229790617544</v>
      </c>
      <c r="I43" s="44">
        <f t="shared" si="30"/>
        <v>1.1264245958123509</v>
      </c>
      <c r="J43" s="44">
        <f t="shared" si="30"/>
        <v>2.2528491916247018</v>
      </c>
      <c r="K43" s="44">
        <f t="shared" si="30"/>
        <v>4.5056983832494035</v>
      </c>
      <c r="L43" s="44">
        <f t="shared" si="30"/>
        <v>9.0113967664988071</v>
      </c>
      <c r="M43" s="44">
        <f t="shared" si="30"/>
        <v>18.022793532997614</v>
      </c>
      <c r="N43" s="44">
        <f t="shared" si="30"/>
        <v>36.045587065995228</v>
      </c>
      <c r="O43" s="44">
        <f t="shared" si="30"/>
        <v>72.091174131990456</v>
      </c>
      <c r="P43" s="44">
        <f t="shared" si="30"/>
        <v>144.18234826398091</v>
      </c>
      <c r="Q43" s="44">
        <f t="shared" si="30"/>
        <v>288.36469652796183</v>
      </c>
      <c r="R43" s="44">
        <f t="shared" si="30"/>
        <v>576.72939305592365</v>
      </c>
      <c r="S43" s="44">
        <f t="shared" si="30"/>
        <v>1153.4587861118473</v>
      </c>
      <c r="T43" s="44">
        <f t="shared" si="30"/>
        <v>2306.9175722236946</v>
      </c>
      <c r="U43" s="44">
        <f t="shared" si="30"/>
        <v>4613.8351444473892</v>
      </c>
      <c r="V43" s="44">
        <f t="shared" si="30"/>
        <v>9227.6702888947784</v>
      </c>
      <c r="W43" s="44">
        <f t="shared" si="30"/>
        <v>18455.340577789557</v>
      </c>
      <c r="X43" s="44">
        <f>X$14*$D$42*$E$43</f>
        <v>36910.681155579114</v>
      </c>
      <c r="Y43" s="44">
        <f>Y$14*$D$42*$E$43</f>
        <v>73821.362311158227</v>
      </c>
      <c r="Z43" s="44">
        <f>Z$14*$D$42*$E$43</f>
        <v>147642.72462231645</v>
      </c>
      <c r="AA43" s="88">
        <f>AA$14*$D$42*$E$43</f>
        <v>230998.14471243042</v>
      </c>
      <c r="AB43" s="59"/>
    </row>
    <row r="44" spans="1:28" x14ac:dyDescent="0.25">
      <c r="A44" s="55" t="s">
        <v>15</v>
      </c>
      <c r="B44" s="18">
        <f>'ABS Population by Age Range'!D85</f>
        <v>0.10301766910746854</v>
      </c>
      <c r="C44" s="22">
        <f t="shared" si="28"/>
        <v>2640754.9299008488</v>
      </c>
      <c r="D44" s="99">
        <f>'AU Infection Rate by Age'!C6</f>
        <v>0.17280678505168301</v>
      </c>
      <c r="E44" s="31"/>
      <c r="F44" s="22"/>
      <c r="G44" s="34">
        <f t="shared" ref="G44:W44" si="31">G$14*$D$44</f>
        <v>5.4002120328650944</v>
      </c>
      <c r="H44" s="35">
        <f t="shared" si="31"/>
        <v>10.800424065730189</v>
      </c>
      <c r="I44" s="35">
        <f t="shared" si="31"/>
        <v>21.600848131460378</v>
      </c>
      <c r="J44" s="35">
        <f t="shared" si="31"/>
        <v>43.201696262920755</v>
      </c>
      <c r="K44" s="35">
        <f t="shared" si="31"/>
        <v>86.403392525841511</v>
      </c>
      <c r="L44" s="35">
        <f t="shared" si="31"/>
        <v>172.80678505168302</v>
      </c>
      <c r="M44" s="35">
        <f t="shared" si="31"/>
        <v>345.61357010336604</v>
      </c>
      <c r="N44" s="35">
        <f t="shared" si="31"/>
        <v>691.22714020673209</v>
      </c>
      <c r="O44" s="35">
        <f t="shared" si="31"/>
        <v>1382.4542804134642</v>
      </c>
      <c r="P44" s="35">
        <f t="shared" si="31"/>
        <v>2764.9085608269284</v>
      </c>
      <c r="Q44" s="35">
        <f t="shared" si="31"/>
        <v>5529.8171216538567</v>
      </c>
      <c r="R44" s="35">
        <f t="shared" si="31"/>
        <v>11059.634243307713</v>
      </c>
      <c r="S44" s="35">
        <f t="shared" si="31"/>
        <v>22119.268486615427</v>
      </c>
      <c r="T44" s="35">
        <f t="shared" si="31"/>
        <v>44238.536973230854</v>
      </c>
      <c r="U44" s="35">
        <f t="shared" si="31"/>
        <v>88477.073946461707</v>
      </c>
      <c r="V44" s="35">
        <f t="shared" si="31"/>
        <v>176954.14789292341</v>
      </c>
      <c r="W44" s="35">
        <f t="shared" si="31"/>
        <v>353908.29578584683</v>
      </c>
      <c r="X44" s="35">
        <f>X$14*$D$44</f>
        <v>707816.59157169366</v>
      </c>
      <c r="Y44" s="35">
        <f>Y$14*$D$44</f>
        <v>1415633.1831433873</v>
      </c>
      <c r="Z44" s="35">
        <f>Z$14*$D$44</f>
        <v>2831266.3662867746</v>
      </c>
      <c r="AA44" s="98">
        <f>AA$14*$D$44</f>
        <v>4429729.128014842</v>
      </c>
      <c r="AB44" s="59"/>
    </row>
    <row r="45" spans="1:28" x14ac:dyDescent="0.25">
      <c r="A45" s="55"/>
      <c r="B45" s="18"/>
      <c r="C45" s="22"/>
      <c r="D45" s="20"/>
      <c r="E45" s="41">
        <v>3.5999999999999997E-2</v>
      </c>
      <c r="F45" s="22"/>
      <c r="G45" s="43">
        <f t="shared" ref="G45:W45" si="32">G$14*$D$44*$E$45</f>
        <v>0.19440763318314339</v>
      </c>
      <c r="H45" s="44">
        <f t="shared" si="32"/>
        <v>0.38881526636628677</v>
      </c>
      <c r="I45" s="44">
        <f t="shared" si="32"/>
        <v>0.77763053273257354</v>
      </c>
      <c r="J45" s="44">
        <f t="shared" si="32"/>
        <v>1.5552610654651471</v>
      </c>
      <c r="K45" s="44">
        <f t="shared" si="32"/>
        <v>3.1105221309302942</v>
      </c>
      <c r="L45" s="44">
        <f t="shared" si="32"/>
        <v>6.2210442618605883</v>
      </c>
      <c r="M45" s="44">
        <f t="shared" si="32"/>
        <v>12.442088523721177</v>
      </c>
      <c r="N45" s="44">
        <f t="shared" si="32"/>
        <v>24.884177047442353</v>
      </c>
      <c r="O45" s="44">
        <f t="shared" si="32"/>
        <v>49.768354094884707</v>
      </c>
      <c r="P45" s="44">
        <f t="shared" si="32"/>
        <v>99.536708189769413</v>
      </c>
      <c r="Q45" s="44">
        <f t="shared" si="32"/>
        <v>199.07341637953883</v>
      </c>
      <c r="R45" s="44">
        <f t="shared" si="32"/>
        <v>398.14683275907765</v>
      </c>
      <c r="S45" s="44">
        <f t="shared" si="32"/>
        <v>796.29366551815531</v>
      </c>
      <c r="T45" s="44">
        <f t="shared" si="32"/>
        <v>1592.5873310363106</v>
      </c>
      <c r="U45" s="44">
        <f t="shared" si="32"/>
        <v>3185.1746620726212</v>
      </c>
      <c r="V45" s="44">
        <f t="shared" si="32"/>
        <v>6370.3493241452425</v>
      </c>
      <c r="W45" s="44">
        <f t="shared" si="32"/>
        <v>12740.698648290485</v>
      </c>
      <c r="X45" s="44">
        <f>X$14*$D$44*$E$45</f>
        <v>25481.39729658097</v>
      </c>
      <c r="Y45" s="44">
        <f>Y$14*$D$44*$E$45</f>
        <v>50962.79459316194</v>
      </c>
      <c r="Z45" s="44">
        <f>Z$14*$D$44*$E$45</f>
        <v>101925.58918632388</v>
      </c>
      <c r="AA45" s="88">
        <f>AA$14*$D$44*$E$45</f>
        <v>159470.24860853431</v>
      </c>
      <c r="AB45" s="59"/>
    </row>
    <row r="46" spans="1:28" x14ac:dyDescent="0.25">
      <c r="A46" s="55" t="s">
        <v>16</v>
      </c>
      <c r="B46" s="18">
        <f>'ABS Population by Age Range'!D73</f>
        <v>0.12142789925761971</v>
      </c>
      <c r="C46" s="22">
        <f t="shared" si="28"/>
        <v>3112682.7695698235</v>
      </c>
      <c r="D46" s="99">
        <f>'AU Infection Rate by Age'!C7</f>
        <v>0.15981977206467002</v>
      </c>
      <c r="E46" s="31"/>
      <c r="F46" s="22"/>
      <c r="G46" s="34">
        <f t="shared" ref="G46:W46" si="33">G$14*$D$46</f>
        <v>4.9943678770209381</v>
      </c>
      <c r="H46" s="35">
        <f t="shared" si="33"/>
        <v>9.9887357540418762</v>
      </c>
      <c r="I46" s="35">
        <f t="shared" si="33"/>
        <v>19.977471508083752</v>
      </c>
      <c r="J46" s="35">
        <f t="shared" si="33"/>
        <v>39.954943016167505</v>
      </c>
      <c r="K46" s="35">
        <f t="shared" si="33"/>
        <v>79.90988603233501</v>
      </c>
      <c r="L46" s="35">
        <f t="shared" si="33"/>
        <v>159.81977206467002</v>
      </c>
      <c r="M46" s="35">
        <f t="shared" si="33"/>
        <v>319.63954412934004</v>
      </c>
      <c r="N46" s="35">
        <f t="shared" si="33"/>
        <v>639.27908825868008</v>
      </c>
      <c r="O46" s="35">
        <f t="shared" si="33"/>
        <v>1278.5581765173602</v>
      </c>
      <c r="P46" s="35">
        <f t="shared" si="33"/>
        <v>2557.1163530347203</v>
      </c>
      <c r="Q46" s="35">
        <f t="shared" si="33"/>
        <v>5114.2327060694406</v>
      </c>
      <c r="R46" s="35">
        <f t="shared" si="33"/>
        <v>10228.465412138881</v>
      </c>
      <c r="S46" s="35">
        <f t="shared" si="33"/>
        <v>20456.930824277762</v>
      </c>
      <c r="T46" s="35">
        <f t="shared" si="33"/>
        <v>40913.861648555525</v>
      </c>
      <c r="U46" s="35">
        <f t="shared" si="33"/>
        <v>81827.72329711105</v>
      </c>
      <c r="V46" s="35">
        <f t="shared" si="33"/>
        <v>163655.4465942221</v>
      </c>
      <c r="W46" s="35">
        <f t="shared" si="33"/>
        <v>327310.8931884442</v>
      </c>
      <c r="X46" s="35">
        <f>X$14*$D$46</f>
        <v>654621.7863768884</v>
      </c>
      <c r="Y46" s="35">
        <f>Y$14*$D$46</f>
        <v>1309243.5727537768</v>
      </c>
      <c r="Z46" s="35">
        <f>Z$14*$D$46</f>
        <v>2618487.1455075536</v>
      </c>
      <c r="AA46" s="98">
        <f>AA$14*$D$46</f>
        <v>4096820.0371057512</v>
      </c>
      <c r="AB46" s="59"/>
    </row>
    <row r="47" spans="1:28" x14ac:dyDescent="0.25">
      <c r="A47" s="55"/>
      <c r="B47" s="18"/>
      <c r="C47" s="22"/>
      <c r="D47" s="20"/>
      <c r="E47" s="41">
        <v>1.2999999999999999E-2</v>
      </c>
      <c r="F47" s="22"/>
      <c r="G47" s="43">
        <f t="shared" ref="G47:W47" si="34">G$14*$D$46*$E$47</f>
        <v>6.4926782401272198E-2</v>
      </c>
      <c r="H47" s="44">
        <f t="shared" si="34"/>
        <v>0.1298535648025444</v>
      </c>
      <c r="I47" s="44">
        <f t="shared" si="34"/>
        <v>0.25970712960508879</v>
      </c>
      <c r="J47" s="44">
        <f t="shared" si="34"/>
        <v>0.51941425921017759</v>
      </c>
      <c r="K47" s="44">
        <f t="shared" si="34"/>
        <v>1.0388285184203552</v>
      </c>
      <c r="L47" s="44">
        <f t="shared" si="34"/>
        <v>2.0776570368407103</v>
      </c>
      <c r="M47" s="44">
        <f t="shared" si="34"/>
        <v>4.1553140736814207</v>
      </c>
      <c r="N47" s="44">
        <f t="shared" si="34"/>
        <v>8.3106281473628414</v>
      </c>
      <c r="O47" s="44">
        <f t="shared" si="34"/>
        <v>16.621256294725683</v>
      </c>
      <c r="P47" s="44">
        <f t="shared" si="34"/>
        <v>33.242512589451366</v>
      </c>
      <c r="Q47" s="44">
        <f t="shared" si="34"/>
        <v>66.485025178902731</v>
      </c>
      <c r="R47" s="44">
        <f t="shared" si="34"/>
        <v>132.97005035780546</v>
      </c>
      <c r="S47" s="44">
        <f t="shared" si="34"/>
        <v>265.94010071561092</v>
      </c>
      <c r="T47" s="44">
        <f t="shared" si="34"/>
        <v>531.88020143122185</v>
      </c>
      <c r="U47" s="44">
        <f t="shared" si="34"/>
        <v>1063.7604028624437</v>
      </c>
      <c r="V47" s="44">
        <f t="shared" si="34"/>
        <v>2127.5208057248874</v>
      </c>
      <c r="W47" s="44">
        <f t="shared" si="34"/>
        <v>4255.0416114497748</v>
      </c>
      <c r="X47" s="44">
        <f>X$14*$D$46*$E$47</f>
        <v>8510.0832228995496</v>
      </c>
      <c r="Y47" s="44">
        <f>Y$14*$D$46*$E$47</f>
        <v>17020.166445799099</v>
      </c>
      <c r="Z47" s="44">
        <f>Z$14*$D$46*$E$47</f>
        <v>34040.332891598198</v>
      </c>
      <c r="AA47" s="88">
        <f>AA$14*$D$46*$E$47</f>
        <v>53258.660482374762</v>
      </c>
      <c r="AB47" s="59"/>
    </row>
    <row r="48" spans="1:28" x14ac:dyDescent="0.25">
      <c r="A48" s="55" t="s">
        <v>17</v>
      </c>
      <c r="B48" s="18">
        <f>'ABS Population by Age Range'!D61</f>
        <v>0.12908272398046944</v>
      </c>
      <c r="C48" s="22">
        <f t="shared" si="28"/>
        <v>3308906.5465153535</v>
      </c>
      <c r="D48" s="99">
        <f>'AU Infection Rate by Age'!C8</f>
        <v>0.13252054068380598</v>
      </c>
      <c r="E48" s="31"/>
      <c r="F48" s="22"/>
      <c r="G48" s="34">
        <f>G$14*$D$48</f>
        <v>4.1412668963689372</v>
      </c>
      <c r="H48" s="35">
        <f t="shared" ref="H48:W48" si="35">H$14*$D$48</f>
        <v>8.2825337927378744</v>
      </c>
      <c r="I48" s="35">
        <f t="shared" si="35"/>
        <v>16.565067585475749</v>
      </c>
      <c r="J48" s="35">
        <f t="shared" si="35"/>
        <v>33.130135170951498</v>
      </c>
      <c r="K48" s="35">
        <f t="shared" si="35"/>
        <v>66.260270341902995</v>
      </c>
      <c r="L48" s="35">
        <f t="shared" si="35"/>
        <v>132.52054068380599</v>
      </c>
      <c r="M48" s="35">
        <f t="shared" si="35"/>
        <v>265.04108136761198</v>
      </c>
      <c r="N48" s="35">
        <f t="shared" si="35"/>
        <v>530.08216273522396</v>
      </c>
      <c r="O48" s="35">
        <f t="shared" si="35"/>
        <v>1060.1643254704479</v>
      </c>
      <c r="P48" s="35">
        <f t="shared" si="35"/>
        <v>2120.3286509408958</v>
      </c>
      <c r="Q48" s="35">
        <f t="shared" si="35"/>
        <v>4240.6573018817917</v>
      </c>
      <c r="R48" s="35">
        <f t="shared" si="35"/>
        <v>8481.3146037635834</v>
      </c>
      <c r="S48" s="35">
        <f t="shared" si="35"/>
        <v>16962.629207527167</v>
      </c>
      <c r="T48" s="35">
        <f t="shared" si="35"/>
        <v>33925.258415054333</v>
      </c>
      <c r="U48" s="35">
        <f t="shared" si="35"/>
        <v>67850.516830108667</v>
      </c>
      <c r="V48" s="35">
        <f t="shared" si="35"/>
        <v>135701.03366021733</v>
      </c>
      <c r="W48" s="35">
        <f t="shared" si="35"/>
        <v>271402.06732043467</v>
      </c>
      <c r="X48" s="35">
        <f>X$14*$D$48</f>
        <v>542804.13464086934</v>
      </c>
      <c r="Y48" s="35">
        <f>Y$14*$D$48</f>
        <v>1085608.2692817387</v>
      </c>
      <c r="Z48" s="35">
        <f>Z$14*$D$48</f>
        <v>2171216.5385634773</v>
      </c>
      <c r="AA48" s="98">
        <f>AA$14*$D$48</f>
        <v>3397031.5398886823</v>
      </c>
      <c r="AB48" s="59"/>
    </row>
    <row r="49" spans="1:28" x14ac:dyDescent="0.25">
      <c r="A49" s="55"/>
      <c r="B49" s="18"/>
      <c r="C49" s="22"/>
      <c r="D49" s="20"/>
      <c r="E49" s="41">
        <v>4.0000000000000001E-3</v>
      </c>
      <c r="F49" s="22"/>
      <c r="G49" s="43">
        <f>G$14*$D$48*$E$49</f>
        <v>1.6565067585475751E-2</v>
      </c>
      <c r="H49" s="44">
        <f t="shared" ref="H49:W49" si="36">H$14*$D$48*$E$49</f>
        <v>3.3130135170951501E-2</v>
      </c>
      <c r="I49" s="44">
        <f t="shared" si="36"/>
        <v>6.6260270341903002E-2</v>
      </c>
      <c r="J49" s="44">
        <f t="shared" si="36"/>
        <v>0.132520540683806</v>
      </c>
      <c r="K49" s="44">
        <f t="shared" si="36"/>
        <v>0.26504108136761201</v>
      </c>
      <c r="L49" s="44">
        <f t="shared" si="36"/>
        <v>0.53008216273522402</v>
      </c>
      <c r="M49" s="44">
        <f t="shared" si="36"/>
        <v>1.060164325470448</v>
      </c>
      <c r="N49" s="44">
        <f t="shared" si="36"/>
        <v>2.1203286509408961</v>
      </c>
      <c r="O49" s="44">
        <f t="shared" si="36"/>
        <v>4.2406573018817921</v>
      </c>
      <c r="P49" s="44">
        <f t="shared" si="36"/>
        <v>8.4813146037635843</v>
      </c>
      <c r="Q49" s="44">
        <f t="shared" si="36"/>
        <v>16.962629207527169</v>
      </c>
      <c r="R49" s="44">
        <f t="shared" si="36"/>
        <v>33.925258415054337</v>
      </c>
      <c r="S49" s="44">
        <f t="shared" si="36"/>
        <v>67.850516830108674</v>
      </c>
      <c r="T49" s="44">
        <f t="shared" si="36"/>
        <v>135.70103366021735</v>
      </c>
      <c r="U49" s="44">
        <f t="shared" si="36"/>
        <v>271.4020673204347</v>
      </c>
      <c r="V49" s="44">
        <f t="shared" si="36"/>
        <v>542.80413464086939</v>
      </c>
      <c r="W49" s="44">
        <f t="shared" si="36"/>
        <v>1085.6082692817388</v>
      </c>
      <c r="X49" s="44">
        <f>X$14*$D$48*$E$49</f>
        <v>2171.2165385634776</v>
      </c>
      <c r="Y49" s="44">
        <f>Y$14*$D$48*$E$49</f>
        <v>4342.4330771269551</v>
      </c>
      <c r="Z49" s="44">
        <f>Z$14*$D$48*$E$49</f>
        <v>8684.8661542539103</v>
      </c>
      <c r="AA49" s="88">
        <f>AA$14*$D$48*$E$49</f>
        <v>13588.126159554729</v>
      </c>
      <c r="AB49" s="59"/>
    </row>
    <row r="50" spans="1:28" x14ac:dyDescent="0.25">
      <c r="A50" s="55" t="s">
        <v>18</v>
      </c>
      <c r="B50" s="18">
        <f>'ABS Population by Age Range'!D49</f>
        <v>0.14481341657950456</v>
      </c>
      <c r="C50" s="22">
        <f t="shared" si="28"/>
        <v>3712147.1205990198</v>
      </c>
      <c r="D50" s="99">
        <f>'AU Infection Rate by Age'!C9</f>
        <v>0.15822952557646436</v>
      </c>
      <c r="E50" s="31"/>
      <c r="F50" s="22"/>
      <c r="G50" s="34">
        <f t="shared" ref="G50:W50" si="37">G$14*$D$50</f>
        <v>4.9446726742645115</v>
      </c>
      <c r="H50" s="35">
        <f t="shared" si="37"/>
        <v>9.889345348529023</v>
      </c>
      <c r="I50" s="35">
        <f t="shared" si="37"/>
        <v>19.778690697058046</v>
      </c>
      <c r="J50" s="35">
        <f t="shared" si="37"/>
        <v>39.557381394116092</v>
      </c>
      <c r="K50" s="35">
        <f t="shared" si="37"/>
        <v>79.114762788232184</v>
      </c>
      <c r="L50" s="35">
        <f t="shared" si="37"/>
        <v>158.22952557646437</v>
      </c>
      <c r="M50" s="35">
        <f t="shared" si="37"/>
        <v>316.45905115292874</v>
      </c>
      <c r="N50" s="35">
        <f t="shared" si="37"/>
        <v>632.91810230585747</v>
      </c>
      <c r="O50" s="35">
        <f t="shared" si="37"/>
        <v>1265.8362046117149</v>
      </c>
      <c r="P50" s="35">
        <f t="shared" si="37"/>
        <v>2531.6724092234299</v>
      </c>
      <c r="Q50" s="35">
        <f t="shared" si="37"/>
        <v>5063.3448184468598</v>
      </c>
      <c r="R50" s="35">
        <f t="shared" si="37"/>
        <v>10126.68963689372</v>
      </c>
      <c r="S50" s="35">
        <f t="shared" si="37"/>
        <v>20253.379273787439</v>
      </c>
      <c r="T50" s="35">
        <f t="shared" si="37"/>
        <v>40506.758547574878</v>
      </c>
      <c r="U50" s="35">
        <f t="shared" si="37"/>
        <v>81013.517095149757</v>
      </c>
      <c r="V50" s="35">
        <f t="shared" si="37"/>
        <v>162027.03419029951</v>
      </c>
      <c r="W50" s="35">
        <f t="shared" si="37"/>
        <v>324054.06838059903</v>
      </c>
      <c r="X50" s="35">
        <f>X$14*$D$50</f>
        <v>648108.13676119805</v>
      </c>
      <c r="Y50" s="35">
        <f>Y$14*$D$50</f>
        <v>1296216.2735223961</v>
      </c>
      <c r="Z50" s="35">
        <f>Z$14*$D$50</f>
        <v>2592432.5470447922</v>
      </c>
      <c r="AA50" s="98">
        <f>AA$14*$D$50</f>
        <v>4056055.6586270873</v>
      </c>
      <c r="AB50" s="59"/>
    </row>
    <row r="51" spans="1:28" x14ac:dyDescent="0.25">
      <c r="A51" s="55"/>
      <c r="B51" s="18"/>
      <c r="C51" s="22"/>
      <c r="D51" s="20"/>
      <c r="E51" s="41">
        <v>2E-3</v>
      </c>
      <c r="F51" s="22"/>
      <c r="G51" s="43">
        <f t="shared" ref="G51:W51" si="38">G$14*$D$50*$E$51</f>
        <v>9.8893453485290224E-3</v>
      </c>
      <c r="H51" s="44">
        <f t="shared" si="38"/>
        <v>1.9778690697058045E-2</v>
      </c>
      <c r="I51" s="44">
        <f t="shared" si="38"/>
        <v>3.955738139411609E-2</v>
      </c>
      <c r="J51" s="44">
        <f t="shared" si="38"/>
        <v>7.9114762788232179E-2</v>
      </c>
      <c r="K51" s="44">
        <f t="shared" si="38"/>
        <v>0.15822952557646436</v>
      </c>
      <c r="L51" s="44">
        <f t="shared" si="38"/>
        <v>0.31645905115292872</v>
      </c>
      <c r="M51" s="44">
        <f t="shared" si="38"/>
        <v>0.63291810230585743</v>
      </c>
      <c r="N51" s="44">
        <f t="shared" si="38"/>
        <v>1.2658362046117149</v>
      </c>
      <c r="O51" s="44">
        <f t="shared" si="38"/>
        <v>2.5316724092234297</v>
      </c>
      <c r="P51" s="44">
        <f t="shared" si="38"/>
        <v>5.0633448184468595</v>
      </c>
      <c r="Q51" s="44">
        <f t="shared" si="38"/>
        <v>10.126689636893719</v>
      </c>
      <c r="R51" s="44">
        <f t="shared" si="38"/>
        <v>20.253379273787438</v>
      </c>
      <c r="S51" s="44">
        <f t="shared" si="38"/>
        <v>40.506758547574876</v>
      </c>
      <c r="T51" s="44">
        <f t="shared" si="38"/>
        <v>81.013517095149751</v>
      </c>
      <c r="U51" s="44">
        <f t="shared" si="38"/>
        <v>162.0270341902995</v>
      </c>
      <c r="V51" s="44">
        <f t="shared" si="38"/>
        <v>324.05406838059901</v>
      </c>
      <c r="W51" s="44">
        <f t="shared" si="38"/>
        <v>648.10813676119801</v>
      </c>
      <c r="X51" s="44">
        <f>X$14*$D$50*$E$51</f>
        <v>1296.216273522396</v>
      </c>
      <c r="Y51" s="44">
        <f>Y$14*$D$50*$E$51</f>
        <v>2592.432547044792</v>
      </c>
      <c r="Z51" s="44">
        <f>Z$14*$D$50*$E$51</f>
        <v>5184.8650940895841</v>
      </c>
      <c r="AA51" s="88">
        <f>AA$14*$D$50*$E$51</f>
        <v>8112.1113172541745</v>
      </c>
      <c r="AB51" s="59"/>
    </row>
    <row r="52" spans="1:28" x14ac:dyDescent="0.25">
      <c r="A52" s="55" t="s">
        <v>19</v>
      </c>
      <c r="B52" s="18">
        <f>'ABS Population by Age Range'!D37</f>
        <v>0.14458334093878666</v>
      </c>
      <c r="C52" s="22">
        <f t="shared" si="28"/>
        <v>3706249.3616248574</v>
      </c>
      <c r="D52" s="99">
        <f>'AU Infection Rate by Age'!C10</f>
        <v>0.20408163265306123</v>
      </c>
      <c r="E52" s="31"/>
      <c r="F52" s="22"/>
      <c r="G52" s="34">
        <f t="shared" ref="G52:W52" si="39">G$14*$D$52</f>
        <v>6.3775510204081636</v>
      </c>
      <c r="H52" s="35">
        <f t="shared" si="39"/>
        <v>12.755102040816327</v>
      </c>
      <c r="I52" s="35">
        <f t="shared" si="39"/>
        <v>25.510204081632654</v>
      </c>
      <c r="J52" s="35">
        <f t="shared" si="39"/>
        <v>51.020408163265309</v>
      </c>
      <c r="K52" s="35">
        <f t="shared" si="39"/>
        <v>102.04081632653062</v>
      </c>
      <c r="L52" s="35">
        <f t="shared" si="39"/>
        <v>204.08163265306123</v>
      </c>
      <c r="M52" s="35">
        <f t="shared" si="39"/>
        <v>408.16326530612247</v>
      </c>
      <c r="N52" s="35">
        <f t="shared" si="39"/>
        <v>816.32653061224494</v>
      </c>
      <c r="O52" s="35">
        <f t="shared" si="39"/>
        <v>1632.6530612244899</v>
      </c>
      <c r="P52" s="35">
        <f t="shared" si="39"/>
        <v>3265.3061224489797</v>
      </c>
      <c r="Q52" s="35">
        <f t="shared" si="39"/>
        <v>6530.6122448979595</v>
      </c>
      <c r="R52" s="35">
        <f t="shared" si="39"/>
        <v>13061.224489795919</v>
      </c>
      <c r="S52" s="35">
        <f t="shared" si="39"/>
        <v>26122.448979591838</v>
      </c>
      <c r="T52" s="35">
        <f t="shared" si="39"/>
        <v>52244.897959183676</v>
      </c>
      <c r="U52" s="35">
        <f t="shared" si="39"/>
        <v>104489.79591836735</v>
      </c>
      <c r="V52" s="35">
        <f t="shared" si="39"/>
        <v>208979.5918367347</v>
      </c>
      <c r="W52" s="35">
        <f t="shared" si="39"/>
        <v>417959.18367346941</v>
      </c>
      <c r="X52" s="35">
        <f>X$14*$D$52</f>
        <v>835918.36734693882</v>
      </c>
      <c r="Y52" s="35">
        <f>Y$14*$D$52</f>
        <v>1671836.7346938776</v>
      </c>
      <c r="Z52" s="35">
        <f>Z$14*$D$52</f>
        <v>3343673.4693877553</v>
      </c>
      <c r="AA52" s="98">
        <f>AA$14*$D$52</f>
        <v>5231428.5714285718</v>
      </c>
      <c r="AB52" s="59"/>
    </row>
    <row r="53" spans="1:28" x14ac:dyDescent="0.25">
      <c r="A53" s="55"/>
      <c r="B53" s="18"/>
      <c r="C53" s="22"/>
      <c r="D53" s="20"/>
      <c r="E53" s="41">
        <v>2E-3</v>
      </c>
      <c r="F53" s="22"/>
      <c r="G53" s="43">
        <f t="shared" ref="G53:W53" si="40">G$14*$D$52*$E$53</f>
        <v>1.2755102040816327E-2</v>
      </c>
      <c r="H53" s="44">
        <f t="shared" si="40"/>
        <v>2.5510204081632654E-2</v>
      </c>
      <c r="I53" s="44">
        <f t="shared" si="40"/>
        <v>5.1020408163265307E-2</v>
      </c>
      <c r="J53" s="44">
        <f t="shared" si="40"/>
        <v>0.10204081632653061</v>
      </c>
      <c r="K53" s="44">
        <f t="shared" si="40"/>
        <v>0.20408163265306123</v>
      </c>
      <c r="L53" s="44">
        <f t="shared" si="40"/>
        <v>0.40816326530612246</v>
      </c>
      <c r="M53" s="44">
        <f t="shared" si="40"/>
        <v>0.81632653061224492</v>
      </c>
      <c r="N53" s="44">
        <f t="shared" si="40"/>
        <v>1.6326530612244898</v>
      </c>
      <c r="O53" s="44">
        <f t="shared" si="40"/>
        <v>3.2653061224489797</v>
      </c>
      <c r="P53" s="44">
        <f t="shared" si="40"/>
        <v>6.5306122448979593</v>
      </c>
      <c r="Q53" s="44">
        <f t="shared" si="40"/>
        <v>13.061224489795919</v>
      </c>
      <c r="R53" s="44">
        <f t="shared" si="40"/>
        <v>26.122448979591837</v>
      </c>
      <c r="S53" s="44">
        <f t="shared" si="40"/>
        <v>52.244897959183675</v>
      </c>
      <c r="T53" s="44">
        <f t="shared" si="40"/>
        <v>104.48979591836735</v>
      </c>
      <c r="U53" s="44">
        <f t="shared" si="40"/>
        <v>208.9795918367347</v>
      </c>
      <c r="V53" s="44">
        <f t="shared" si="40"/>
        <v>417.9591836734694</v>
      </c>
      <c r="W53" s="44">
        <f t="shared" si="40"/>
        <v>835.91836734693879</v>
      </c>
      <c r="X53" s="44">
        <f>X$14*$D$52*$E$53</f>
        <v>1671.8367346938776</v>
      </c>
      <c r="Y53" s="44">
        <f>Y$14*$D$52*$E$53</f>
        <v>3343.6734693877552</v>
      </c>
      <c r="Z53" s="44">
        <f>Z$14*$D$52*$E$53</f>
        <v>6687.3469387755104</v>
      </c>
      <c r="AA53" s="88">
        <f>AA$14*$D$52*$E$53</f>
        <v>10462.857142857143</v>
      </c>
      <c r="AB53" s="59"/>
    </row>
    <row r="54" spans="1:28" x14ac:dyDescent="0.25">
      <c r="A54" s="56" t="s">
        <v>20</v>
      </c>
      <c r="B54" s="18">
        <f>'ABS Population by Age Range'!D25</f>
        <v>0.12056476079328157</v>
      </c>
      <c r="C54" s="22">
        <f t="shared" si="28"/>
        <v>3090557.0781749799</v>
      </c>
      <c r="D54" s="37">
        <f>'AU Infection Rate by Age'!C11</f>
        <v>2.5708984892658361E-2</v>
      </c>
      <c r="E54" s="31"/>
      <c r="F54" s="22"/>
      <c r="G54" s="34">
        <f t="shared" ref="G54:W54" si="41">G$14*$D$54</f>
        <v>0.80340577789557377</v>
      </c>
      <c r="H54" s="35">
        <f t="shared" si="41"/>
        <v>1.6068115557911475</v>
      </c>
      <c r="I54" s="35">
        <f t="shared" si="41"/>
        <v>3.2136231115822951</v>
      </c>
      <c r="J54" s="35">
        <f t="shared" si="41"/>
        <v>6.4272462231645902</v>
      </c>
      <c r="K54" s="35">
        <f t="shared" si="41"/>
        <v>12.85449244632918</v>
      </c>
      <c r="L54" s="35">
        <f t="shared" si="41"/>
        <v>25.708984892658361</v>
      </c>
      <c r="M54" s="35">
        <f t="shared" si="41"/>
        <v>51.417969785316721</v>
      </c>
      <c r="N54" s="35">
        <f t="shared" si="41"/>
        <v>102.83593957063344</v>
      </c>
      <c r="O54" s="35">
        <f t="shared" si="41"/>
        <v>205.67187914126688</v>
      </c>
      <c r="P54" s="35">
        <f t="shared" si="41"/>
        <v>411.34375828253377</v>
      </c>
      <c r="Q54" s="35">
        <f t="shared" si="41"/>
        <v>822.68751656506754</v>
      </c>
      <c r="R54" s="35">
        <f t="shared" si="41"/>
        <v>1645.3750331301351</v>
      </c>
      <c r="S54" s="35">
        <f t="shared" si="41"/>
        <v>3290.7500662602702</v>
      </c>
      <c r="T54" s="35">
        <f t="shared" si="41"/>
        <v>6581.5001325205403</v>
      </c>
      <c r="U54" s="35">
        <f t="shared" si="41"/>
        <v>13163.000265041081</v>
      </c>
      <c r="V54" s="35">
        <f t="shared" si="41"/>
        <v>26326.000530082161</v>
      </c>
      <c r="W54" s="35">
        <f t="shared" si="41"/>
        <v>52652.001060164323</v>
      </c>
      <c r="X54" s="35">
        <f>X$14*$D$54</f>
        <v>105304.00212032865</v>
      </c>
      <c r="Y54" s="35">
        <f>Y$14*$D$54</f>
        <v>210608.00424065729</v>
      </c>
      <c r="Z54" s="35">
        <f>Z$14*$D$54</f>
        <v>421216.00848131458</v>
      </c>
      <c r="AA54" s="89">
        <f>AA$14*$D$54</f>
        <v>659024.11873840448</v>
      </c>
      <c r="AB54" s="59"/>
    </row>
    <row r="55" spans="1:28" x14ac:dyDescent="0.25">
      <c r="A55" s="56"/>
      <c r="B55" s="18"/>
      <c r="C55" s="22"/>
      <c r="D55" s="20"/>
      <c r="E55" s="41">
        <v>2E-3</v>
      </c>
      <c r="F55" s="22"/>
      <c r="G55" s="43">
        <f t="shared" ref="G55:W55" si="42">G$14*$D$54*$E$55</f>
        <v>1.6068115557911476E-3</v>
      </c>
      <c r="H55" s="44">
        <f t="shared" si="42"/>
        <v>3.2136231115822951E-3</v>
      </c>
      <c r="I55" s="44">
        <f t="shared" si="42"/>
        <v>6.4272462231645903E-3</v>
      </c>
      <c r="J55" s="44">
        <f t="shared" si="42"/>
        <v>1.2854492446329181E-2</v>
      </c>
      <c r="K55" s="44">
        <f t="shared" si="42"/>
        <v>2.5708984892658361E-2</v>
      </c>
      <c r="L55" s="44">
        <f t="shared" si="42"/>
        <v>5.1417969785316722E-2</v>
      </c>
      <c r="M55" s="44">
        <f t="shared" si="42"/>
        <v>0.10283593957063344</v>
      </c>
      <c r="N55" s="44">
        <f t="shared" si="42"/>
        <v>0.20567187914126689</v>
      </c>
      <c r="O55" s="44">
        <f t="shared" si="42"/>
        <v>0.41134375828253378</v>
      </c>
      <c r="P55" s="44">
        <f t="shared" si="42"/>
        <v>0.82268751656506756</v>
      </c>
      <c r="Q55" s="44">
        <f t="shared" si="42"/>
        <v>1.6453750331301351</v>
      </c>
      <c r="R55" s="44">
        <f t="shared" si="42"/>
        <v>3.2907500662602702</v>
      </c>
      <c r="S55" s="44">
        <f t="shared" si="42"/>
        <v>6.5815001325205404</v>
      </c>
      <c r="T55" s="44">
        <f t="shared" si="42"/>
        <v>13.163000265041081</v>
      </c>
      <c r="U55" s="44">
        <f t="shared" si="42"/>
        <v>26.326000530082162</v>
      </c>
      <c r="V55" s="44">
        <f t="shared" si="42"/>
        <v>52.652001060164324</v>
      </c>
      <c r="W55" s="44">
        <f t="shared" si="42"/>
        <v>105.30400212032865</v>
      </c>
      <c r="X55" s="44">
        <f>X$14*$D$54*$E$55</f>
        <v>210.60800424065729</v>
      </c>
      <c r="Y55" s="44">
        <f>Y$14*$D$54*$E$55</f>
        <v>421.21600848131459</v>
      </c>
      <c r="Z55" s="44">
        <f>Z$14*$D$54*$E$55</f>
        <v>842.43201696262918</v>
      </c>
      <c r="AA55" s="88">
        <f>AA$14*$D$54*$E$55</f>
        <v>1318.0482374768089</v>
      </c>
      <c r="AB55" s="59"/>
    </row>
    <row r="56" spans="1:28" x14ac:dyDescent="0.25">
      <c r="A56" s="56" t="s">
        <v>21</v>
      </c>
      <c r="B56" s="18">
        <f>'ABS Population by Age Range'!D13</f>
        <v>0.1255958322404806</v>
      </c>
      <c r="C56" s="22">
        <f t="shared" si="28"/>
        <v>3219523.5636524796</v>
      </c>
      <c r="D56" s="37">
        <f>'AU Infection Rate by Age'!C12</f>
        <v>7.1561091969255235E-3</v>
      </c>
      <c r="E56" s="31"/>
      <c r="F56" s="22"/>
      <c r="G56" s="34">
        <f t="shared" ref="G56:W56" si="43">G$14*$D$56</f>
        <v>0.22362841240392262</v>
      </c>
      <c r="H56" s="35">
        <f t="shared" si="43"/>
        <v>0.44725682480784523</v>
      </c>
      <c r="I56" s="35">
        <f t="shared" si="43"/>
        <v>0.89451364961569046</v>
      </c>
      <c r="J56" s="35">
        <f t="shared" si="43"/>
        <v>1.7890272992313809</v>
      </c>
      <c r="K56" s="35">
        <f t="shared" si="43"/>
        <v>3.5780545984627619</v>
      </c>
      <c r="L56" s="35">
        <f t="shared" si="43"/>
        <v>7.1561091969255237</v>
      </c>
      <c r="M56" s="35">
        <f t="shared" si="43"/>
        <v>14.312218393851047</v>
      </c>
      <c r="N56" s="35">
        <f t="shared" si="43"/>
        <v>28.624436787702095</v>
      </c>
      <c r="O56" s="35">
        <f t="shared" si="43"/>
        <v>57.24887357540419</v>
      </c>
      <c r="P56" s="35">
        <f t="shared" si="43"/>
        <v>114.49774715080838</v>
      </c>
      <c r="Q56" s="35">
        <f t="shared" si="43"/>
        <v>228.99549430161676</v>
      </c>
      <c r="R56" s="35">
        <f t="shared" si="43"/>
        <v>457.99098860323352</v>
      </c>
      <c r="S56" s="35">
        <f t="shared" si="43"/>
        <v>915.98197720646704</v>
      </c>
      <c r="T56" s="35">
        <f t="shared" si="43"/>
        <v>1831.9639544129341</v>
      </c>
      <c r="U56" s="35">
        <f t="shared" si="43"/>
        <v>3663.9279088258681</v>
      </c>
      <c r="V56" s="35">
        <f t="shared" si="43"/>
        <v>7327.8558176517363</v>
      </c>
      <c r="W56" s="35">
        <f t="shared" si="43"/>
        <v>14655.711635303473</v>
      </c>
      <c r="X56" s="35">
        <f>X$14*$D$56</f>
        <v>29311.423270606945</v>
      </c>
      <c r="Y56" s="35">
        <f>Y$14*$D$56</f>
        <v>58622.84654121389</v>
      </c>
      <c r="Z56" s="35">
        <f>Z$14*$D$56</f>
        <v>117245.69308242778</v>
      </c>
      <c r="AA56" s="89">
        <f>AA$14*$D$56</f>
        <v>183439.70315398887</v>
      </c>
      <c r="AB56" s="59"/>
    </row>
    <row r="57" spans="1:28" x14ac:dyDescent="0.25">
      <c r="A57" s="56"/>
      <c r="B57" s="19"/>
      <c r="C57" s="24"/>
      <c r="D57" s="40"/>
      <c r="E57" s="42">
        <v>0</v>
      </c>
      <c r="F57" s="22"/>
      <c r="G57" s="45">
        <f t="shared" ref="G57:W57" si="44">G$14*$D$56*$E$57</f>
        <v>0</v>
      </c>
      <c r="H57" s="46">
        <f t="shared" si="44"/>
        <v>0</v>
      </c>
      <c r="I57" s="46">
        <f t="shared" si="44"/>
        <v>0</v>
      </c>
      <c r="J57" s="46">
        <f t="shared" si="44"/>
        <v>0</v>
      </c>
      <c r="K57" s="46">
        <f t="shared" si="44"/>
        <v>0</v>
      </c>
      <c r="L57" s="46">
        <f t="shared" si="44"/>
        <v>0</v>
      </c>
      <c r="M57" s="46">
        <f t="shared" si="44"/>
        <v>0</v>
      </c>
      <c r="N57" s="46">
        <f t="shared" si="44"/>
        <v>0</v>
      </c>
      <c r="O57" s="46">
        <f t="shared" si="44"/>
        <v>0</v>
      </c>
      <c r="P57" s="46">
        <f t="shared" si="44"/>
        <v>0</v>
      </c>
      <c r="Q57" s="46">
        <f t="shared" si="44"/>
        <v>0</v>
      </c>
      <c r="R57" s="46">
        <f t="shared" si="44"/>
        <v>0</v>
      </c>
      <c r="S57" s="46">
        <f t="shared" si="44"/>
        <v>0</v>
      </c>
      <c r="T57" s="46">
        <f t="shared" si="44"/>
        <v>0</v>
      </c>
      <c r="U57" s="46">
        <f t="shared" si="44"/>
        <v>0</v>
      </c>
      <c r="V57" s="46">
        <f t="shared" si="44"/>
        <v>0</v>
      </c>
      <c r="W57" s="46">
        <f t="shared" si="44"/>
        <v>0</v>
      </c>
      <c r="X57" s="46">
        <f>X$14*$D$56*$E$57</f>
        <v>0</v>
      </c>
      <c r="Y57" s="46">
        <f>Y$14*$D$56*$E$57</f>
        <v>0</v>
      </c>
      <c r="Z57" s="46">
        <f>Z$14*$D$56*$E$57</f>
        <v>0</v>
      </c>
      <c r="AA57" s="90">
        <f>AA$14*$D$56*$E$57</f>
        <v>0</v>
      </c>
      <c r="AB57" s="59"/>
    </row>
    <row r="58" spans="1:28" x14ac:dyDescent="0.25">
      <c r="A58" s="55" t="s">
        <v>131</v>
      </c>
      <c r="B58" s="28"/>
      <c r="C58" s="22"/>
      <c r="D58" s="22"/>
      <c r="E58" s="29"/>
      <c r="F58" s="22"/>
      <c r="G58" s="32">
        <f t="shared" ref="G58:W58" si="45">SUM(G40,G42,G44,G46,G48,G50,G52,G54,G56)</f>
        <v>31.25</v>
      </c>
      <c r="H58" s="33">
        <f t="shared" si="45"/>
        <v>62.5</v>
      </c>
      <c r="I58" s="33">
        <f t="shared" si="45"/>
        <v>125</v>
      </c>
      <c r="J58" s="33">
        <f t="shared" si="45"/>
        <v>250</v>
      </c>
      <c r="K58" s="33">
        <f t="shared" si="45"/>
        <v>500</v>
      </c>
      <c r="L58" s="33">
        <f>SUM(L40,L42,L44,L46,L48,L50,L52,L54,L56)</f>
        <v>1000</v>
      </c>
      <c r="M58" s="33">
        <f t="shared" si="45"/>
        <v>2000</v>
      </c>
      <c r="N58" s="33">
        <f t="shared" si="45"/>
        <v>4000</v>
      </c>
      <c r="O58" s="33">
        <f t="shared" si="45"/>
        <v>8000</v>
      </c>
      <c r="P58" s="33">
        <f t="shared" si="45"/>
        <v>16000</v>
      </c>
      <c r="Q58" s="33">
        <f t="shared" si="45"/>
        <v>32000</v>
      </c>
      <c r="R58" s="33">
        <f t="shared" si="45"/>
        <v>64000</v>
      </c>
      <c r="S58" s="33">
        <f t="shared" si="45"/>
        <v>128000</v>
      </c>
      <c r="T58" s="33">
        <f t="shared" si="45"/>
        <v>256000</v>
      </c>
      <c r="U58" s="33">
        <f t="shared" si="45"/>
        <v>512000</v>
      </c>
      <c r="V58" s="33">
        <f t="shared" si="45"/>
        <v>1024000</v>
      </c>
      <c r="W58" s="33">
        <f t="shared" si="45"/>
        <v>2048000</v>
      </c>
      <c r="X58" s="33">
        <f t="shared" ref="X58:AA59" si="46">SUM(X40,X42,X44,X46,X48,X50,X52,X54,X56)</f>
        <v>4096000</v>
      </c>
      <c r="Y58" s="33">
        <f t="shared" si="46"/>
        <v>8192000</v>
      </c>
      <c r="Z58" s="33">
        <f t="shared" si="46"/>
        <v>16384000</v>
      </c>
      <c r="AA58" s="76">
        <f t="shared" si="46"/>
        <v>25634000</v>
      </c>
      <c r="AB58" s="59"/>
    </row>
    <row r="59" spans="1:28" x14ac:dyDescent="0.25">
      <c r="A59" s="57" t="s">
        <v>130</v>
      </c>
      <c r="B59" s="58"/>
      <c r="C59" s="24"/>
      <c r="D59" s="24"/>
      <c r="E59" s="52"/>
      <c r="F59" s="24"/>
      <c r="G59" s="45">
        <f>SUM(G41,G43,G45,G47,G49,G51,G53,G55,G57)</f>
        <v>0.70679002120328638</v>
      </c>
      <c r="H59" s="46">
        <f>SUM(H41,H43,H45,H47,H49,H51,H53,H55,H57)</f>
        <v>1.4135800424065728</v>
      </c>
      <c r="I59" s="46">
        <f t="shared" ref="I59:W59" si="47">SUM(I41,I43,I45,I47,I49,I51,I53,I55,I57)</f>
        <v>2.8271600848131455</v>
      </c>
      <c r="J59" s="46">
        <f t="shared" si="47"/>
        <v>5.654320169626291</v>
      </c>
      <c r="K59" s="46">
        <f t="shared" si="47"/>
        <v>11.308640339252582</v>
      </c>
      <c r="L59" s="46">
        <f t="shared" si="47"/>
        <v>22.617280678505164</v>
      </c>
      <c r="M59" s="46">
        <f t="shared" si="47"/>
        <v>45.234561357010328</v>
      </c>
      <c r="N59" s="46">
        <f t="shared" si="47"/>
        <v>90.469122714020656</v>
      </c>
      <c r="O59" s="46">
        <f t="shared" si="47"/>
        <v>180.93824542804131</v>
      </c>
      <c r="P59" s="46">
        <f t="shared" si="47"/>
        <v>361.87649085608263</v>
      </c>
      <c r="Q59" s="46">
        <f t="shared" si="47"/>
        <v>723.75298171216525</v>
      </c>
      <c r="R59" s="46">
        <f t="shared" si="47"/>
        <v>1447.5059634243305</v>
      </c>
      <c r="S59" s="46">
        <f t="shared" si="47"/>
        <v>2895.011926848661</v>
      </c>
      <c r="T59" s="46">
        <f t="shared" si="47"/>
        <v>5790.023853697322</v>
      </c>
      <c r="U59" s="46">
        <f t="shared" si="47"/>
        <v>11580.047707394644</v>
      </c>
      <c r="V59" s="46">
        <f t="shared" si="47"/>
        <v>23160.095414789288</v>
      </c>
      <c r="W59" s="46">
        <f t="shared" si="47"/>
        <v>46320.190829578576</v>
      </c>
      <c r="X59" s="46">
        <f t="shared" si="46"/>
        <v>92640.381659157152</v>
      </c>
      <c r="Y59" s="46">
        <f t="shared" si="46"/>
        <v>185280.7633183143</v>
      </c>
      <c r="Z59" s="46">
        <f t="shared" si="46"/>
        <v>370561.52663662861</v>
      </c>
      <c r="AA59" s="90">
        <f t="shared" si="46"/>
        <v>579771.37291280145</v>
      </c>
      <c r="AB59" s="59"/>
    </row>
    <row r="60" spans="1:28" x14ac:dyDescent="0.25">
      <c r="A60" s="56"/>
      <c r="B60" s="28"/>
      <c r="C60" s="22"/>
      <c r="D60" s="22"/>
      <c r="E60" s="29"/>
      <c r="F60" s="22"/>
      <c r="G60" s="59"/>
      <c r="H60" s="59"/>
      <c r="I60" s="59"/>
      <c r="J60" s="59"/>
      <c r="K60" s="59"/>
      <c r="L60" s="59"/>
      <c r="M60" s="59"/>
      <c r="N60" s="59"/>
      <c r="O60" s="59"/>
      <c r="P60" s="59"/>
      <c r="Q60" s="59"/>
      <c r="R60" s="59"/>
      <c r="S60" s="59"/>
      <c r="T60" s="59"/>
      <c r="U60" s="59"/>
      <c r="V60" s="59"/>
      <c r="W60" s="59"/>
      <c r="X60" s="59"/>
    </row>
    <row r="61" spans="1:28" x14ac:dyDescent="0.25">
      <c r="A61" s="70" t="s">
        <v>144</v>
      </c>
      <c r="B61" s="28"/>
      <c r="C61" s="22"/>
      <c r="D61" s="22"/>
      <c r="E61" s="29"/>
      <c r="F61" s="22"/>
      <c r="G61" s="59"/>
      <c r="H61" s="59"/>
      <c r="I61" s="59"/>
      <c r="J61" s="59"/>
      <c r="K61" s="59"/>
      <c r="L61" s="59"/>
      <c r="M61" s="59"/>
      <c r="N61" s="59"/>
      <c r="O61" s="59"/>
      <c r="P61" s="59"/>
      <c r="Q61" s="59"/>
      <c r="R61" s="59"/>
      <c r="S61" s="59"/>
      <c r="T61" s="59"/>
      <c r="U61" s="59"/>
      <c r="V61" s="59"/>
      <c r="W61" s="59"/>
      <c r="X61" s="59"/>
    </row>
    <row r="62" spans="1:28" x14ac:dyDescent="0.25">
      <c r="A62" s="16"/>
      <c r="B62" s="21" t="s">
        <v>6</v>
      </c>
      <c r="C62" s="21" t="s">
        <v>4</v>
      </c>
      <c r="D62" s="21"/>
      <c r="E62" s="75" t="s">
        <v>3</v>
      </c>
      <c r="F62" s="21"/>
      <c r="G62" s="21"/>
      <c r="H62" s="21"/>
      <c r="I62" s="21"/>
      <c r="J62" s="21"/>
      <c r="K62" s="21"/>
      <c r="L62" s="21"/>
      <c r="M62" s="21"/>
      <c r="N62" s="21"/>
      <c r="O62" s="21"/>
      <c r="P62" s="21"/>
      <c r="Q62" s="21"/>
      <c r="R62" s="21"/>
      <c r="S62" s="21"/>
      <c r="T62" s="21"/>
      <c r="U62" s="21"/>
      <c r="V62" s="21"/>
      <c r="W62" s="21"/>
      <c r="X62" s="21"/>
      <c r="Y62" s="21"/>
      <c r="Z62" s="21"/>
      <c r="AA62" s="17"/>
      <c r="AB62" s="61"/>
    </row>
    <row r="63" spans="1:28" x14ac:dyDescent="0.25">
      <c r="A63" s="55" t="s">
        <v>2</v>
      </c>
      <c r="B63" s="38">
        <v>0.05</v>
      </c>
      <c r="C63" s="22">
        <f>$B$1 * B63</f>
        <v>1281700</v>
      </c>
      <c r="D63" s="30"/>
      <c r="E63" s="30"/>
      <c r="F63" s="30"/>
      <c r="G63" s="32">
        <f>G$14*$B$63</f>
        <v>1.5625</v>
      </c>
      <c r="H63" s="33">
        <f t="shared" ref="H63:W63" si="48">H$14*$B$63</f>
        <v>3.125</v>
      </c>
      <c r="I63" s="33">
        <f t="shared" si="48"/>
        <v>6.25</v>
      </c>
      <c r="J63" s="33">
        <f t="shared" si="48"/>
        <v>12.5</v>
      </c>
      <c r="K63" s="33">
        <f t="shared" si="48"/>
        <v>25</v>
      </c>
      <c r="L63" s="33">
        <f t="shared" si="48"/>
        <v>50</v>
      </c>
      <c r="M63" s="33">
        <f t="shared" si="48"/>
        <v>100</v>
      </c>
      <c r="N63" s="33">
        <f t="shared" si="48"/>
        <v>200</v>
      </c>
      <c r="O63" s="33">
        <f t="shared" si="48"/>
        <v>400</v>
      </c>
      <c r="P63" s="33">
        <f t="shared" si="48"/>
        <v>800</v>
      </c>
      <c r="Q63" s="33">
        <f t="shared" si="48"/>
        <v>1600</v>
      </c>
      <c r="R63" s="33">
        <f t="shared" si="48"/>
        <v>3200</v>
      </c>
      <c r="S63" s="33">
        <f t="shared" si="48"/>
        <v>6400</v>
      </c>
      <c r="T63" s="33">
        <f t="shared" si="48"/>
        <v>12800</v>
      </c>
      <c r="U63" s="33">
        <f t="shared" si="48"/>
        <v>25600</v>
      </c>
      <c r="V63" s="33">
        <f t="shared" si="48"/>
        <v>51200</v>
      </c>
      <c r="W63" s="33">
        <f t="shared" si="48"/>
        <v>102400</v>
      </c>
      <c r="X63" s="33">
        <f>X$14*$B$63</f>
        <v>204800</v>
      </c>
      <c r="Y63" s="33">
        <f>Y$14*$B$63</f>
        <v>409600</v>
      </c>
      <c r="Z63" s="33">
        <f>Z$14*$B$63</f>
        <v>819200</v>
      </c>
      <c r="AA63" s="76">
        <f>AA$14*$B$63</f>
        <v>1281700</v>
      </c>
      <c r="AB63" s="59"/>
    </row>
    <row r="64" spans="1:28" x14ac:dyDescent="0.25">
      <c r="A64" s="55"/>
      <c r="B64" s="30"/>
      <c r="C64" s="30"/>
      <c r="D64" s="39"/>
      <c r="E64" s="60">
        <v>0.105</v>
      </c>
      <c r="F64" s="30"/>
      <c r="G64" s="43">
        <f>G63*$E$64</f>
        <v>0.1640625</v>
      </c>
      <c r="H64" s="44">
        <f t="shared" ref="H64:W64" si="49">H63*$E$64</f>
        <v>0.328125</v>
      </c>
      <c r="I64" s="44">
        <f t="shared" si="49"/>
        <v>0.65625</v>
      </c>
      <c r="J64" s="44">
        <f t="shared" si="49"/>
        <v>1.3125</v>
      </c>
      <c r="K64" s="44">
        <f t="shared" si="49"/>
        <v>2.625</v>
      </c>
      <c r="L64" s="44">
        <f t="shared" si="49"/>
        <v>5.25</v>
      </c>
      <c r="M64" s="44">
        <f t="shared" si="49"/>
        <v>10.5</v>
      </c>
      <c r="N64" s="44">
        <f t="shared" si="49"/>
        <v>21</v>
      </c>
      <c r="O64" s="44">
        <f t="shared" si="49"/>
        <v>42</v>
      </c>
      <c r="P64" s="44">
        <f t="shared" si="49"/>
        <v>84</v>
      </c>
      <c r="Q64" s="44">
        <f t="shared" si="49"/>
        <v>168</v>
      </c>
      <c r="R64" s="44">
        <f t="shared" si="49"/>
        <v>336</v>
      </c>
      <c r="S64" s="44">
        <f t="shared" si="49"/>
        <v>672</v>
      </c>
      <c r="T64" s="44">
        <f t="shared" si="49"/>
        <v>1344</v>
      </c>
      <c r="U64" s="44">
        <f t="shared" si="49"/>
        <v>2688</v>
      </c>
      <c r="V64" s="44">
        <f t="shared" si="49"/>
        <v>5376</v>
      </c>
      <c r="W64" s="44">
        <f t="shared" si="49"/>
        <v>10752</v>
      </c>
      <c r="X64" s="44">
        <f>X63*$E$64</f>
        <v>21504</v>
      </c>
      <c r="Y64" s="44">
        <f>Y63*$E$64</f>
        <v>43008</v>
      </c>
      <c r="Z64" s="44">
        <f>Z63*$E$64</f>
        <v>86016</v>
      </c>
      <c r="AA64" s="88">
        <f>AA63*$E$64</f>
        <v>134578.5</v>
      </c>
      <c r="AB64" s="59"/>
    </row>
    <row r="65" spans="1:28" x14ac:dyDescent="0.25">
      <c r="A65" s="55" t="s">
        <v>5</v>
      </c>
      <c r="B65" s="38">
        <v>4.5999999999999999E-2</v>
      </c>
      <c r="C65" s="22">
        <f>$B$1 * B65</f>
        <v>1179164</v>
      </c>
      <c r="D65" s="61"/>
      <c r="E65" s="30"/>
      <c r="F65" s="30"/>
      <c r="G65" s="34">
        <f t="shared" ref="G65:W65" si="50">G$14*$B$65</f>
        <v>1.4375</v>
      </c>
      <c r="H65" s="35">
        <f t="shared" si="50"/>
        <v>2.875</v>
      </c>
      <c r="I65" s="35">
        <f t="shared" si="50"/>
        <v>5.75</v>
      </c>
      <c r="J65" s="35">
        <f t="shared" si="50"/>
        <v>11.5</v>
      </c>
      <c r="K65" s="35">
        <f t="shared" si="50"/>
        <v>23</v>
      </c>
      <c r="L65" s="35">
        <f t="shared" si="50"/>
        <v>46</v>
      </c>
      <c r="M65" s="35">
        <f t="shared" si="50"/>
        <v>92</v>
      </c>
      <c r="N65" s="35">
        <f t="shared" si="50"/>
        <v>184</v>
      </c>
      <c r="O65" s="35">
        <f t="shared" si="50"/>
        <v>368</v>
      </c>
      <c r="P65" s="35">
        <f t="shared" si="50"/>
        <v>736</v>
      </c>
      <c r="Q65" s="35">
        <f t="shared" si="50"/>
        <v>1472</v>
      </c>
      <c r="R65" s="35">
        <f t="shared" si="50"/>
        <v>2944</v>
      </c>
      <c r="S65" s="35">
        <f t="shared" si="50"/>
        <v>5888</v>
      </c>
      <c r="T65" s="35">
        <f t="shared" si="50"/>
        <v>11776</v>
      </c>
      <c r="U65" s="35">
        <f t="shared" si="50"/>
        <v>23552</v>
      </c>
      <c r="V65" s="35">
        <f t="shared" si="50"/>
        <v>47104</v>
      </c>
      <c r="W65" s="35">
        <f t="shared" si="50"/>
        <v>94208</v>
      </c>
      <c r="X65" s="35">
        <f>X$14*$B$65</f>
        <v>188416</v>
      </c>
      <c r="Y65" s="35">
        <f>Y$14*$B$65</f>
        <v>376832</v>
      </c>
      <c r="Z65" s="35">
        <f>Z$14*$B$65</f>
        <v>753664</v>
      </c>
      <c r="AA65" s="89">
        <f>AA$14*$B$65</f>
        <v>1179164</v>
      </c>
      <c r="AB65" s="59"/>
    </row>
    <row r="66" spans="1:28" x14ac:dyDescent="0.25">
      <c r="A66" s="55"/>
      <c r="B66" s="30"/>
      <c r="C66" s="30"/>
      <c r="D66" s="39"/>
      <c r="E66" s="60">
        <v>7.2999999999999995E-2</v>
      </c>
      <c r="F66" s="30"/>
      <c r="G66" s="43">
        <f t="shared" ref="G66:W66" si="51">G65*$E$66</f>
        <v>0.10493749999999999</v>
      </c>
      <c r="H66" s="44">
        <f t="shared" si="51"/>
        <v>0.20987499999999998</v>
      </c>
      <c r="I66" s="44">
        <f t="shared" si="51"/>
        <v>0.41974999999999996</v>
      </c>
      <c r="J66" s="44">
        <f t="shared" si="51"/>
        <v>0.83949999999999991</v>
      </c>
      <c r="K66" s="44">
        <f t="shared" si="51"/>
        <v>1.6789999999999998</v>
      </c>
      <c r="L66" s="44">
        <f t="shared" si="51"/>
        <v>3.3579999999999997</v>
      </c>
      <c r="M66" s="44">
        <f t="shared" si="51"/>
        <v>6.7159999999999993</v>
      </c>
      <c r="N66" s="44">
        <f t="shared" si="51"/>
        <v>13.431999999999999</v>
      </c>
      <c r="O66" s="44">
        <f t="shared" si="51"/>
        <v>26.863999999999997</v>
      </c>
      <c r="P66" s="44">
        <f t="shared" si="51"/>
        <v>53.727999999999994</v>
      </c>
      <c r="Q66" s="44">
        <f t="shared" si="51"/>
        <v>107.45599999999999</v>
      </c>
      <c r="R66" s="44">
        <f t="shared" si="51"/>
        <v>214.91199999999998</v>
      </c>
      <c r="S66" s="44">
        <f t="shared" si="51"/>
        <v>429.82399999999996</v>
      </c>
      <c r="T66" s="44">
        <f t="shared" si="51"/>
        <v>859.64799999999991</v>
      </c>
      <c r="U66" s="44">
        <f t="shared" si="51"/>
        <v>1719.2959999999998</v>
      </c>
      <c r="V66" s="44">
        <f t="shared" si="51"/>
        <v>3438.5919999999996</v>
      </c>
      <c r="W66" s="44">
        <f t="shared" si="51"/>
        <v>6877.1839999999993</v>
      </c>
      <c r="X66" s="44">
        <f>X65*$E$66</f>
        <v>13754.367999999999</v>
      </c>
      <c r="Y66" s="44">
        <f>Y65*$E$66</f>
        <v>27508.735999999997</v>
      </c>
      <c r="Z66" s="44">
        <f>Z65*$E$66</f>
        <v>55017.471999999994</v>
      </c>
      <c r="AA66" s="88">
        <f>AA65*$E$66</f>
        <v>86078.971999999994</v>
      </c>
      <c r="AB66" s="59"/>
    </row>
    <row r="67" spans="1:28" x14ac:dyDescent="0.25">
      <c r="A67" s="55" t="s">
        <v>7</v>
      </c>
      <c r="B67" s="38">
        <v>0.31</v>
      </c>
      <c r="C67" s="22">
        <f>$B$1 * B67</f>
        <v>7946540</v>
      </c>
      <c r="D67" s="61"/>
      <c r="E67" s="30"/>
      <c r="F67" s="30"/>
      <c r="G67" s="34">
        <f t="shared" ref="G67:W67" si="52">G$14*$B$67</f>
        <v>9.6875</v>
      </c>
      <c r="H67" s="35">
        <f t="shared" si="52"/>
        <v>19.375</v>
      </c>
      <c r="I67" s="35">
        <f t="shared" si="52"/>
        <v>38.75</v>
      </c>
      <c r="J67" s="35">
        <f t="shared" si="52"/>
        <v>77.5</v>
      </c>
      <c r="K67" s="35">
        <f t="shared" si="52"/>
        <v>155</v>
      </c>
      <c r="L67" s="35">
        <f t="shared" si="52"/>
        <v>310</v>
      </c>
      <c r="M67" s="35">
        <f t="shared" si="52"/>
        <v>620</v>
      </c>
      <c r="N67" s="35">
        <f t="shared" si="52"/>
        <v>1240</v>
      </c>
      <c r="O67" s="35">
        <f t="shared" si="52"/>
        <v>2480</v>
      </c>
      <c r="P67" s="35">
        <f t="shared" si="52"/>
        <v>4960</v>
      </c>
      <c r="Q67" s="35">
        <f t="shared" si="52"/>
        <v>9920</v>
      </c>
      <c r="R67" s="35">
        <f t="shared" si="52"/>
        <v>19840</v>
      </c>
      <c r="S67" s="35">
        <f t="shared" si="52"/>
        <v>39680</v>
      </c>
      <c r="T67" s="35">
        <f t="shared" si="52"/>
        <v>79360</v>
      </c>
      <c r="U67" s="35">
        <f t="shared" si="52"/>
        <v>158720</v>
      </c>
      <c r="V67" s="35">
        <f t="shared" si="52"/>
        <v>317440</v>
      </c>
      <c r="W67" s="35">
        <f t="shared" si="52"/>
        <v>634880</v>
      </c>
      <c r="X67" s="35">
        <f>X$14*$B$67</f>
        <v>1269760</v>
      </c>
      <c r="Y67" s="35">
        <f>Y$14*$B$67</f>
        <v>2539520</v>
      </c>
      <c r="Z67" s="35">
        <f>Z$14*$B$67</f>
        <v>5079040</v>
      </c>
      <c r="AA67" s="89">
        <f>AA$14*$B$67</f>
        <v>7946540</v>
      </c>
      <c r="AB67" s="59"/>
    </row>
    <row r="68" spans="1:28" x14ac:dyDescent="0.25">
      <c r="A68" s="55"/>
      <c r="B68" s="30"/>
      <c r="C68" s="30"/>
      <c r="D68" s="39"/>
      <c r="E68" s="60">
        <v>6.3E-2</v>
      </c>
      <c r="F68" s="30"/>
      <c r="G68" s="43">
        <f t="shared" ref="G68:W68" si="53">G67*$E$68</f>
        <v>0.61031250000000004</v>
      </c>
      <c r="H68" s="44">
        <f t="shared" si="53"/>
        <v>1.2206250000000001</v>
      </c>
      <c r="I68" s="44">
        <f t="shared" si="53"/>
        <v>2.4412500000000001</v>
      </c>
      <c r="J68" s="44">
        <f t="shared" si="53"/>
        <v>4.8825000000000003</v>
      </c>
      <c r="K68" s="44">
        <f t="shared" si="53"/>
        <v>9.7650000000000006</v>
      </c>
      <c r="L68" s="44">
        <f t="shared" si="53"/>
        <v>19.53</v>
      </c>
      <c r="M68" s="44">
        <f t="shared" si="53"/>
        <v>39.06</v>
      </c>
      <c r="N68" s="44">
        <f t="shared" si="53"/>
        <v>78.12</v>
      </c>
      <c r="O68" s="44">
        <f t="shared" si="53"/>
        <v>156.24</v>
      </c>
      <c r="P68" s="44">
        <f t="shared" si="53"/>
        <v>312.48</v>
      </c>
      <c r="Q68" s="44">
        <f t="shared" si="53"/>
        <v>624.96</v>
      </c>
      <c r="R68" s="44">
        <f t="shared" si="53"/>
        <v>1249.92</v>
      </c>
      <c r="S68" s="44">
        <f t="shared" si="53"/>
        <v>2499.84</v>
      </c>
      <c r="T68" s="44">
        <f t="shared" si="53"/>
        <v>4999.68</v>
      </c>
      <c r="U68" s="44">
        <f t="shared" si="53"/>
        <v>9999.36</v>
      </c>
      <c r="V68" s="44">
        <f t="shared" si="53"/>
        <v>19998.72</v>
      </c>
      <c r="W68" s="44">
        <f t="shared" si="53"/>
        <v>39997.440000000002</v>
      </c>
      <c r="X68" s="44">
        <f>X67*$E$68</f>
        <v>79994.880000000005</v>
      </c>
      <c r="Y68" s="44">
        <f>Y67*$E$68</f>
        <v>159989.76000000001</v>
      </c>
      <c r="Z68" s="44">
        <f>Z67*$E$68</f>
        <v>319979.52000000002</v>
      </c>
      <c r="AA68" s="88">
        <f>AA67*$E$68</f>
        <v>500632.02</v>
      </c>
      <c r="AB68" s="59"/>
    </row>
    <row r="69" spans="1:28" x14ac:dyDescent="0.25">
      <c r="A69" s="55" t="s">
        <v>8</v>
      </c>
      <c r="B69" s="38">
        <v>0.33700000000000002</v>
      </c>
      <c r="C69" s="22">
        <f>$B$1 * B69</f>
        <v>8638658</v>
      </c>
      <c r="D69" s="61"/>
      <c r="E69" s="30"/>
      <c r="F69" s="30"/>
      <c r="G69" s="34">
        <f t="shared" ref="G69:W69" si="54">G$14*$B$69</f>
        <v>10.53125</v>
      </c>
      <c r="H69" s="35">
        <f t="shared" si="54"/>
        <v>21.0625</v>
      </c>
      <c r="I69" s="35">
        <f t="shared" si="54"/>
        <v>42.125</v>
      </c>
      <c r="J69" s="35">
        <f t="shared" si="54"/>
        <v>84.25</v>
      </c>
      <c r="K69" s="35">
        <f t="shared" si="54"/>
        <v>168.5</v>
      </c>
      <c r="L69" s="35">
        <f t="shared" si="54"/>
        <v>337</v>
      </c>
      <c r="M69" s="35">
        <f t="shared" si="54"/>
        <v>674</v>
      </c>
      <c r="N69" s="35">
        <f t="shared" si="54"/>
        <v>1348</v>
      </c>
      <c r="O69" s="35">
        <f t="shared" si="54"/>
        <v>2696</v>
      </c>
      <c r="P69" s="35">
        <f t="shared" si="54"/>
        <v>5392</v>
      </c>
      <c r="Q69" s="35">
        <f t="shared" si="54"/>
        <v>10784</v>
      </c>
      <c r="R69" s="35">
        <f t="shared" si="54"/>
        <v>21568</v>
      </c>
      <c r="S69" s="35">
        <f t="shared" si="54"/>
        <v>43136</v>
      </c>
      <c r="T69" s="35">
        <f t="shared" si="54"/>
        <v>86272</v>
      </c>
      <c r="U69" s="35">
        <f t="shared" si="54"/>
        <v>172544</v>
      </c>
      <c r="V69" s="35">
        <f t="shared" si="54"/>
        <v>345088</v>
      </c>
      <c r="W69" s="35">
        <f t="shared" si="54"/>
        <v>690176</v>
      </c>
      <c r="X69" s="35">
        <f>X$14*$B$69</f>
        <v>1380352</v>
      </c>
      <c r="Y69" s="35">
        <f>Y$14*$B$69</f>
        <v>2760704</v>
      </c>
      <c r="Z69" s="35">
        <f>Z$14*$B$69</f>
        <v>5521408</v>
      </c>
      <c r="AA69" s="89">
        <f>AA$14*$B$69</f>
        <v>8638658</v>
      </c>
      <c r="AB69" s="59"/>
    </row>
    <row r="70" spans="1:28" x14ac:dyDescent="0.25">
      <c r="A70" s="55"/>
      <c r="B70" s="30"/>
      <c r="C70" s="30"/>
      <c r="D70" s="39"/>
      <c r="E70" s="60">
        <v>0.06</v>
      </c>
      <c r="F70" s="30"/>
      <c r="G70" s="43">
        <f t="shared" ref="G70:W70" si="55">G69*$E$70</f>
        <v>0.63187499999999996</v>
      </c>
      <c r="H70" s="44">
        <f t="shared" si="55"/>
        <v>1.2637499999999999</v>
      </c>
      <c r="I70" s="44">
        <f t="shared" si="55"/>
        <v>2.5274999999999999</v>
      </c>
      <c r="J70" s="44">
        <f t="shared" si="55"/>
        <v>5.0549999999999997</v>
      </c>
      <c r="K70" s="44">
        <f t="shared" si="55"/>
        <v>10.11</v>
      </c>
      <c r="L70" s="44">
        <f t="shared" si="55"/>
        <v>20.22</v>
      </c>
      <c r="M70" s="44">
        <f t="shared" si="55"/>
        <v>40.44</v>
      </c>
      <c r="N70" s="44">
        <f t="shared" si="55"/>
        <v>80.88</v>
      </c>
      <c r="O70" s="44">
        <f t="shared" si="55"/>
        <v>161.76</v>
      </c>
      <c r="P70" s="44">
        <f t="shared" si="55"/>
        <v>323.52</v>
      </c>
      <c r="Q70" s="44">
        <f t="shared" si="55"/>
        <v>647.04</v>
      </c>
      <c r="R70" s="44">
        <f t="shared" si="55"/>
        <v>1294.08</v>
      </c>
      <c r="S70" s="44">
        <f t="shared" si="55"/>
        <v>2588.16</v>
      </c>
      <c r="T70" s="44">
        <f t="shared" si="55"/>
        <v>5176.32</v>
      </c>
      <c r="U70" s="44">
        <f t="shared" si="55"/>
        <v>10352.64</v>
      </c>
      <c r="V70" s="44">
        <f t="shared" si="55"/>
        <v>20705.28</v>
      </c>
      <c r="W70" s="44">
        <f t="shared" si="55"/>
        <v>41410.559999999998</v>
      </c>
      <c r="X70" s="44">
        <f>X69*$E$70</f>
        <v>82821.119999999995</v>
      </c>
      <c r="Y70" s="44">
        <f>Y69*$E$70</f>
        <v>165642.23999999999</v>
      </c>
      <c r="Z70" s="44">
        <f>Z69*$E$70</f>
        <v>331284.47999999998</v>
      </c>
      <c r="AA70" s="88">
        <f>AA69*$E$70</f>
        <v>518319.48</v>
      </c>
      <c r="AB70" s="59"/>
    </row>
    <row r="71" spans="1:28" x14ac:dyDescent="0.25">
      <c r="A71" s="55" t="s">
        <v>9</v>
      </c>
      <c r="B71" s="38">
        <v>1.4999999999999999E-2</v>
      </c>
      <c r="C71" s="22">
        <f>$B$1 * B71</f>
        <v>384510</v>
      </c>
      <c r="D71" s="61"/>
      <c r="E71" s="30"/>
      <c r="F71" s="30"/>
      <c r="G71" s="34">
        <f t="shared" ref="G71:W71" si="56">G$14*$B$71</f>
        <v>0.46875</v>
      </c>
      <c r="H71" s="35">
        <f t="shared" si="56"/>
        <v>0.9375</v>
      </c>
      <c r="I71" s="35">
        <f t="shared" si="56"/>
        <v>1.875</v>
      </c>
      <c r="J71" s="35">
        <f t="shared" si="56"/>
        <v>3.75</v>
      </c>
      <c r="K71" s="35">
        <f t="shared" si="56"/>
        <v>7.5</v>
      </c>
      <c r="L71" s="35">
        <f t="shared" si="56"/>
        <v>15</v>
      </c>
      <c r="M71" s="35">
        <f t="shared" si="56"/>
        <v>30</v>
      </c>
      <c r="N71" s="35">
        <f t="shared" si="56"/>
        <v>60</v>
      </c>
      <c r="O71" s="35">
        <f t="shared" si="56"/>
        <v>120</v>
      </c>
      <c r="P71" s="35">
        <f t="shared" si="56"/>
        <v>240</v>
      </c>
      <c r="Q71" s="35">
        <f t="shared" si="56"/>
        <v>480</v>
      </c>
      <c r="R71" s="35">
        <f t="shared" si="56"/>
        <v>960</v>
      </c>
      <c r="S71" s="35">
        <f t="shared" si="56"/>
        <v>1920</v>
      </c>
      <c r="T71" s="35">
        <f t="shared" si="56"/>
        <v>3840</v>
      </c>
      <c r="U71" s="35">
        <f t="shared" si="56"/>
        <v>7680</v>
      </c>
      <c r="V71" s="35">
        <f t="shared" si="56"/>
        <v>15360</v>
      </c>
      <c r="W71" s="35">
        <f t="shared" si="56"/>
        <v>30720</v>
      </c>
      <c r="X71" s="35">
        <f>X$14*$B$71</f>
        <v>61440</v>
      </c>
      <c r="Y71" s="35">
        <f>Y$14*$B$71</f>
        <v>122880</v>
      </c>
      <c r="Z71" s="35">
        <f>Z$14*$B$71</f>
        <v>245760</v>
      </c>
      <c r="AA71" s="89">
        <f>AA$14*$B$71</f>
        <v>384510</v>
      </c>
      <c r="AB71" s="59"/>
    </row>
    <row r="72" spans="1:28" x14ac:dyDescent="0.25">
      <c r="A72" s="55"/>
      <c r="B72" s="30"/>
      <c r="C72" s="30"/>
      <c r="D72" s="39"/>
      <c r="E72" s="60">
        <v>5.6000000000000001E-2</v>
      </c>
      <c r="F72" s="30"/>
      <c r="G72" s="43">
        <f t="shared" ref="G72:W72" si="57">G71*$E$72</f>
        <v>2.6249999999999999E-2</v>
      </c>
      <c r="H72" s="44">
        <f t="shared" si="57"/>
        <v>5.2499999999999998E-2</v>
      </c>
      <c r="I72" s="44">
        <f t="shared" si="57"/>
        <v>0.105</v>
      </c>
      <c r="J72" s="44">
        <f t="shared" si="57"/>
        <v>0.21</v>
      </c>
      <c r="K72" s="44">
        <f t="shared" si="57"/>
        <v>0.42</v>
      </c>
      <c r="L72" s="44">
        <f t="shared" si="57"/>
        <v>0.84</v>
      </c>
      <c r="M72" s="44">
        <f t="shared" si="57"/>
        <v>1.68</v>
      </c>
      <c r="N72" s="44">
        <f t="shared" si="57"/>
        <v>3.36</v>
      </c>
      <c r="O72" s="44">
        <f t="shared" si="57"/>
        <v>6.72</v>
      </c>
      <c r="P72" s="44">
        <f t="shared" si="57"/>
        <v>13.44</v>
      </c>
      <c r="Q72" s="44">
        <f t="shared" si="57"/>
        <v>26.88</v>
      </c>
      <c r="R72" s="44">
        <f t="shared" si="57"/>
        <v>53.76</v>
      </c>
      <c r="S72" s="44">
        <f t="shared" si="57"/>
        <v>107.52</v>
      </c>
      <c r="T72" s="44">
        <f t="shared" si="57"/>
        <v>215.04</v>
      </c>
      <c r="U72" s="44">
        <f t="shared" si="57"/>
        <v>430.08</v>
      </c>
      <c r="V72" s="44">
        <f t="shared" si="57"/>
        <v>860.16</v>
      </c>
      <c r="W72" s="44">
        <f t="shared" si="57"/>
        <v>1720.32</v>
      </c>
      <c r="X72" s="44">
        <f>X71*$E$72</f>
        <v>3440.64</v>
      </c>
      <c r="Y72" s="44">
        <f>Y71*$E$72</f>
        <v>6881.28</v>
      </c>
      <c r="Z72" s="44">
        <f>Z71*$E$72</f>
        <v>13762.56</v>
      </c>
      <c r="AA72" s="88">
        <f>AA71*$E$72</f>
        <v>21532.560000000001</v>
      </c>
      <c r="AB72" s="59"/>
    </row>
    <row r="73" spans="1:28" x14ac:dyDescent="0.25">
      <c r="A73" s="55" t="s">
        <v>10</v>
      </c>
      <c r="B73" s="38">
        <v>0.161</v>
      </c>
      <c r="C73" s="22">
        <f>$B$1 * B73</f>
        <v>4127074</v>
      </c>
      <c r="D73" s="61"/>
      <c r="E73" s="30"/>
      <c r="F73" s="30"/>
      <c r="G73" s="34">
        <f t="shared" ref="G73:W73" si="58">G$14*$B$73</f>
        <v>5.03125</v>
      </c>
      <c r="H73" s="35">
        <f t="shared" si="58"/>
        <v>10.0625</v>
      </c>
      <c r="I73" s="35">
        <f t="shared" si="58"/>
        <v>20.125</v>
      </c>
      <c r="J73" s="35">
        <f t="shared" si="58"/>
        <v>40.25</v>
      </c>
      <c r="K73" s="35">
        <f t="shared" si="58"/>
        <v>80.5</v>
      </c>
      <c r="L73" s="35">
        <f t="shared" si="58"/>
        <v>161</v>
      </c>
      <c r="M73" s="35">
        <f t="shared" si="58"/>
        <v>322</v>
      </c>
      <c r="N73" s="35">
        <f t="shared" si="58"/>
        <v>644</v>
      </c>
      <c r="O73" s="35">
        <f t="shared" si="58"/>
        <v>1288</v>
      </c>
      <c r="P73" s="35">
        <f t="shared" si="58"/>
        <v>2576</v>
      </c>
      <c r="Q73" s="35">
        <f t="shared" si="58"/>
        <v>5152</v>
      </c>
      <c r="R73" s="35">
        <f t="shared" si="58"/>
        <v>10304</v>
      </c>
      <c r="S73" s="35">
        <f t="shared" si="58"/>
        <v>20608</v>
      </c>
      <c r="T73" s="35">
        <f t="shared" si="58"/>
        <v>41216</v>
      </c>
      <c r="U73" s="35">
        <f t="shared" si="58"/>
        <v>82432</v>
      </c>
      <c r="V73" s="35">
        <f t="shared" si="58"/>
        <v>164864</v>
      </c>
      <c r="W73" s="35">
        <f t="shared" si="58"/>
        <v>329728</v>
      </c>
      <c r="X73" s="35">
        <f>X$14*$B$73</f>
        <v>659456</v>
      </c>
      <c r="Y73" s="35">
        <f>Y$14*$B$73</f>
        <v>1318912</v>
      </c>
      <c r="Z73" s="35">
        <f>Z$14*$B$73</f>
        <v>2637824</v>
      </c>
      <c r="AA73" s="89">
        <f>AA$14*$B$73</f>
        <v>4127074</v>
      </c>
      <c r="AB73" s="59"/>
    </row>
    <row r="74" spans="1:28" x14ac:dyDescent="0.25">
      <c r="A74" s="51"/>
      <c r="B74" s="53"/>
      <c r="C74" s="53"/>
      <c r="D74" s="71"/>
      <c r="E74" s="72" t="s">
        <v>11</v>
      </c>
      <c r="F74" s="53"/>
      <c r="G74" s="45" t="s">
        <v>11</v>
      </c>
      <c r="H74" s="46" t="s">
        <v>11</v>
      </c>
      <c r="I74" s="46" t="s">
        <v>11</v>
      </c>
      <c r="J74" s="46" t="s">
        <v>11</v>
      </c>
      <c r="K74" s="46" t="s">
        <v>11</v>
      </c>
      <c r="L74" s="46" t="s">
        <v>11</v>
      </c>
      <c r="M74" s="46" t="s">
        <v>11</v>
      </c>
      <c r="N74" s="46" t="s">
        <v>11</v>
      </c>
      <c r="O74" s="46" t="s">
        <v>11</v>
      </c>
      <c r="P74" s="46" t="s">
        <v>11</v>
      </c>
      <c r="Q74" s="46" t="s">
        <v>11</v>
      </c>
      <c r="R74" s="46" t="s">
        <v>11</v>
      </c>
      <c r="S74" s="46" t="s">
        <v>11</v>
      </c>
      <c r="T74" s="46" t="s">
        <v>11</v>
      </c>
      <c r="U74" s="46" t="s">
        <v>11</v>
      </c>
      <c r="V74" s="46" t="s">
        <v>11</v>
      </c>
      <c r="W74" s="46" t="s">
        <v>11</v>
      </c>
      <c r="X74" s="46" t="s">
        <v>11</v>
      </c>
      <c r="Y74" s="46" t="s">
        <v>11</v>
      </c>
      <c r="Z74" s="46" t="s">
        <v>11</v>
      </c>
      <c r="AA74" s="90" t="s">
        <v>11</v>
      </c>
      <c r="AB74" s="59"/>
    </row>
    <row r="75" spans="1:28" x14ac:dyDescent="0.25">
      <c r="A75" s="55"/>
      <c r="B75" s="30"/>
      <c r="C75" s="30"/>
      <c r="D75" s="61"/>
      <c r="E75" s="30"/>
      <c r="F75" s="30"/>
      <c r="G75" s="34">
        <f>SUM(G63,G65,G67,G69,G71,G73)</f>
        <v>28.71875</v>
      </c>
      <c r="H75" s="35">
        <f t="shared" ref="H75:W75" si="59">SUM(H63,H65,H67,H69,H71,H73)</f>
        <v>57.4375</v>
      </c>
      <c r="I75" s="35">
        <f t="shared" si="59"/>
        <v>114.875</v>
      </c>
      <c r="J75" s="35">
        <f t="shared" si="59"/>
        <v>229.75</v>
      </c>
      <c r="K75" s="35">
        <f t="shared" si="59"/>
        <v>459.5</v>
      </c>
      <c r="L75" s="35">
        <f t="shared" si="59"/>
        <v>919</v>
      </c>
      <c r="M75" s="35">
        <f>SUM(M63,M65,M67,M69,M71,M73)</f>
        <v>1838</v>
      </c>
      <c r="N75" s="35">
        <f t="shared" si="59"/>
        <v>3676</v>
      </c>
      <c r="O75" s="35">
        <f t="shared" si="59"/>
        <v>7352</v>
      </c>
      <c r="P75" s="35">
        <f t="shared" si="59"/>
        <v>14704</v>
      </c>
      <c r="Q75" s="35">
        <f t="shared" si="59"/>
        <v>29408</v>
      </c>
      <c r="R75" s="35">
        <f t="shared" si="59"/>
        <v>58816</v>
      </c>
      <c r="S75" s="35">
        <f t="shared" si="59"/>
        <v>117632</v>
      </c>
      <c r="T75" s="35">
        <f t="shared" si="59"/>
        <v>235264</v>
      </c>
      <c r="U75" s="35">
        <f t="shared" si="59"/>
        <v>470528</v>
      </c>
      <c r="V75" s="35">
        <f t="shared" si="59"/>
        <v>941056</v>
      </c>
      <c r="W75" s="35">
        <f t="shared" si="59"/>
        <v>1882112</v>
      </c>
      <c r="X75" s="35">
        <f t="shared" ref="X75:AA76" si="60">SUM(X63,X65,X67,X69,X71,X73)</f>
        <v>3764224</v>
      </c>
      <c r="Y75" s="35">
        <f t="shared" si="60"/>
        <v>7528448</v>
      </c>
      <c r="Z75" s="35">
        <f t="shared" si="60"/>
        <v>15056896</v>
      </c>
      <c r="AA75" s="89">
        <f t="shared" si="60"/>
        <v>23557646</v>
      </c>
      <c r="AB75" s="59"/>
    </row>
    <row r="76" spans="1:28" x14ac:dyDescent="0.25">
      <c r="A76" s="51" t="s">
        <v>133</v>
      </c>
      <c r="B76" s="53"/>
      <c r="C76" s="53"/>
      <c r="D76" s="53"/>
      <c r="E76" s="53"/>
      <c r="F76" s="53"/>
      <c r="G76" s="45">
        <f>SUM(G64,G66,G68,G70,G72,G74)</f>
        <v>1.5374375000000002</v>
      </c>
      <c r="H76" s="46">
        <f t="shared" ref="H76:W76" si="61">SUM(H64,H66,H68,H70,H72,H74)</f>
        <v>3.0748750000000005</v>
      </c>
      <c r="I76" s="46">
        <f t="shared" si="61"/>
        <v>6.1497500000000009</v>
      </c>
      <c r="J76" s="46">
        <f t="shared" si="61"/>
        <v>12.299500000000002</v>
      </c>
      <c r="K76" s="46">
        <f t="shared" si="61"/>
        <v>24.599000000000004</v>
      </c>
      <c r="L76" s="46">
        <f t="shared" si="61"/>
        <v>49.198000000000008</v>
      </c>
      <c r="M76" s="46">
        <f t="shared" si="61"/>
        <v>98.396000000000015</v>
      </c>
      <c r="N76" s="46">
        <f t="shared" si="61"/>
        <v>196.79200000000003</v>
      </c>
      <c r="O76" s="46">
        <f t="shared" si="61"/>
        <v>393.58400000000006</v>
      </c>
      <c r="P76" s="46">
        <f t="shared" si="61"/>
        <v>787.16800000000012</v>
      </c>
      <c r="Q76" s="46">
        <f t="shared" si="61"/>
        <v>1574.3360000000002</v>
      </c>
      <c r="R76" s="46">
        <f t="shared" si="61"/>
        <v>3148.6720000000005</v>
      </c>
      <c r="S76" s="46">
        <f t="shared" si="61"/>
        <v>6297.344000000001</v>
      </c>
      <c r="T76" s="46">
        <f t="shared" si="61"/>
        <v>12594.688000000002</v>
      </c>
      <c r="U76" s="46">
        <f t="shared" si="61"/>
        <v>25189.376000000004</v>
      </c>
      <c r="V76" s="46">
        <f t="shared" si="61"/>
        <v>50378.752000000008</v>
      </c>
      <c r="W76" s="46">
        <f t="shared" si="61"/>
        <v>100757.50400000002</v>
      </c>
      <c r="X76" s="46">
        <f t="shared" si="60"/>
        <v>201515.00800000003</v>
      </c>
      <c r="Y76" s="46">
        <f t="shared" si="60"/>
        <v>403030.01600000006</v>
      </c>
      <c r="Z76" s="46">
        <f t="shared" si="60"/>
        <v>806060.03200000012</v>
      </c>
      <c r="AA76" s="90">
        <f t="shared" si="60"/>
        <v>1261141.5320000001</v>
      </c>
      <c r="AB76" s="59"/>
    </row>
  </sheetData>
  <conditionalFormatting sqref="G21:Z21">
    <cfRule type="cellIs" dxfId="1" priority="2" operator="greaterThan">
      <formula>$C$4</formula>
    </cfRule>
  </conditionalFormatting>
  <conditionalFormatting sqref="G23:Z23">
    <cfRule type="cellIs" dxfId="0" priority="1" operator="greaterThan">
      <formula>$C$5</formula>
    </cfRule>
  </conditionalFormatting>
  <hyperlinks>
    <hyperlink ref="D39" r:id="rId1" xr:uid="{98D6456F-EA03-4FCB-8D3D-1822F6B38CCF}"/>
    <hyperlink ref="E39" r:id="rId2" location="case-fatality-rate-of-covid-19-by-age" xr:uid="{0058192C-B05A-45D2-8597-C1F9B3D9241E}"/>
    <hyperlink ref="E62" r:id="rId3" location="case-fatality-rate-of-covid-19-by-preexisting-health-conditions" xr:uid="{110A2613-24A6-4768-B90C-571B307D13E2}"/>
    <hyperlink ref="B1" r:id="rId4" display="https://www.abs.gov.au/ausstats/abs@.nsf/0/1647509ef7e25faaca2568a900154b63?opendocument" xr:uid="{63727E5E-0850-4414-8DD8-E50A09A5AEE8}"/>
    <hyperlink ref="B39" r:id="rId5" xr:uid="{E432DB14-5D35-4B35-8F24-1C070D7F22B3}"/>
  </hyperlinks>
  <pageMargins left="0.7" right="0.7" top="0.75" bottom="0.75" header="0.3" footer="0.3"/>
  <pageSetup paperSize="9" orientation="portrait" horizontalDpi="0" verticalDpi="0"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2C88-CD5D-4DB8-876B-F718C1E8501B}">
  <dimension ref="A1:L108"/>
  <sheetViews>
    <sheetView workbookViewId="0">
      <selection activeCell="K15" sqref="K15"/>
    </sheetView>
  </sheetViews>
  <sheetFormatPr defaultRowHeight="15" x14ac:dyDescent="0.25"/>
  <sheetData>
    <row r="1" spans="1:12" x14ac:dyDescent="0.25">
      <c r="A1" t="s">
        <v>129</v>
      </c>
      <c r="B1" t="s">
        <v>150</v>
      </c>
    </row>
    <row r="2" spans="1:12" x14ac:dyDescent="0.25">
      <c r="A2" s="6" t="s">
        <v>22</v>
      </c>
      <c r="B2" s="7">
        <v>302684</v>
      </c>
      <c r="L2" s="94"/>
    </row>
    <row r="3" spans="1:12" x14ac:dyDescent="0.25">
      <c r="A3" s="8" t="s">
        <v>23</v>
      </c>
      <c r="B3" s="9">
        <v>304818</v>
      </c>
      <c r="L3" s="94"/>
    </row>
    <row r="4" spans="1:12" x14ac:dyDescent="0.25">
      <c r="A4" s="8" t="s">
        <v>24</v>
      </c>
      <c r="B4" s="9">
        <v>311200</v>
      </c>
      <c r="L4" s="94"/>
    </row>
    <row r="5" spans="1:12" x14ac:dyDescent="0.25">
      <c r="A5" s="8" t="s">
        <v>25</v>
      </c>
      <c r="B5" s="9">
        <v>326896</v>
      </c>
      <c r="L5" s="94"/>
    </row>
    <row r="6" spans="1:12" x14ac:dyDescent="0.25">
      <c r="A6" s="8" t="s">
        <v>26</v>
      </c>
      <c r="B6" s="9">
        <v>321565</v>
      </c>
      <c r="L6" s="94"/>
    </row>
    <row r="7" spans="1:12" x14ac:dyDescent="0.25">
      <c r="A7" s="10" t="s">
        <v>27</v>
      </c>
      <c r="B7" s="11">
        <v>1567163</v>
      </c>
      <c r="L7" s="95"/>
    </row>
    <row r="8" spans="1:12" x14ac:dyDescent="0.25">
      <c r="A8" s="8" t="s">
        <v>28</v>
      </c>
      <c r="B8" s="9">
        <v>321643</v>
      </c>
      <c r="L8" s="94"/>
    </row>
    <row r="9" spans="1:12" x14ac:dyDescent="0.25">
      <c r="A9" s="8" t="s">
        <v>29</v>
      </c>
      <c r="B9" s="9">
        <v>326729</v>
      </c>
      <c r="L9" s="94"/>
    </row>
    <row r="10" spans="1:12" x14ac:dyDescent="0.25">
      <c r="A10" s="8" t="s">
        <v>30</v>
      </c>
      <c r="B10" s="9">
        <v>323562</v>
      </c>
      <c r="L10" s="94"/>
    </row>
    <row r="11" spans="1:12" x14ac:dyDescent="0.25">
      <c r="A11" s="8" t="s">
        <v>31</v>
      </c>
      <c r="B11" s="9">
        <v>322648</v>
      </c>
      <c r="L11" s="94"/>
    </row>
    <row r="12" spans="1:12" x14ac:dyDescent="0.25">
      <c r="A12" s="8" t="s">
        <v>32</v>
      </c>
      <c r="B12" s="9">
        <v>324065</v>
      </c>
      <c r="L12" s="94"/>
    </row>
    <row r="13" spans="1:12" x14ac:dyDescent="0.25">
      <c r="A13" s="12" t="s">
        <v>33</v>
      </c>
      <c r="B13" s="13">
        <v>1618647</v>
      </c>
      <c r="C13" s="2">
        <f>SUM(B7,B13)</f>
        <v>3185810</v>
      </c>
      <c r="D13" s="1">
        <f>C13/$B$108</f>
        <v>0.1255958322404806</v>
      </c>
      <c r="L13" s="95"/>
    </row>
    <row r="14" spans="1:12" x14ac:dyDescent="0.25">
      <c r="A14" s="6" t="s">
        <v>34</v>
      </c>
      <c r="B14" s="7">
        <v>319703</v>
      </c>
      <c r="L14" s="94"/>
    </row>
    <row r="15" spans="1:12" x14ac:dyDescent="0.25">
      <c r="A15" s="8" t="s">
        <v>35</v>
      </c>
      <c r="B15" s="9">
        <v>319972</v>
      </c>
      <c r="L15" s="94"/>
    </row>
    <row r="16" spans="1:12" x14ac:dyDescent="0.25">
      <c r="A16" s="8" t="s">
        <v>36</v>
      </c>
      <c r="B16" s="9">
        <v>316523</v>
      </c>
      <c r="L16" s="94"/>
    </row>
    <row r="17" spans="1:12" x14ac:dyDescent="0.25">
      <c r="A17" s="8" t="s">
        <v>37</v>
      </c>
      <c r="B17" s="9">
        <v>305472</v>
      </c>
      <c r="L17" s="94"/>
    </row>
    <row r="18" spans="1:12" x14ac:dyDescent="0.25">
      <c r="A18" s="8" t="s">
        <v>38</v>
      </c>
      <c r="B18" s="9">
        <v>294067</v>
      </c>
      <c r="L18" s="94"/>
    </row>
    <row r="19" spans="1:12" x14ac:dyDescent="0.25">
      <c r="A19" s="10" t="s">
        <v>39</v>
      </c>
      <c r="B19" s="11">
        <v>1555737</v>
      </c>
      <c r="L19" s="95"/>
    </row>
    <row r="20" spans="1:12" x14ac:dyDescent="0.25">
      <c r="A20" s="8" t="s">
        <v>40</v>
      </c>
      <c r="B20" s="9">
        <v>290601</v>
      </c>
      <c r="L20" s="94"/>
    </row>
    <row r="21" spans="1:12" x14ac:dyDescent="0.25">
      <c r="A21" s="8" t="s">
        <v>41</v>
      </c>
      <c r="B21" s="9">
        <v>288611</v>
      </c>
      <c r="L21" s="94"/>
    </row>
    <row r="22" spans="1:12" x14ac:dyDescent="0.25">
      <c r="A22" s="8" t="s">
        <v>42</v>
      </c>
      <c r="B22" s="9">
        <v>290316</v>
      </c>
      <c r="L22" s="94"/>
    </row>
    <row r="23" spans="1:12" x14ac:dyDescent="0.25">
      <c r="A23" s="8" t="s">
        <v>43</v>
      </c>
      <c r="B23" s="9">
        <v>307634</v>
      </c>
      <c r="L23" s="94"/>
    </row>
    <row r="24" spans="1:12" x14ac:dyDescent="0.25">
      <c r="A24" s="8" t="s">
        <v>44</v>
      </c>
      <c r="B24" s="9">
        <v>325295</v>
      </c>
      <c r="L24" s="94"/>
    </row>
    <row r="25" spans="1:12" x14ac:dyDescent="0.25">
      <c r="A25" s="12" t="s">
        <v>45</v>
      </c>
      <c r="B25" s="13">
        <v>1502457</v>
      </c>
      <c r="C25" s="2">
        <f>SUM(B25,B19)</f>
        <v>3058194</v>
      </c>
      <c r="D25" s="1">
        <f>C25/$B$108</f>
        <v>0.12056476079328157</v>
      </c>
      <c r="L25" s="95"/>
    </row>
    <row r="26" spans="1:12" x14ac:dyDescent="0.25">
      <c r="A26" s="6" t="s">
        <v>46</v>
      </c>
      <c r="B26" s="7">
        <v>330388</v>
      </c>
      <c r="L26" s="94"/>
    </row>
    <row r="27" spans="1:12" x14ac:dyDescent="0.25">
      <c r="A27" s="8" t="s">
        <v>47</v>
      </c>
      <c r="B27" s="9">
        <v>335483</v>
      </c>
      <c r="L27" s="94"/>
    </row>
    <row r="28" spans="1:12" x14ac:dyDescent="0.25">
      <c r="A28" s="8" t="s">
        <v>48</v>
      </c>
      <c r="B28" s="9">
        <v>347121</v>
      </c>
      <c r="L28" s="94"/>
    </row>
    <row r="29" spans="1:12" x14ac:dyDescent="0.25">
      <c r="A29" s="8" t="s">
        <v>49</v>
      </c>
      <c r="B29" s="9">
        <v>365323</v>
      </c>
      <c r="L29" s="94"/>
    </row>
    <row r="30" spans="1:12" x14ac:dyDescent="0.25">
      <c r="A30" s="8" t="s">
        <v>50</v>
      </c>
      <c r="B30" s="9">
        <v>380725</v>
      </c>
      <c r="L30" s="94"/>
    </row>
    <row r="31" spans="1:12" x14ac:dyDescent="0.25">
      <c r="A31" s="10" t="s">
        <v>51</v>
      </c>
      <c r="B31" s="11">
        <v>1759040</v>
      </c>
      <c r="L31" s="95"/>
    </row>
    <row r="32" spans="1:12" x14ac:dyDescent="0.25">
      <c r="A32" s="8" t="s">
        <v>52</v>
      </c>
      <c r="B32" s="9">
        <v>379564</v>
      </c>
      <c r="L32" s="94"/>
    </row>
    <row r="33" spans="1:12" x14ac:dyDescent="0.25">
      <c r="A33" s="8" t="s">
        <v>53</v>
      </c>
      <c r="B33" s="9">
        <v>376903</v>
      </c>
      <c r="L33" s="94"/>
    </row>
    <row r="34" spans="1:12" x14ac:dyDescent="0.25">
      <c r="A34" s="8" t="s">
        <v>54</v>
      </c>
      <c r="B34" s="9">
        <v>378326</v>
      </c>
      <c r="L34" s="94"/>
    </row>
    <row r="35" spans="1:12" x14ac:dyDescent="0.25">
      <c r="A35" s="8" t="s">
        <v>55</v>
      </c>
      <c r="B35" s="9">
        <v>384454</v>
      </c>
      <c r="L35" s="94"/>
    </row>
    <row r="36" spans="1:12" x14ac:dyDescent="0.25">
      <c r="A36" s="8" t="s">
        <v>56</v>
      </c>
      <c r="B36" s="9">
        <v>389152</v>
      </c>
      <c r="L36" s="94"/>
    </row>
    <row r="37" spans="1:12" x14ac:dyDescent="0.25">
      <c r="A37" s="12" t="s">
        <v>57</v>
      </c>
      <c r="B37" s="13">
        <v>1908399</v>
      </c>
      <c r="C37" s="2">
        <f>SUM(B31,B37)</f>
        <v>3667439</v>
      </c>
      <c r="D37" s="1">
        <f>C37/$B$108</f>
        <v>0.14458334093878666</v>
      </c>
      <c r="L37" s="95"/>
    </row>
    <row r="38" spans="1:12" x14ac:dyDescent="0.25">
      <c r="A38" s="6" t="s">
        <v>58</v>
      </c>
      <c r="B38" s="7">
        <v>381627</v>
      </c>
      <c r="L38" s="94"/>
    </row>
    <row r="39" spans="1:12" x14ac:dyDescent="0.25">
      <c r="A39" s="8" t="s">
        <v>59</v>
      </c>
      <c r="B39" s="9">
        <v>380703</v>
      </c>
      <c r="L39" s="94"/>
    </row>
    <row r="40" spans="1:12" x14ac:dyDescent="0.25">
      <c r="A40" s="8" t="s">
        <v>60</v>
      </c>
      <c r="B40" s="9">
        <v>376308</v>
      </c>
      <c r="L40" s="94"/>
    </row>
    <row r="41" spans="1:12" x14ac:dyDescent="0.25">
      <c r="A41" s="8" t="s">
        <v>61</v>
      </c>
      <c r="B41" s="9">
        <v>378900</v>
      </c>
      <c r="L41" s="94"/>
    </row>
    <row r="42" spans="1:12" x14ac:dyDescent="0.25">
      <c r="A42" s="8" t="s">
        <v>62</v>
      </c>
      <c r="B42" s="9">
        <v>374563</v>
      </c>
      <c r="L42" s="94"/>
    </row>
    <row r="43" spans="1:12" x14ac:dyDescent="0.25">
      <c r="A43" s="10" t="s">
        <v>63</v>
      </c>
      <c r="B43" s="11">
        <v>1892101</v>
      </c>
      <c r="L43" s="95"/>
    </row>
    <row r="44" spans="1:12" x14ac:dyDescent="0.25">
      <c r="A44" s="8" t="s">
        <v>64</v>
      </c>
      <c r="B44" s="9">
        <v>371946</v>
      </c>
      <c r="L44" s="94"/>
    </row>
    <row r="45" spans="1:12" x14ac:dyDescent="0.25">
      <c r="A45" s="8" t="s">
        <v>65</v>
      </c>
      <c r="B45" s="9">
        <v>368877</v>
      </c>
      <c r="L45" s="94"/>
    </row>
    <row r="46" spans="1:12" x14ac:dyDescent="0.25">
      <c r="A46" s="8" t="s">
        <v>66</v>
      </c>
      <c r="B46" s="9">
        <v>357736</v>
      </c>
      <c r="L46" s="94"/>
    </row>
    <row r="47" spans="1:12" x14ac:dyDescent="0.25">
      <c r="A47" s="8" t="s">
        <v>67</v>
      </c>
      <c r="B47" s="9">
        <v>348170</v>
      </c>
      <c r="L47" s="94"/>
    </row>
    <row r="48" spans="1:12" x14ac:dyDescent="0.25">
      <c r="A48" s="8" t="s">
        <v>68</v>
      </c>
      <c r="B48" s="9">
        <v>334445</v>
      </c>
      <c r="L48" s="94"/>
    </row>
    <row r="49" spans="1:12" x14ac:dyDescent="0.25">
      <c r="A49" s="12" t="s">
        <v>69</v>
      </c>
      <c r="B49" s="13">
        <v>1781174</v>
      </c>
      <c r="C49" s="2">
        <f>SUM(B43,B49)</f>
        <v>3673275</v>
      </c>
      <c r="D49" s="1">
        <f>C49/$B$108</f>
        <v>0.14481341657950456</v>
      </c>
      <c r="L49" s="95"/>
    </row>
    <row r="50" spans="1:12" x14ac:dyDescent="0.25">
      <c r="A50" s="6" t="s">
        <v>70</v>
      </c>
      <c r="B50" s="7">
        <v>324591</v>
      </c>
      <c r="L50" s="94"/>
    </row>
    <row r="51" spans="1:12" x14ac:dyDescent="0.25">
      <c r="A51" s="8" t="s">
        <v>71</v>
      </c>
      <c r="B51" s="9">
        <v>318448</v>
      </c>
      <c r="L51" s="94"/>
    </row>
    <row r="52" spans="1:12" x14ac:dyDescent="0.25">
      <c r="A52" s="8" t="s">
        <v>72</v>
      </c>
      <c r="B52" s="9">
        <v>315770</v>
      </c>
      <c r="L52" s="94"/>
    </row>
    <row r="53" spans="1:12" x14ac:dyDescent="0.25">
      <c r="A53" s="8" t="s">
        <v>73</v>
      </c>
      <c r="B53" s="9">
        <v>318107</v>
      </c>
      <c r="L53" s="94"/>
    </row>
    <row r="54" spans="1:12" x14ac:dyDescent="0.25">
      <c r="A54" s="8" t="s">
        <v>74</v>
      </c>
      <c r="B54" s="9">
        <v>318926</v>
      </c>
      <c r="L54" s="94"/>
    </row>
    <row r="55" spans="1:12" x14ac:dyDescent="0.25">
      <c r="A55" s="10" t="s">
        <v>75</v>
      </c>
      <c r="B55" s="11">
        <v>1595842</v>
      </c>
      <c r="L55" s="95"/>
    </row>
    <row r="56" spans="1:12" x14ac:dyDescent="0.25">
      <c r="A56" s="8" t="s">
        <v>76</v>
      </c>
      <c r="B56" s="9">
        <v>327436</v>
      </c>
      <c r="L56" s="94"/>
    </row>
    <row r="57" spans="1:12" x14ac:dyDescent="0.25">
      <c r="A57" s="8" t="s">
        <v>77</v>
      </c>
      <c r="B57" s="9">
        <v>332934</v>
      </c>
      <c r="L57" s="94"/>
    </row>
    <row r="58" spans="1:12" x14ac:dyDescent="0.25">
      <c r="A58" s="8" t="s">
        <v>78</v>
      </c>
      <c r="B58" s="9">
        <v>344168</v>
      </c>
      <c r="L58" s="94"/>
    </row>
    <row r="59" spans="1:12" x14ac:dyDescent="0.25">
      <c r="A59" s="8" t="s">
        <v>79</v>
      </c>
      <c r="B59" s="9">
        <v>347705</v>
      </c>
      <c r="L59" s="94"/>
    </row>
    <row r="60" spans="1:12" x14ac:dyDescent="0.25">
      <c r="A60" s="8" t="s">
        <v>80</v>
      </c>
      <c r="B60" s="9">
        <v>326172</v>
      </c>
      <c r="L60" s="94"/>
    </row>
    <row r="61" spans="1:12" x14ac:dyDescent="0.25">
      <c r="A61" s="12" t="s">
        <v>81</v>
      </c>
      <c r="B61" s="13">
        <v>1678415</v>
      </c>
      <c r="C61" s="2">
        <f>SUM(B55,B61)</f>
        <v>3274257</v>
      </c>
      <c r="D61" s="1">
        <f>C61/$B$108</f>
        <v>0.12908272398046944</v>
      </c>
      <c r="L61" s="95"/>
    </row>
    <row r="62" spans="1:12" x14ac:dyDescent="0.25">
      <c r="A62" s="6" t="s">
        <v>82</v>
      </c>
      <c r="B62" s="7">
        <v>320460</v>
      </c>
      <c r="L62" s="94"/>
    </row>
    <row r="63" spans="1:12" x14ac:dyDescent="0.25">
      <c r="A63" s="8" t="s">
        <v>83</v>
      </c>
      <c r="B63" s="9">
        <v>310043</v>
      </c>
      <c r="L63" s="94"/>
    </row>
    <row r="64" spans="1:12" x14ac:dyDescent="0.25">
      <c r="A64" s="8" t="s">
        <v>84</v>
      </c>
      <c r="B64" s="9">
        <v>301380</v>
      </c>
      <c r="L64" s="94"/>
    </row>
    <row r="65" spans="1:12" x14ac:dyDescent="0.25">
      <c r="A65" s="8" t="s">
        <v>85</v>
      </c>
      <c r="B65" s="9">
        <v>301965</v>
      </c>
      <c r="L65" s="94"/>
    </row>
    <row r="66" spans="1:12" x14ac:dyDescent="0.25">
      <c r="A66" s="8" t="s">
        <v>86</v>
      </c>
      <c r="B66" s="9">
        <v>300916</v>
      </c>
      <c r="L66" s="94"/>
    </row>
    <row r="67" spans="1:12" x14ac:dyDescent="0.25">
      <c r="A67" s="10" t="s">
        <v>87</v>
      </c>
      <c r="B67" s="11">
        <v>1534764</v>
      </c>
      <c r="L67" s="95"/>
    </row>
    <row r="68" spans="1:12" x14ac:dyDescent="0.25">
      <c r="A68" s="8" t="s">
        <v>88</v>
      </c>
      <c r="B68" s="9">
        <v>311890</v>
      </c>
      <c r="L68" s="94"/>
    </row>
    <row r="69" spans="1:12" x14ac:dyDescent="0.25">
      <c r="A69" s="8" t="s">
        <v>89</v>
      </c>
      <c r="B69" s="9">
        <v>313933</v>
      </c>
      <c r="L69" s="94"/>
    </row>
    <row r="70" spans="1:12" x14ac:dyDescent="0.25">
      <c r="A70" s="8" t="s">
        <v>90</v>
      </c>
      <c r="B70" s="9">
        <v>311527</v>
      </c>
      <c r="L70" s="94"/>
    </row>
    <row r="71" spans="1:12" x14ac:dyDescent="0.25">
      <c r="A71" s="8" t="s">
        <v>91</v>
      </c>
      <c r="B71" s="9">
        <v>309248</v>
      </c>
      <c r="L71" s="94"/>
    </row>
    <row r="72" spans="1:12" x14ac:dyDescent="0.25">
      <c r="A72" s="8" t="s">
        <v>92</v>
      </c>
      <c r="B72" s="9">
        <v>298726</v>
      </c>
      <c r="L72" s="94"/>
    </row>
    <row r="73" spans="1:12" x14ac:dyDescent="0.25">
      <c r="A73" s="14" t="s">
        <v>93</v>
      </c>
      <c r="B73" s="15">
        <v>1545324</v>
      </c>
      <c r="C73" s="2">
        <f>SUM(B67,B73)</f>
        <v>3080088</v>
      </c>
      <c r="D73" s="1">
        <f>C73/$B$108</f>
        <v>0.12142789925761971</v>
      </c>
      <c r="L73" s="95"/>
    </row>
    <row r="74" spans="1:12" x14ac:dyDescent="0.25">
      <c r="A74" s="6" t="s">
        <v>94</v>
      </c>
      <c r="B74" s="7">
        <v>290624</v>
      </c>
      <c r="L74" s="94"/>
    </row>
    <row r="75" spans="1:12" x14ac:dyDescent="0.25">
      <c r="A75" s="8" t="s">
        <v>95</v>
      </c>
      <c r="B75" s="9">
        <v>285521</v>
      </c>
      <c r="L75" s="94"/>
    </row>
    <row r="76" spans="1:12" x14ac:dyDescent="0.25">
      <c r="A76" s="8" t="s">
        <v>96</v>
      </c>
      <c r="B76" s="9">
        <v>277305</v>
      </c>
      <c r="L76" s="94"/>
    </row>
    <row r="77" spans="1:12" x14ac:dyDescent="0.25">
      <c r="A77" s="8" t="s">
        <v>97</v>
      </c>
      <c r="B77" s="9">
        <v>272986</v>
      </c>
      <c r="L77" s="94"/>
    </row>
    <row r="78" spans="1:12" x14ac:dyDescent="0.25">
      <c r="A78" s="8" t="s">
        <v>98</v>
      </c>
      <c r="B78" s="9">
        <v>261893</v>
      </c>
      <c r="L78" s="94"/>
    </row>
    <row r="79" spans="1:12" x14ac:dyDescent="0.25">
      <c r="A79" s="10" t="s">
        <v>99</v>
      </c>
      <c r="B79" s="11">
        <v>1388329</v>
      </c>
      <c r="L79" s="95"/>
    </row>
    <row r="80" spans="1:12" x14ac:dyDescent="0.25">
      <c r="A80" s="8" t="s">
        <v>100</v>
      </c>
      <c r="B80" s="9">
        <v>254839</v>
      </c>
      <c r="L80" s="94"/>
    </row>
    <row r="81" spans="1:12" x14ac:dyDescent="0.25">
      <c r="A81" s="8" t="s">
        <v>101</v>
      </c>
      <c r="B81" s="9">
        <v>251416</v>
      </c>
      <c r="L81" s="94"/>
    </row>
    <row r="82" spans="1:12" x14ac:dyDescent="0.25">
      <c r="A82" s="8" t="s">
        <v>102</v>
      </c>
      <c r="B82" s="9">
        <v>243468</v>
      </c>
      <c r="L82" s="94"/>
    </row>
    <row r="83" spans="1:12" x14ac:dyDescent="0.25">
      <c r="A83" s="8" t="s">
        <v>103</v>
      </c>
      <c r="B83" s="9">
        <v>240724</v>
      </c>
      <c r="L83" s="94"/>
    </row>
    <row r="84" spans="1:12" x14ac:dyDescent="0.25">
      <c r="A84" s="8" t="s">
        <v>104</v>
      </c>
      <c r="B84" s="9">
        <v>234326</v>
      </c>
      <c r="L84" s="94"/>
    </row>
    <row r="85" spans="1:12" x14ac:dyDescent="0.25">
      <c r="A85" s="12" t="s">
        <v>105</v>
      </c>
      <c r="B85" s="13">
        <v>1224773</v>
      </c>
      <c r="C85" s="2">
        <f>SUM(B79,B85)</f>
        <v>2613102</v>
      </c>
      <c r="D85" s="1">
        <f>C85/$B$108</f>
        <v>0.10301766910746854</v>
      </c>
      <c r="L85" s="95"/>
    </row>
    <row r="86" spans="1:12" x14ac:dyDescent="0.25">
      <c r="A86" s="6" t="s">
        <v>106</v>
      </c>
      <c r="B86" s="7">
        <v>226082</v>
      </c>
      <c r="L86" s="94"/>
    </row>
    <row r="87" spans="1:12" x14ac:dyDescent="0.25">
      <c r="A87" s="8" t="s">
        <v>107</v>
      </c>
      <c r="B87" s="9">
        <v>226412</v>
      </c>
      <c r="L87" s="94"/>
    </row>
    <row r="88" spans="1:12" x14ac:dyDescent="0.25">
      <c r="A88" s="8" t="s">
        <v>108</v>
      </c>
      <c r="B88" s="9">
        <v>231019</v>
      </c>
      <c r="L88" s="94"/>
    </row>
    <row r="89" spans="1:12" x14ac:dyDescent="0.25">
      <c r="A89" s="8" t="s">
        <v>109</v>
      </c>
      <c r="B89" s="9">
        <v>192937</v>
      </c>
      <c r="L89" s="94"/>
    </row>
    <row r="90" spans="1:12" x14ac:dyDescent="0.25">
      <c r="A90" s="8" t="s">
        <v>110</v>
      </c>
      <c r="B90" s="9">
        <v>181454</v>
      </c>
      <c r="L90" s="94"/>
    </row>
    <row r="91" spans="1:12" x14ac:dyDescent="0.25">
      <c r="A91" s="10" t="s">
        <v>111</v>
      </c>
      <c r="B91" s="11">
        <v>1057904</v>
      </c>
      <c r="L91" s="95"/>
    </row>
    <row r="92" spans="1:12" x14ac:dyDescent="0.25">
      <c r="A92" s="8" t="s">
        <v>112</v>
      </c>
      <c r="B92" s="9">
        <v>171139</v>
      </c>
      <c r="L92" s="94"/>
    </row>
    <row r="93" spans="1:12" x14ac:dyDescent="0.25">
      <c r="A93" s="8" t="s">
        <v>113</v>
      </c>
      <c r="B93" s="9">
        <v>151876</v>
      </c>
      <c r="L93" s="94"/>
    </row>
    <row r="94" spans="1:12" x14ac:dyDescent="0.25">
      <c r="A94" s="8" t="s">
        <v>114</v>
      </c>
      <c r="B94" s="9">
        <v>148212</v>
      </c>
      <c r="L94" s="94"/>
    </row>
    <row r="95" spans="1:12" x14ac:dyDescent="0.25">
      <c r="A95" s="8" t="s">
        <v>115</v>
      </c>
      <c r="B95" s="9">
        <v>135541</v>
      </c>
      <c r="L95" s="94"/>
    </row>
    <row r="96" spans="1:12" x14ac:dyDescent="0.25">
      <c r="A96" s="8" t="s">
        <v>116</v>
      </c>
      <c r="B96" s="9">
        <v>127491</v>
      </c>
      <c r="L96" s="94"/>
    </row>
    <row r="97" spans="1:12" x14ac:dyDescent="0.25">
      <c r="A97" s="12" t="s">
        <v>117</v>
      </c>
      <c r="B97" s="13">
        <v>734259</v>
      </c>
      <c r="C97" s="2">
        <f>SUM(B91,B97)</f>
        <v>1792163</v>
      </c>
      <c r="D97" s="1">
        <f>C97/$B$108</f>
        <v>7.065336711718416E-2</v>
      </c>
      <c r="L97" s="95"/>
    </row>
    <row r="98" spans="1:12" x14ac:dyDescent="0.25">
      <c r="A98" s="6" t="s">
        <v>118</v>
      </c>
      <c r="B98" s="7">
        <v>118484</v>
      </c>
      <c r="L98" s="94"/>
    </row>
    <row r="99" spans="1:12" x14ac:dyDescent="0.25">
      <c r="A99" s="8" t="s">
        <v>119</v>
      </c>
      <c r="B99" s="9">
        <v>109564</v>
      </c>
      <c r="L99" s="94"/>
    </row>
    <row r="100" spans="1:12" x14ac:dyDescent="0.25">
      <c r="A100" s="8" t="s">
        <v>120</v>
      </c>
      <c r="B100" s="9">
        <v>101897</v>
      </c>
      <c r="L100" s="94"/>
    </row>
    <row r="101" spans="1:12" x14ac:dyDescent="0.25">
      <c r="A101" s="8" t="s">
        <v>121</v>
      </c>
      <c r="B101" s="9">
        <v>93053</v>
      </c>
      <c r="L101" s="94"/>
    </row>
    <row r="102" spans="1:12" x14ac:dyDescent="0.25">
      <c r="A102" s="8" t="s">
        <v>122</v>
      </c>
      <c r="B102" s="9">
        <v>82541</v>
      </c>
      <c r="L102" s="94"/>
    </row>
    <row r="103" spans="1:12" x14ac:dyDescent="0.25">
      <c r="A103" s="10" t="s">
        <v>123</v>
      </c>
      <c r="B103" s="11">
        <v>505539</v>
      </c>
      <c r="L103" s="95"/>
    </row>
    <row r="104" spans="1:12" x14ac:dyDescent="0.25">
      <c r="A104" s="10" t="s">
        <v>124</v>
      </c>
      <c r="B104" s="11">
        <v>313008</v>
      </c>
      <c r="L104" s="95"/>
    </row>
    <row r="105" spans="1:12" x14ac:dyDescent="0.25">
      <c r="A105" s="10" t="s">
        <v>125</v>
      </c>
      <c r="B105" s="11">
        <v>153468</v>
      </c>
      <c r="L105" s="95"/>
    </row>
    <row r="106" spans="1:12" x14ac:dyDescent="0.25">
      <c r="A106" s="10" t="s">
        <v>126</v>
      </c>
      <c r="B106" s="11">
        <v>44201</v>
      </c>
      <c r="L106" s="95"/>
    </row>
    <row r="107" spans="1:12" x14ac:dyDescent="0.25">
      <c r="A107" s="12" t="s">
        <v>127</v>
      </c>
      <c r="B107" s="13">
        <v>5027</v>
      </c>
      <c r="C107" s="2">
        <f>SUM(B103:B107)</f>
        <v>1021243</v>
      </c>
      <c r="D107" s="1">
        <f>C107/$B$108</f>
        <v>4.0260989985204748E-2</v>
      </c>
      <c r="L107" s="95"/>
    </row>
    <row r="108" spans="1:12" x14ac:dyDescent="0.25">
      <c r="A108" s="4" t="s">
        <v>128</v>
      </c>
      <c r="B108" s="5">
        <v>25365571</v>
      </c>
      <c r="L108" s="9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1962B-7328-4DB7-BA18-91B67DBDE574}">
  <dimension ref="A3:C14"/>
  <sheetViews>
    <sheetView workbookViewId="0">
      <selection activeCell="B16" sqref="B16"/>
    </sheetView>
  </sheetViews>
  <sheetFormatPr defaultRowHeight="15" x14ac:dyDescent="0.25"/>
  <sheetData>
    <row r="3" spans="1:3" x14ac:dyDescent="0.25">
      <c r="A3" t="s">
        <v>137</v>
      </c>
      <c r="B3" t="s">
        <v>138</v>
      </c>
      <c r="C3" t="s">
        <v>139</v>
      </c>
    </row>
    <row r="4" spans="1:3" x14ac:dyDescent="0.25">
      <c r="A4" s="55" t="s">
        <v>13</v>
      </c>
      <c r="B4">
        <v>102</v>
      </c>
      <c r="C4" s="3">
        <f t="shared" ref="C4:C12" si="0">B4/$B$14</f>
        <v>2.703419029949642E-2</v>
      </c>
    </row>
    <row r="5" spans="1:3" x14ac:dyDescent="0.25">
      <c r="A5" s="55" t="s">
        <v>14</v>
      </c>
      <c r="B5">
        <v>425</v>
      </c>
      <c r="C5" s="3">
        <f t="shared" si="0"/>
        <v>0.11264245958123509</v>
      </c>
    </row>
    <row r="6" spans="1:3" x14ac:dyDescent="0.25">
      <c r="A6" s="55" t="s">
        <v>15</v>
      </c>
      <c r="B6">
        <v>652</v>
      </c>
      <c r="C6" s="3">
        <f t="shared" si="0"/>
        <v>0.17280678505168301</v>
      </c>
    </row>
    <row r="7" spans="1:3" x14ac:dyDescent="0.25">
      <c r="A7" s="55" t="s">
        <v>16</v>
      </c>
      <c r="B7">
        <v>603</v>
      </c>
      <c r="C7" s="3">
        <f t="shared" si="0"/>
        <v>0.15981977206467002</v>
      </c>
    </row>
    <row r="8" spans="1:3" x14ac:dyDescent="0.25">
      <c r="A8" s="55" t="s">
        <v>17</v>
      </c>
      <c r="B8">
        <v>500</v>
      </c>
      <c r="C8" s="3">
        <f t="shared" si="0"/>
        <v>0.13252054068380598</v>
      </c>
    </row>
    <row r="9" spans="1:3" x14ac:dyDescent="0.25">
      <c r="A9" s="55" t="s">
        <v>18</v>
      </c>
      <c r="B9">
        <v>597</v>
      </c>
      <c r="C9" s="3">
        <f t="shared" si="0"/>
        <v>0.15822952557646436</v>
      </c>
    </row>
    <row r="10" spans="1:3" x14ac:dyDescent="0.25">
      <c r="A10" s="55" t="s">
        <v>19</v>
      </c>
      <c r="B10">
        <v>770</v>
      </c>
      <c r="C10" s="3">
        <f t="shared" si="0"/>
        <v>0.20408163265306123</v>
      </c>
    </row>
    <row r="11" spans="1:3" ht="15.75" customHeight="1" x14ac:dyDescent="0.25">
      <c r="A11" s="56" t="s">
        <v>20</v>
      </c>
      <c r="B11">
        <v>97</v>
      </c>
      <c r="C11" s="3">
        <f t="shared" si="0"/>
        <v>2.5708984892658361E-2</v>
      </c>
    </row>
    <row r="12" spans="1:3" x14ac:dyDescent="0.25">
      <c r="A12" s="56" t="s">
        <v>21</v>
      </c>
      <c r="B12">
        <v>27</v>
      </c>
      <c r="C12" s="3">
        <f t="shared" si="0"/>
        <v>7.1561091969255235E-3</v>
      </c>
    </row>
    <row r="14" spans="1:3" x14ac:dyDescent="0.25">
      <c r="A14" t="s">
        <v>140</v>
      </c>
      <c r="B14">
        <f>SUM(B4:B12)</f>
        <v>3773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Projections</vt:lpstr>
      <vt:lpstr>ABS Population by Age Range</vt:lpstr>
      <vt:lpstr>AU Infection Rate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2020-03-15T05:45:04Z</dcterms:created>
  <dcterms:modified xsi:type="dcterms:W3CDTF">2020-03-30T00:43:33Z</dcterms:modified>
</cp:coreProperties>
</file>