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9874D683-6324-4E91-928B-96887262E2EE}"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ABS Population by Age Range" sheetId="2" r:id="rId4"/>
    <sheet name="AU 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1" i="3" l="1"/>
  <c r="E70" i="1"/>
  <c r="C29" i="3"/>
  <c r="B29" i="3"/>
  <c r="U61" i="1" l="1"/>
  <c r="V61" i="1"/>
  <c r="W61" i="1"/>
  <c r="X61" i="1"/>
  <c r="Y61" i="1"/>
  <c r="Z61" i="1"/>
  <c r="AA61" i="1"/>
  <c r="AB61" i="1"/>
  <c r="AC61" i="1"/>
  <c r="AD61" i="1"/>
  <c r="T61" i="1"/>
  <c r="S61" i="1"/>
  <c r="R61" i="1"/>
  <c r="Q36" i="1"/>
  <c r="Q64" i="1"/>
  <c r="R37" i="1"/>
  <c r="Q37" i="1"/>
  <c r="B25" i="1" l="1"/>
  <c r="D5" i="3" l="1"/>
  <c r="D6" i="3"/>
  <c r="D7" i="3"/>
  <c r="D8" i="3"/>
  <c r="F22" i="3" s="1"/>
  <c r="E78" i="1" s="1"/>
  <c r="D9" i="3"/>
  <c r="D10" i="3"/>
  <c r="F24" i="3" s="1"/>
  <c r="E82" i="1" s="1"/>
  <c r="D11" i="3"/>
  <c r="F25" i="3" s="1"/>
  <c r="E84" i="1" s="1"/>
  <c r="D12" i="3"/>
  <c r="F26" i="3" s="1"/>
  <c r="E86" i="1" s="1"/>
  <c r="D4" i="3"/>
  <c r="B28" i="3"/>
  <c r="C28" i="3"/>
  <c r="D19" i="3"/>
  <c r="D20" i="3"/>
  <c r="D21" i="3"/>
  <c r="D22" i="3"/>
  <c r="D23" i="3"/>
  <c r="D24" i="3"/>
  <c r="D25" i="3"/>
  <c r="D26" i="3"/>
  <c r="D18" i="3"/>
  <c r="F20" i="3" l="1"/>
  <c r="E74" i="1" s="1"/>
  <c r="F23" i="3"/>
  <c r="E80" i="1" s="1"/>
  <c r="F18" i="3"/>
  <c r="D28" i="3"/>
  <c r="E22" i="3" s="1"/>
  <c r="E76" i="1"/>
  <c r="E23" i="3"/>
  <c r="E20" i="3"/>
  <c r="E21" i="3"/>
  <c r="E24" i="3"/>
  <c r="E25" i="3"/>
  <c r="E26" i="3"/>
  <c r="E19" i="3"/>
  <c r="F19" i="3"/>
  <c r="E72" i="1" s="1"/>
  <c r="P64" i="1"/>
  <c r="E18" i="3" l="1"/>
  <c r="O64" i="1"/>
  <c r="L64" i="1" l="1"/>
  <c r="M64" i="1"/>
  <c r="N64" i="1"/>
  <c r="K64" i="1"/>
  <c r="I64" i="1"/>
  <c r="J64" i="1"/>
  <c r="H64" i="1"/>
  <c r="G64" i="1"/>
  <c r="E34" i="4" l="1"/>
  <c r="C45" i="4"/>
  <c r="H36" i="1" l="1"/>
  <c r="I36" i="1" l="1"/>
  <c r="G62" i="1"/>
  <c r="G47" i="1" s="1"/>
  <c r="N7" i="1"/>
  <c r="N6" i="1"/>
  <c r="M5" i="1"/>
  <c r="K4" i="1"/>
  <c r="J3" i="1"/>
  <c r="F2" i="1"/>
  <c r="P14" i="1"/>
  <c r="O13" i="1"/>
  <c r="N10" i="1"/>
  <c r="N9" i="1"/>
  <c r="G60" i="1"/>
  <c r="G59" i="1"/>
  <c r="J36" i="1" l="1"/>
  <c r="G48" i="1"/>
  <c r="G49" i="1"/>
  <c r="G50" i="1" s="1"/>
  <c r="AE61" i="1"/>
  <c r="K36" i="1" l="1"/>
  <c r="G45" i="1"/>
  <c r="G46" i="1" s="1"/>
  <c r="G41" i="1"/>
  <c r="G43" i="1" s="1"/>
  <c r="G44" i="1" s="1"/>
  <c r="C12" i="5"/>
  <c r="C7" i="5"/>
  <c r="C8" i="5" s="1"/>
  <c r="C9" i="5" s="1"/>
  <c r="C21" i="5"/>
  <c r="C18" i="5"/>
  <c r="C15" i="5"/>
  <c r="C24" i="5"/>
  <c r="C3" i="5"/>
  <c r="L36" i="1" l="1"/>
  <c r="C30" i="5"/>
  <c r="G39" i="1"/>
  <c r="G40" i="1" s="1"/>
  <c r="C34" i="5"/>
  <c r="M36" i="1" l="1"/>
  <c r="C13" i="5"/>
  <c r="C14" i="5" s="1"/>
  <c r="G42" i="1"/>
  <c r="AG38" i="1"/>
  <c r="AG37" i="1" s="1"/>
  <c r="AG41" i="1"/>
  <c r="AF37" i="1"/>
  <c r="AF38" i="1" s="1"/>
  <c r="G55" i="1"/>
  <c r="G53" i="1"/>
  <c r="G56" i="1"/>
  <c r="G54" i="1"/>
  <c r="N36" i="1" l="1"/>
  <c r="AG42" i="1"/>
  <c r="AG43" i="1"/>
  <c r="AG51" i="1"/>
  <c r="AG45" i="1"/>
  <c r="AG49" i="1"/>
  <c r="AG47" i="1"/>
  <c r="AF61" i="1"/>
  <c r="AG61" i="1" s="1"/>
  <c r="AF45" i="1"/>
  <c r="AF41" i="1"/>
  <c r="AF43" i="1" s="1"/>
  <c r="C22" i="5"/>
  <c r="C23" i="5" s="1"/>
  <c r="C35" i="5"/>
  <c r="C40" i="5" s="1"/>
  <c r="C25" i="5"/>
  <c r="C19" i="5"/>
  <c r="C20" i="5" s="1"/>
  <c r="C16" i="5"/>
  <c r="C17" i="5" s="1"/>
  <c r="C31" i="5"/>
  <c r="AP25" i="4"/>
  <c r="E31" i="4"/>
  <c r="B17" i="4" s="1"/>
  <c r="B18" i="4" l="1"/>
  <c r="H21" i="4" s="1"/>
  <c r="V24" i="4" s="1"/>
  <c r="K20" i="4"/>
  <c r="T36" i="1"/>
  <c r="P36" i="1" s="1"/>
  <c r="C38" i="5"/>
  <c r="C36" i="5"/>
  <c r="C39" i="5"/>
  <c r="C37" i="5"/>
  <c r="E17" i="4"/>
  <c r="N20" i="4" s="1"/>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S36" i="1" l="1"/>
  <c r="S62" i="1" s="1"/>
  <c r="P62" i="1"/>
  <c r="R36" i="1"/>
  <c r="R59" i="1" s="1"/>
  <c r="O36" i="1"/>
  <c r="R60" i="1"/>
  <c r="R62" i="1"/>
  <c r="R52" i="1"/>
  <c r="S59" i="1"/>
  <c r="S60" i="1"/>
  <c r="U36" i="1"/>
  <c r="E18" i="4"/>
  <c r="E19" i="4" s="1"/>
  <c r="H17" i="4"/>
  <c r="B19" i="4"/>
  <c r="G92" i="1"/>
  <c r="G93" i="1" s="1"/>
  <c r="S52" i="1" l="1"/>
  <c r="Q59" i="1"/>
  <c r="Q62" i="1"/>
  <c r="Q60" i="1"/>
  <c r="Q52" i="1"/>
  <c r="O59" i="1"/>
  <c r="O52" i="1"/>
  <c r="O62" i="1"/>
  <c r="O60" i="1"/>
  <c r="P59" i="1"/>
  <c r="P52" i="1"/>
  <c r="P60" i="1"/>
  <c r="V36" i="1"/>
  <c r="H18" i="4"/>
  <c r="H19" i="4" s="1"/>
  <c r="Q20" i="4"/>
  <c r="K17" i="4"/>
  <c r="T20" i="4" s="1"/>
  <c r="K21" i="4"/>
  <c r="Y24" i="4" s="1"/>
  <c r="D14" i="3"/>
  <c r="W36" i="1" l="1"/>
  <c r="K18" i="4"/>
  <c r="K19" i="4" s="1"/>
  <c r="N22" i="4"/>
  <c r="N17" i="4"/>
  <c r="W20" i="4" s="1"/>
  <c r="N21" i="4"/>
  <c r="AB24" i="4" s="1"/>
  <c r="X36" i="1" l="1"/>
  <c r="Q17" i="4"/>
  <c r="T17" i="4" s="1"/>
  <c r="N18" i="4"/>
  <c r="N19" i="4" s="1"/>
  <c r="Q21" i="4"/>
  <c r="AE24" i="4" s="1"/>
  <c r="Q22" i="4"/>
  <c r="B85" i="1"/>
  <c r="B83" i="1"/>
  <c r="B81" i="1"/>
  <c r="B79" i="1"/>
  <c r="B77" i="1"/>
  <c r="B75" i="1"/>
  <c r="B73" i="1"/>
  <c r="B71" i="1"/>
  <c r="B69" i="1"/>
  <c r="Y36" i="1" l="1"/>
  <c r="T18" i="4"/>
  <c r="T19" i="4" s="1"/>
  <c r="AC20" i="4"/>
  <c r="Q18" i="4"/>
  <c r="Q19" i="4" s="1"/>
  <c r="Z20" i="4"/>
  <c r="T21" i="4"/>
  <c r="AH24" i="4" s="1"/>
  <c r="T22" i="4"/>
  <c r="T23" i="4"/>
  <c r="W17" i="4"/>
  <c r="W22" i="4" l="1"/>
  <c r="W23" i="4"/>
  <c r="W21" i="4"/>
  <c r="AK24" i="4" s="1"/>
  <c r="Z36" i="1"/>
  <c r="W18" i="4"/>
  <c r="W19" i="4" s="1"/>
  <c r="AF20" i="4"/>
  <c r="Z21" i="4"/>
  <c r="AN24" i="4" s="1"/>
  <c r="Z23" i="4"/>
  <c r="Z22" i="4"/>
  <c r="Z17" i="4"/>
  <c r="C102" i="1"/>
  <c r="C100" i="1"/>
  <c r="C98" i="1"/>
  <c r="C96" i="1"/>
  <c r="C94" i="1"/>
  <c r="C92" i="1"/>
  <c r="G51" i="1"/>
  <c r="E5" i="3"/>
  <c r="D71" i="1" s="1"/>
  <c r="AA36" i="1" l="1"/>
  <c r="Z18" i="4"/>
  <c r="Z19" i="4" s="1"/>
  <c r="AI20" i="4"/>
  <c r="AC21" i="4"/>
  <c r="AC22" i="4"/>
  <c r="AC23" i="4"/>
  <c r="AC17" i="4"/>
  <c r="AF96" i="1"/>
  <c r="AF97" i="1" s="1"/>
  <c r="AF51" i="1"/>
  <c r="AF92" i="1"/>
  <c r="AF93" i="1" s="1"/>
  <c r="AF98" i="1"/>
  <c r="AF99" i="1" s="1"/>
  <c r="AF94" i="1"/>
  <c r="AF95" i="1" s="1"/>
  <c r="AF102" i="1"/>
  <c r="AF100" i="1"/>
  <c r="AF101" i="1" s="1"/>
  <c r="AF71" i="1"/>
  <c r="AF72" i="1"/>
  <c r="E7" i="3"/>
  <c r="D75" i="1" s="1"/>
  <c r="E4" i="3"/>
  <c r="D69" i="1" s="1"/>
  <c r="E12" i="3"/>
  <c r="D85" i="1" s="1"/>
  <c r="E11" i="3"/>
  <c r="D83" i="1" s="1"/>
  <c r="E10" i="3"/>
  <c r="D81" i="1" s="1"/>
  <c r="E9" i="3"/>
  <c r="D79" i="1" s="1"/>
  <c r="E8" i="3"/>
  <c r="D77" i="1" s="1"/>
  <c r="E6" i="3"/>
  <c r="D73" i="1" s="1"/>
  <c r="C27" i="1"/>
  <c r="C10" i="5" s="1"/>
  <c r="C26" i="5" s="1"/>
  <c r="C27" i="5" s="1"/>
  <c r="C28" i="1"/>
  <c r="C11" i="5" s="1"/>
  <c r="C28" i="5" s="1"/>
  <c r="C29" i="5" s="1"/>
  <c r="G72" i="1"/>
  <c r="G102" i="1"/>
  <c r="G100" i="1"/>
  <c r="G98" i="1"/>
  <c r="G99" i="1" s="1"/>
  <c r="G96" i="1"/>
  <c r="G97" i="1" s="1"/>
  <c r="G94" i="1"/>
  <c r="G95" i="1" s="1"/>
  <c r="C71" i="1"/>
  <c r="C73" i="1"/>
  <c r="C75" i="1"/>
  <c r="C77" i="1"/>
  <c r="C79" i="1"/>
  <c r="C81" i="1"/>
  <c r="C83" i="1"/>
  <c r="C85" i="1"/>
  <c r="C69" i="1"/>
  <c r="C13" i="2"/>
  <c r="D13" i="2" s="1"/>
  <c r="C25" i="2"/>
  <c r="D25" i="2" s="1"/>
  <c r="C37" i="2"/>
  <c r="D37" i="2" s="1"/>
  <c r="D49" i="2"/>
  <c r="C49" i="2"/>
  <c r="C61" i="2"/>
  <c r="D61" i="2" s="1"/>
  <c r="D73" i="2"/>
  <c r="C73" i="2"/>
  <c r="C85" i="2"/>
  <c r="D85" i="2" s="1"/>
  <c r="C107" i="2"/>
  <c r="D107" i="2" s="1"/>
  <c r="C97" i="2"/>
  <c r="D97" i="2" s="1"/>
  <c r="G38" i="1"/>
  <c r="H37" i="1"/>
  <c r="AF73" i="1" l="1"/>
  <c r="G86" i="1"/>
  <c r="AB36" i="1"/>
  <c r="AC18" i="4"/>
  <c r="AC19" i="4" s="1"/>
  <c r="AL20" i="4"/>
  <c r="H47" i="1"/>
  <c r="H49" i="1"/>
  <c r="H50" i="1" s="1"/>
  <c r="H62" i="1"/>
  <c r="H60" i="1"/>
  <c r="H45" i="1"/>
  <c r="H46" i="1" s="1"/>
  <c r="H53" i="1"/>
  <c r="H56" i="1"/>
  <c r="H59" i="1"/>
  <c r="H54" i="1"/>
  <c r="H55" i="1"/>
  <c r="AF104" i="1"/>
  <c r="H41" i="1"/>
  <c r="AF22" i="4"/>
  <c r="AF23" i="4"/>
  <c r="AF21" i="4"/>
  <c r="AF17" i="4"/>
  <c r="G70" i="1"/>
  <c r="G69" i="1"/>
  <c r="AF105" i="1"/>
  <c r="G78" i="1"/>
  <c r="G77" i="1"/>
  <c r="AF81" i="1"/>
  <c r="AF82" i="1"/>
  <c r="AF83" i="1"/>
  <c r="AF84" i="1"/>
  <c r="AF77" i="1"/>
  <c r="AF78" i="1"/>
  <c r="AF75" i="1"/>
  <c r="AF76" i="1"/>
  <c r="AF80" i="1"/>
  <c r="AF79" i="1"/>
  <c r="G81" i="1"/>
  <c r="G80" i="1"/>
  <c r="G83" i="1"/>
  <c r="AF69" i="1"/>
  <c r="AF70" i="1"/>
  <c r="AF74" i="1"/>
  <c r="AF86" i="1"/>
  <c r="AF85" i="1"/>
  <c r="G73" i="1"/>
  <c r="I37" i="1"/>
  <c r="I45" i="1" s="1"/>
  <c r="I46" i="1" s="1"/>
  <c r="H96" i="1"/>
  <c r="H97" i="1" s="1"/>
  <c r="G74" i="1"/>
  <c r="H85" i="1"/>
  <c r="H94" i="1"/>
  <c r="H95" i="1" s="1"/>
  <c r="G82" i="1"/>
  <c r="H83" i="1"/>
  <c r="H102" i="1"/>
  <c r="G71" i="1"/>
  <c r="G79" i="1"/>
  <c r="H100" i="1"/>
  <c r="H101" i="1" s="1"/>
  <c r="H98" i="1"/>
  <c r="H99" i="1" s="1"/>
  <c r="H81" i="1"/>
  <c r="H74" i="1"/>
  <c r="H78" i="1"/>
  <c r="H82" i="1"/>
  <c r="H86" i="1"/>
  <c r="G104" i="1"/>
  <c r="H92" i="1"/>
  <c r="H93" i="1" s="1"/>
  <c r="G75" i="1"/>
  <c r="H71" i="1"/>
  <c r="G76" i="1"/>
  <c r="G84" i="1"/>
  <c r="H75" i="1"/>
  <c r="H72" i="1"/>
  <c r="H79" i="1"/>
  <c r="G85" i="1"/>
  <c r="H69" i="1"/>
  <c r="H76" i="1"/>
  <c r="H80" i="1"/>
  <c r="H84" i="1"/>
  <c r="H73" i="1"/>
  <c r="H70" i="1"/>
  <c r="H77" i="1"/>
  <c r="G101" i="1"/>
  <c r="G105" i="1" s="1"/>
  <c r="H38" i="1"/>
  <c r="H51" i="1"/>
  <c r="AC36" i="1" l="1"/>
  <c r="AF18" i="4"/>
  <c r="AF19" i="4" s="1"/>
  <c r="AO20" i="4"/>
  <c r="H48" i="1"/>
  <c r="H39" i="1" s="1"/>
  <c r="H40" i="1" s="1"/>
  <c r="I94" i="1"/>
  <c r="I95" i="1" s="1"/>
  <c r="I75" i="1"/>
  <c r="I49" i="1"/>
  <c r="I50" i="1" s="1"/>
  <c r="I100" i="1"/>
  <c r="I101" i="1" s="1"/>
  <c r="I71" i="1"/>
  <c r="I70" i="1"/>
  <c r="I92" i="1"/>
  <c r="I93" i="1" s="1"/>
  <c r="I72" i="1"/>
  <c r="I38" i="1"/>
  <c r="H42" i="1"/>
  <c r="H43" i="1"/>
  <c r="H44" i="1" s="1"/>
  <c r="I60" i="1"/>
  <c r="I62" i="1"/>
  <c r="J37" i="1"/>
  <c r="J45" i="1" s="1"/>
  <c r="J46" i="1" s="1"/>
  <c r="I41" i="1"/>
  <c r="I51" i="1"/>
  <c r="I85" i="1"/>
  <c r="I84" i="1"/>
  <c r="I96" i="1"/>
  <c r="I97" i="1" s="1"/>
  <c r="I80" i="1"/>
  <c r="I79" i="1"/>
  <c r="I55" i="1"/>
  <c r="I53" i="1"/>
  <c r="I56" i="1"/>
  <c r="I59" i="1"/>
  <c r="I54" i="1"/>
  <c r="AI23" i="4"/>
  <c r="AI21" i="4"/>
  <c r="AI22" i="4"/>
  <c r="AI17" i="4"/>
  <c r="AI18" i="4" s="1"/>
  <c r="AF87" i="1"/>
  <c r="AF88" i="1"/>
  <c r="G88" i="1"/>
  <c r="H88" i="1"/>
  <c r="I82" i="1"/>
  <c r="I81" i="1"/>
  <c r="I77" i="1"/>
  <c r="I74" i="1"/>
  <c r="I76" i="1"/>
  <c r="I69" i="1"/>
  <c r="I78" i="1"/>
  <c r="I83" i="1"/>
  <c r="I102" i="1"/>
  <c r="I73" i="1"/>
  <c r="I98" i="1"/>
  <c r="I99" i="1" s="1"/>
  <c r="I86" i="1"/>
  <c r="H104" i="1"/>
  <c r="G87" i="1"/>
  <c r="H87" i="1"/>
  <c r="H105" i="1"/>
  <c r="J72" i="1" l="1"/>
  <c r="J86" i="1"/>
  <c r="J82" i="1"/>
  <c r="J84" i="1"/>
  <c r="J81" i="1"/>
  <c r="J94" i="1"/>
  <c r="J95" i="1" s="1"/>
  <c r="J73" i="1"/>
  <c r="J79" i="1"/>
  <c r="J102" i="1"/>
  <c r="J69" i="1"/>
  <c r="J76" i="1"/>
  <c r="J74" i="1"/>
  <c r="AD36" i="1"/>
  <c r="J49" i="1"/>
  <c r="J50" i="1" s="1"/>
  <c r="J80" i="1"/>
  <c r="J78" i="1"/>
  <c r="J71" i="1"/>
  <c r="J92" i="1"/>
  <c r="J93" i="1" s="1"/>
  <c r="J75" i="1"/>
  <c r="K37" i="1"/>
  <c r="K81" i="1" s="1"/>
  <c r="J85" i="1"/>
  <c r="J83" i="1"/>
  <c r="J51" i="1"/>
  <c r="J96" i="1"/>
  <c r="J97" i="1" s="1"/>
  <c r="I105" i="1"/>
  <c r="J70" i="1"/>
  <c r="J98" i="1"/>
  <c r="J99" i="1" s="1"/>
  <c r="J100" i="1"/>
  <c r="J101" i="1" s="1"/>
  <c r="J38" i="1"/>
  <c r="J77" i="1"/>
  <c r="J60" i="1"/>
  <c r="J62" i="1"/>
  <c r="I42" i="1"/>
  <c r="I43" i="1"/>
  <c r="I44" i="1" s="1"/>
  <c r="J54" i="1"/>
  <c r="J55" i="1"/>
  <c r="J56" i="1"/>
  <c r="J59" i="1"/>
  <c r="J53" i="1"/>
  <c r="I104" i="1"/>
  <c r="J41" i="1"/>
  <c r="AL22" i="4"/>
  <c r="AL21" i="4"/>
  <c r="AL23" i="4"/>
  <c r="AL17" i="4"/>
  <c r="AL18" i="4" s="1"/>
  <c r="AI19" i="4"/>
  <c r="I87" i="1"/>
  <c r="I88" i="1"/>
  <c r="AE36" i="1" l="1"/>
  <c r="K85" i="1"/>
  <c r="K82" i="1"/>
  <c r="K94" i="1"/>
  <c r="K95" i="1" s="1"/>
  <c r="K79" i="1"/>
  <c r="K80" i="1"/>
  <c r="K71" i="1"/>
  <c r="K77" i="1"/>
  <c r="K92" i="1"/>
  <c r="K93" i="1" s="1"/>
  <c r="J88" i="1"/>
  <c r="K78" i="1"/>
  <c r="K70" i="1"/>
  <c r="K100" i="1"/>
  <c r="K101" i="1" s="1"/>
  <c r="K84" i="1"/>
  <c r="K76" i="1"/>
  <c r="K83" i="1"/>
  <c r="K98" i="1"/>
  <c r="K99" i="1" s="1"/>
  <c r="J105" i="1"/>
  <c r="K45" i="1"/>
  <c r="K38" i="1"/>
  <c r="K72" i="1"/>
  <c r="K73" i="1"/>
  <c r="K96" i="1"/>
  <c r="K97" i="1" s="1"/>
  <c r="K41" i="1"/>
  <c r="K43" i="1" s="1"/>
  <c r="K51" i="1"/>
  <c r="K75" i="1"/>
  <c r="L37" i="1"/>
  <c r="L82" i="1" s="1"/>
  <c r="K86" i="1"/>
  <c r="J87" i="1"/>
  <c r="K74" i="1"/>
  <c r="K102" i="1"/>
  <c r="J104" i="1"/>
  <c r="K69" i="1"/>
  <c r="K60" i="1"/>
  <c r="K62" i="1"/>
  <c r="J42" i="1"/>
  <c r="J43" i="1"/>
  <c r="J44" i="1" s="1"/>
  <c r="K54" i="1"/>
  <c r="K59" i="1"/>
  <c r="K55" i="1"/>
  <c r="K56" i="1"/>
  <c r="K53" i="1"/>
  <c r="AO21" i="4"/>
  <c r="AO22" i="4"/>
  <c r="AO23" i="4"/>
  <c r="AO17" i="4"/>
  <c r="AL19" i="4"/>
  <c r="L79" i="1" l="1"/>
  <c r="L72" i="1"/>
  <c r="L69" i="1"/>
  <c r="AF36" i="1"/>
  <c r="AO18" i="4"/>
  <c r="AO19" i="4" s="1"/>
  <c r="K87" i="1"/>
  <c r="K105" i="1"/>
  <c r="L85" i="1"/>
  <c r="L51" i="1"/>
  <c r="M37" i="1"/>
  <c r="M83" i="1" s="1"/>
  <c r="L74" i="1"/>
  <c r="L100" i="1"/>
  <c r="L101" i="1" s="1"/>
  <c r="L80" i="1"/>
  <c r="L81" i="1"/>
  <c r="K104" i="1"/>
  <c r="L77" i="1"/>
  <c r="K88" i="1"/>
  <c r="L38" i="1"/>
  <c r="L75" i="1"/>
  <c r="L98" i="1"/>
  <c r="L99" i="1" s="1"/>
  <c r="L45" i="1"/>
  <c r="L94" i="1"/>
  <c r="L95" i="1" s="1"/>
  <c r="L76" i="1"/>
  <c r="L41" i="1"/>
  <c r="L42" i="1" s="1"/>
  <c r="L84" i="1"/>
  <c r="L83" i="1"/>
  <c r="L78" i="1"/>
  <c r="L96" i="1"/>
  <c r="L97" i="1" s="1"/>
  <c r="L71" i="1"/>
  <c r="L92" i="1"/>
  <c r="L93" i="1" s="1"/>
  <c r="L102" i="1"/>
  <c r="L73" i="1"/>
  <c r="K42" i="1"/>
  <c r="L70" i="1"/>
  <c r="L86" i="1"/>
  <c r="L60" i="1"/>
  <c r="L62" i="1"/>
  <c r="L54" i="1"/>
  <c r="L55" i="1"/>
  <c r="L53" i="1"/>
  <c r="L56" i="1"/>
  <c r="L59" i="1"/>
  <c r="M45" i="1" l="1"/>
  <c r="M41" i="1"/>
  <c r="M43" i="1" s="1"/>
  <c r="M51" i="1"/>
  <c r="M102" i="1"/>
  <c r="M78" i="1"/>
  <c r="M70" i="1"/>
  <c r="M69" i="1"/>
  <c r="M82" i="1"/>
  <c r="M84" i="1"/>
  <c r="M71" i="1"/>
  <c r="M38" i="1"/>
  <c r="M94" i="1"/>
  <c r="M95" i="1" s="1"/>
  <c r="M80" i="1"/>
  <c r="M72" i="1"/>
  <c r="M96" i="1"/>
  <c r="M97" i="1" s="1"/>
  <c r="M75" i="1"/>
  <c r="M98" i="1"/>
  <c r="M99" i="1" s="1"/>
  <c r="M79" i="1"/>
  <c r="M76" i="1"/>
  <c r="M74" i="1"/>
  <c r="M92" i="1"/>
  <c r="M93" i="1" s="1"/>
  <c r="M81" i="1"/>
  <c r="M77" i="1"/>
  <c r="N37" i="1"/>
  <c r="M86" i="1"/>
  <c r="M85" i="1"/>
  <c r="M100" i="1"/>
  <c r="M101" i="1" s="1"/>
  <c r="M73" i="1"/>
  <c r="L105" i="1"/>
  <c r="L88" i="1"/>
  <c r="L104" i="1"/>
  <c r="L87" i="1"/>
  <c r="L43" i="1"/>
  <c r="M60" i="1"/>
  <c r="M62" i="1"/>
  <c r="M42" i="1"/>
  <c r="M54" i="1"/>
  <c r="M55" i="1"/>
  <c r="M56" i="1"/>
  <c r="M53" i="1"/>
  <c r="M59" i="1"/>
  <c r="N78" i="1" l="1"/>
  <c r="N75" i="1"/>
  <c r="N72" i="1"/>
  <c r="N69" i="1"/>
  <c r="N51" i="1"/>
  <c r="N102" i="1"/>
  <c r="N74" i="1"/>
  <c r="N79" i="1"/>
  <c r="N81" i="1"/>
  <c r="N76" i="1"/>
  <c r="N86" i="1"/>
  <c r="N94" i="1"/>
  <c r="N95" i="1" s="1"/>
  <c r="N70" i="1"/>
  <c r="N100" i="1"/>
  <c r="N101" i="1" s="1"/>
  <c r="T37" i="1"/>
  <c r="T45" i="1" s="1"/>
  <c r="M88" i="1"/>
  <c r="M104" i="1"/>
  <c r="N82" i="1"/>
  <c r="N80" i="1"/>
  <c r="N83" i="1"/>
  <c r="N92" i="1"/>
  <c r="N93" i="1" s="1"/>
  <c r="N85" i="1"/>
  <c r="N77" i="1"/>
  <c r="N45" i="1"/>
  <c r="M105" i="1"/>
  <c r="N98" i="1"/>
  <c r="N99" i="1" s="1"/>
  <c r="N96" i="1"/>
  <c r="N97" i="1" s="1"/>
  <c r="N38" i="1"/>
  <c r="N73" i="1"/>
  <c r="N41" i="1"/>
  <c r="N42" i="1" s="1"/>
  <c r="N84" i="1"/>
  <c r="N71" i="1"/>
  <c r="M87" i="1"/>
  <c r="T62" i="1"/>
  <c r="N52" i="1"/>
  <c r="N62" i="1"/>
  <c r="N60" i="1"/>
  <c r="N59" i="1"/>
  <c r="N54" i="1"/>
  <c r="N56" i="1"/>
  <c r="N55" i="1"/>
  <c r="N53" i="1"/>
  <c r="P37" i="1" l="1"/>
  <c r="S37" i="1"/>
  <c r="O37" i="1"/>
  <c r="N88" i="1"/>
  <c r="T77" i="1"/>
  <c r="T78" i="1"/>
  <c r="T76" i="1"/>
  <c r="T75" i="1"/>
  <c r="T38" i="1"/>
  <c r="T98" i="1"/>
  <c r="T99" i="1" s="1"/>
  <c r="T51" i="1"/>
  <c r="T100" i="1"/>
  <c r="T101" i="1" s="1"/>
  <c r="T86" i="1"/>
  <c r="T69" i="1"/>
  <c r="T82" i="1"/>
  <c r="T84" i="1"/>
  <c r="N87" i="1"/>
  <c r="T85" i="1"/>
  <c r="T41" i="1"/>
  <c r="T43" i="1" s="1"/>
  <c r="T72" i="1"/>
  <c r="T96" i="1"/>
  <c r="T97" i="1" s="1"/>
  <c r="N43" i="1"/>
  <c r="T71" i="1"/>
  <c r="T80" i="1"/>
  <c r="T94" i="1"/>
  <c r="T95" i="1" s="1"/>
  <c r="T83" i="1"/>
  <c r="T79" i="1"/>
  <c r="T92" i="1"/>
  <c r="T93" i="1" s="1"/>
  <c r="T74" i="1"/>
  <c r="T73" i="1"/>
  <c r="T102" i="1"/>
  <c r="T81" i="1"/>
  <c r="T70" i="1"/>
  <c r="U37" i="1"/>
  <c r="U73" i="1" s="1"/>
  <c r="N104" i="1"/>
  <c r="N105" i="1"/>
  <c r="T59" i="1"/>
  <c r="T60" i="1"/>
  <c r="Q49" i="1" s="1"/>
  <c r="T54" i="1"/>
  <c r="T56" i="1"/>
  <c r="T53" i="1"/>
  <c r="T55" i="1"/>
  <c r="R38" i="1" l="1"/>
  <c r="R51" i="1"/>
  <c r="R102" i="1"/>
  <c r="R92" i="1"/>
  <c r="R100" i="1"/>
  <c r="R101" i="1" s="1"/>
  <c r="R94" i="1"/>
  <c r="R95" i="1" s="1"/>
  <c r="R96" i="1"/>
  <c r="R97" i="1" s="1"/>
  <c r="R98" i="1"/>
  <c r="R99" i="1" s="1"/>
  <c r="R45" i="1"/>
  <c r="R46" i="1" s="1"/>
  <c r="R41" i="1"/>
  <c r="R71" i="1"/>
  <c r="R72" i="1"/>
  <c r="R76" i="1"/>
  <c r="R85" i="1"/>
  <c r="R79" i="1"/>
  <c r="R84" i="1"/>
  <c r="R80" i="1"/>
  <c r="R78" i="1"/>
  <c r="R75" i="1"/>
  <c r="R86" i="1"/>
  <c r="R69" i="1"/>
  <c r="R83" i="1"/>
  <c r="R77" i="1"/>
  <c r="R70" i="1"/>
  <c r="R81" i="1"/>
  <c r="R82" i="1"/>
  <c r="R74" i="1"/>
  <c r="R73" i="1"/>
  <c r="Q92" i="1"/>
  <c r="Q100" i="1"/>
  <c r="Q101" i="1" s="1"/>
  <c r="Q102" i="1"/>
  <c r="Q98" i="1"/>
  <c r="Q99" i="1" s="1"/>
  <c r="Q94" i="1"/>
  <c r="Q95" i="1" s="1"/>
  <c r="Q96" i="1"/>
  <c r="Q97" i="1" s="1"/>
  <c r="Q71" i="1"/>
  <c r="Q72" i="1"/>
  <c r="Q85" i="1"/>
  <c r="Q80" i="1"/>
  <c r="Q83" i="1"/>
  <c r="Q75" i="1"/>
  <c r="Q76" i="1"/>
  <c r="Q86" i="1"/>
  <c r="Q79" i="1"/>
  <c r="Q69" i="1"/>
  <c r="Q77" i="1"/>
  <c r="Q78" i="1"/>
  <c r="Q70" i="1"/>
  <c r="Q84" i="1"/>
  <c r="Q74" i="1"/>
  <c r="Q73" i="1"/>
  <c r="Q81" i="1"/>
  <c r="Q82" i="1"/>
  <c r="S47" i="1"/>
  <c r="R47" i="1"/>
  <c r="R49" i="1"/>
  <c r="R50" i="1" s="1"/>
  <c r="U85" i="1"/>
  <c r="U81" i="1"/>
  <c r="Q38" i="1"/>
  <c r="Q45" i="1"/>
  <c r="Q46" i="1" s="1"/>
  <c r="Q41" i="1"/>
  <c r="Q51" i="1"/>
  <c r="Q47" i="1"/>
  <c r="Q50" i="1"/>
  <c r="U82" i="1"/>
  <c r="U71" i="1"/>
  <c r="U79" i="1"/>
  <c r="U70" i="1"/>
  <c r="U77" i="1"/>
  <c r="U75" i="1"/>
  <c r="U51" i="1"/>
  <c r="S100" i="1"/>
  <c r="S101" i="1" s="1"/>
  <c r="S38" i="1"/>
  <c r="S96" i="1"/>
  <c r="S97" i="1" s="1"/>
  <c r="S92" i="1"/>
  <c r="S102" i="1"/>
  <c r="S94" i="1"/>
  <c r="S95" i="1" s="1"/>
  <c r="S41" i="1"/>
  <c r="S51" i="1"/>
  <c r="S45" i="1"/>
  <c r="S46" i="1" s="1"/>
  <c r="S98" i="1"/>
  <c r="S99" i="1" s="1"/>
  <c r="S72" i="1"/>
  <c r="S71" i="1"/>
  <c r="S73" i="1"/>
  <c r="S69" i="1"/>
  <c r="S70" i="1"/>
  <c r="S77" i="1"/>
  <c r="S81" i="1"/>
  <c r="S82" i="1"/>
  <c r="S85" i="1"/>
  <c r="S75" i="1"/>
  <c r="S76" i="1"/>
  <c r="S86" i="1"/>
  <c r="S79" i="1"/>
  <c r="S84" i="1"/>
  <c r="S74" i="1"/>
  <c r="S80" i="1"/>
  <c r="S83" i="1"/>
  <c r="S78" i="1"/>
  <c r="U45" i="1"/>
  <c r="U98" i="1"/>
  <c r="U99" i="1" s="1"/>
  <c r="P96" i="1"/>
  <c r="P97" i="1" s="1"/>
  <c r="P38" i="1"/>
  <c r="P92" i="1"/>
  <c r="P102" i="1"/>
  <c r="P41" i="1"/>
  <c r="P51" i="1"/>
  <c r="P45" i="1"/>
  <c r="P46" i="1" s="1"/>
  <c r="P98" i="1"/>
  <c r="P99" i="1" s="1"/>
  <c r="P94" i="1"/>
  <c r="P95" i="1" s="1"/>
  <c r="P100" i="1"/>
  <c r="P101" i="1" s="1"/>
  <c r="P71" i="1"/>
  <c r="P72" i="1"/>
  <c r="P77" i="1"/>
  <c r="P81" i="1"/>
  <c r="P75" i="1"/>
  <c r="P84" i="1"/>
  <c r="P86" i="1"/>
  <c r="P79" i="1"/>
  <c r="P83" i="1"/>
  <c r="P80" i="1"/>
  <c r="P76" i="1"/>
  <c r="P73" i="1"/>
  <c r="P85" i="1"/>
  <c r="P78" i="1"/>
  <c r="P82" i="1"/>
  <c r="P69" i="1"/>
  <c r="P74" i="1"/>
  <c r="P70" i="1"/>
  <c r="U96" i="1"/>
  <c r="U97" i="1" s="1"/>
  <c r="U92" i="1"/>
  <c r="U93" i="1" s="1"/>
  <c r="T105" i="1"/>
  <c r="U78" i="1"/>
  <c r="S49" i="1"/>
  <c r="S50" i="1" s="1"/>
  <c r="P47" i="1"/>
  <c r="P49" i="1"/>
  <c r="P50" i="1" s="1"/>
  <c r="O47" i="1"/>
  <c r="O49" i="1"/>
  <c r="O50" i="1" s="1"/>
  <c r="U76" i="1"/>
  <c r="O92" i="1"/>
  <c r="O98" i="1"/>
  <c r="O99" i="1" s="1"/>
  <c r="O94" i="1"/>
  <c r="O95" i="1" s="1"/>
  <c r="O41" i="1"/>
  <c r="O51" i="1"/>
  <c r="O102" i="1"/>
  <c r="O45" i="1"/>
  <c r="O46" i="1" s="1"/>
  <c r="O38" i="1"/>
  <c r="O96" i="1"/>
  <c r="O97" i="1" s="1"/>
  <c r="O100" i="1"/>
  <c r="O101" i="1" s="1"/>
  <c r="O71" i="1"/>
  <c r="O72" i="1"/>
  <c r="O75" i="1"/>
  <c r="O69" i="1"/>
  <c r="O81" i="1"/>
  <c r="O76" i="1"/>
  <c r="O86" i="1"/>
  <c r="O79" i="1"/>
  <c r="O83" i="1"/>
  <c r="O77" i="1"/>
  <c r="O84" i="1"/>
  <c r="O85" i="1"/>
  <c r="O80" i="1"/>
  <c r="O74" i="1"/>
  <c r="O78" i="1"/>
  <c r="O82" i="1"/>
  <c r="O70" i="1"/>
  <c r="O73" i="1"/>
  <c r="T42" i="1"/>
  <c r="U94" i="1"/>
  <c r="U95" i="1" s="1"/>
  <c r="T87" i="1"/>
  <c r="U86" i="1"/>
  <c r="U102" i="1"/>
  <c r="U41" i="1"/>
  <c r="U43" i="1" s="1"/>
  <c r="T88" i="1"/>
  <c r="U83" i="1"/>
  <c r="U74" i="1"/>
  <c r="U38" i="1"/>
  <c r="U69" i="1"/>
  <c r="U80" i="1"/>
  <c r="V37" i="1"/>
  <c r="V45" i="1" s="1"/>
  <c r="T104" i="1"/>
  <c r="U72" i="1"/>
  <c r="U100" i="1"/>
  <c r="U101" i="1" s="1"/>
  <c r="U84" i="1"/>
  <c r="U62" i="1"/>
  <c r="U60" i="1"/>
  <c r="U59" i="1"/>
  <c r="U55" i="1"/>
  <c r="U56" i="1"/>
  <c r="U53" i="1"/>
  <c r="U54" i="1"/>
  <c r="R88" i="1" l="1"/>
  <c r="P88" i="1"/>
  <c r="Q87" i="1"/>
  <c r="Q88" i="1"/>
  <c r="R42" i="1"/>
  <c r="R43" i="1"/>
  <c r="R44" i="1" s="1"/>
  <c r="Q93" i="1"/>
  <c r="Q105" i="1" s="1"/>
  <c r="Q104" i="1"/>
  <c r="R87" i="1"/>
  <c r="R93" i="1"/>
  <c r="R105" i="1" s="1"/>
  <c r="R104" i="1"/>
  <c r="R48" i="1"/>
  <c r="R39" i="1" s="1"/>
  <c r="R40" i="1" s="1"/>
  <c r="U42" i="1"/>
  <c r="U87" i="1"/>
  <c r="Q42" i="1"/>
  <c r="Q43" i="1"/>
  <c r="Q44" i="1" s="1"/>
  <c r="Q48" i="1"/>
  <c r="Q39" i="1" s="1"/>
  <c r="Q40" i="1" s="1"/>
  <c r="S88" i="1"/>
  <c r="S93" i="1"/>
  <c r="S105" i="1" s="1"/>
  <c r="S104" i="1"/>
  <c r="O88" i="1"/>
  <c r="O104" i="1"/>
  <c r="O93" i="1"/>
  <c r="O105" i="1" s="1"/>
  <c r="P42" i="1"/>
  <c r="P43" i="1"/>
  <c r="P44" i="1" s="1"/>
  <c r="O42" i="1"/>
  <c r="O43" i="1"/>
  <c r="O44" i="1" s="1"/>
  <c r="P87" i="1"/>
  <c r="P104" i="1"/>
  <c r="P93" i="1"/>
  <c r="P105" i="1" s="1"/>
  <c r="V83" i="1"/>
  <c r="O48" i="1"/>
  <c r="O39" i="1" s="1"/>
  <c r="O40" i="1" s="1"/>
  <c r="S87" i="1"/>
  <c r="P48" i="1"/>
  <c r="P39" i="1" s="1"/>
  <c r="P40" i="1" s="1"/>
  <c r="S42" i="1"/>
  <c r="S43" i="1"/>
  <c r="S44" i="1" s="1"/>
  <c r="O87" i="1"/>
  <c r="V82" i="1"/>
  <c r="V70" i="1"/>
  <c r="V71" i="1"/>
  <c r="S48" i="1"/>
  <c r="S39" i="1" s="1"/>
  <c r="S40" i="1" s="1"/>
  <c r="V98" i="1"/>
  <c r="V99" i="1" s="1"/>
  <c r="V75" i="1"/>
  <c r="V81" i="1"/>
  <c r="V96" i="1"/>
  <c r="V97" i="1" s="1"/>
  <c r="U88" i="1"/>
  <c r="V78" i="1"/>
  <c r="V80" i="1"/>
  <c r="V86" i="1"/>
  <c r="V84" i="1"/>
  <c r="V72" i="1"/>
  <c r="V69" i="1"/>
  <c r="V76" i="1"/>
  <c r="V73" i="1"/>
  <c r="V102" i="1"/>
  <c r="V38" i="1"/>
  <c r="V77" i="1"/>
  <c r="V85" i="1"/>
  <c r="V74" i="1"/>
  <c r="W37" i="1"/>
  <c r="W45" i="1" s="1"/>
  <c r="V100" i="1"/>
  <c r="V101" i="1" s="1"/>
  <c r="V79" i="1"/>
  <c r="V51" i="1"/>
  <c r="V92" i="1"/>
  <c r="V94" i="1"/>
  <c r="V95" i="1" s="1"/>
  <c r="V41" i="1"/>
  <c r="V42" i="1" s="1"/>
  <c r="U104" i="1"/>
  <c r="U105" i="1"/>
  <c r="V62" i="1"/>
  <c r="V60" i="1"/>
  <c r="T52" i="1" s="1"/>
  <c r="V59" i="1"/>
  <c r="V56" i="1"/>
  <c r="V53" i="1"/>
  <c r="V55" i="1"/>
  <c r="V54" i="1"/>
  <c r="V93" i="1"/>
  <c r="X37" i="1" l="1"/>
  <c r="X45" i="1" s="1"/>
  <c r="W73" i="1"/>
  <c r="W77" i="1"/>
  <c r="W75" i="1"/>
  <c r="W102" i="1"/>
  <c r="W41" i="1"/>
  <c r="W85" i="1"/>
  <c r="W84" i="1"/>
  <c r="W70" i="1"/>
  <c r="W98" i="1"/>
  <c r="W99" i="1" s="1"/>
  <c r="W92" i="1"/>
  <c r="W93" i="1" s="1"/>
  <c r="W71" i="1"/>
  <c r="W79" i="1"/>
  <c r="W96" i="1"/>
  <c r="W97" i="1" s="1"/>
  <c r="W81" i="1"/>
  <c r="W72" i="1"/>
  <c r="W38" i="1"/>
  <c r="V105" i="1"/>
  <c r="W76" i="1"/>
  <c r="W69" i="1"/>
  <c r="V104" i="1"/>
  <c r="V88" i="1"/>
  <c r="V43" i="1"/>
  <c r="W94" i="1"/>
  <c r="W95" i="1" s="1"/>
  <c r="W80" i="1"/>
  <c r="W82" i="1"/>
  <c r="W78" i="1"/>
  <c r="V87" i="1"/>
  <c r="W74" i="1"/>
  <c r="W86" i="1"/>
  <c r="W51" i="1"/>
  <c r="W83" i="1"/>
  <c r="W100" i="1"/>
  <c r="W101" i="1" s="1"/>
  <c r="K44" i="1"/>
  <c r="L44" i="1"/>
  <c r="M44" i="1"/>
  <c r="N44" i="1"/>
  <c r="T44" i="1"/>
  <c r="T47" i="1"/>
  <c r="K46" i="1"/>
  <c r="M46" i="1"/>
  <c r="L46" i="1"/>
  <c r="T46" i="1"/>
  <c r="N46" i="1"/>
  <c r="T49" i="1"/>
  <c r="T50" i="1" s="1"/>
  <c r="J47" i="1"/>
  <c r="K49" i="1"/>
  <c r="K50" i="1" s="1"/>
  <c r="L49" i="1"/>
  <c r="L50" i="1" s="1"/>
  <c r="I47" i="1"/>
  <c r="N49" i="1"/>
  <c r="N50" i="1" s="1"/>
  <c r="K47" i="1"/>
  <c r="M49" i="1"/>
  <c r="M50" i="1" s="1"/>
  <c r="L47" i="1"/>
  <c r="M47" i="1"/>
  <c r="N47" i="1"/>
  <c r="W60" i="1"/>
  <c r="W62" i="1"/>
  <c r="W42" i="1"/>
  <c r="W43" i="1"/>
  <c r="W53" i="1"/>
  <c r="W55" i="1"/>
  <c r="W59" i="1"/>
  <c r="W54" i="1"/>
  <c r="W56" i="1"/>
  <c r="X38" i="1"/>
  <c r="X41" i="1"/>
  <c r="X43" i="1" s="1"/>
  <c r="X51" i="1"/>
  <c r="Y37" i="1"/>
  <c r="X72" i="1"/>
  <c r="X84" i="1"/>
  <c r="X81" i="1"/>
  <c r="X74" i="1"/>
  <c r="X70" i="1"/>
  <c r="X96" i="1"/>
  <c r="X97" i="1" s="1"/>
  <c r="X102" i="1"/>
  <c r="X79" i="1"/>
  <c r="X73" i="1"/>
  <c r="X86" i="1"/>
  <c r="X100" i="1"/>
  <c r="X101" i="1" s="1"/>
  <c r="X75" i="1"/>
  <c r="X76" i="1"/>
  <c r="X83" i="1"/>
  <c r="X94" i="1"/>
  <c r="X95" i="1" s="1"/>
  <c r="X77" i="1"/>
  <c r="X98" i="1"/>
  <c r="X99" i="1" s="1"/>
  <c r="X71" i="1"/>
  <c r="X78" i="1"/>
  <c r="X69" i="1"/>
  <c r="X80" i="1"/>
  <c r="X82" i="1"/>
  <c r="X92" i="1"/>
  <c r="X85" i="1"/>
  <c r="W87" i="1" l="1"/>
  <c r="W105" i="1"/>
  <c r="W88" i="1"/>
  <c r="W104" i="1"/>
  <c r="T48" i="1"/>
  <c r="T39" i="1" s="1"/>
  <c r="T40" i="1" s="1"/>
  <c r="I48" i="1"/>
  <c r="I39" i="1" s="1"/>
  <c r="I40" i="1" s="1"/>
  <c r="J48" i="1"/>
  <c r="J39" i="1" s="1"/>
  <c r="J40" i="1" s="1"/>
  <c r="N48" i="1"/>
  <c r="N39" i="1" s="1"/>
  <c r="N40" i="1" s="1"/>
  <c r="L48" i="1"/>
  <c r="L39" i="1" s="1"/>
  <c r="L40" i="1" s="1"/>
  <c r="M48" i="1"/>
  <c r="M39" i="1" s="1"/>
  <c r="M40" i="1" s="1"/>
  <c r="K48" i="1"/>
  <c r="K39" i="1" s="1"/>
  <c r="K40" i="1" s="1"/>
  <c r="Y41" i="1"/>
  <c r="Y45" i="1"/>
  <c r="X42" i="1"/>
  <c r="X60" i="1"/>
  <c r="X62" i="1"/>
  <c r="X53" i="1"/>
  <c r="X55" i="1"/>
  <c r="X56" i="1"/>
  <c r="X59" i="1"/>
  <c r="X54" i="1"/>
  <c r="Y51" i="1"/>
  <c r="X87" i="1"/>
  <c r="X88" i="1"/>
  <c r="X93" i="1"/>
  <c r="X105" i="1" s="1"/>
  <c r="X104" i="1"/>
  <c r="Z37" i="1"/>
  <c r="Y74" i="1"/>
  <c r="Y79" i="1"/>
  <c r="Y73" i="1"/>
  <c r="Y72" i="1"/>
  <c r="Y78" i="1"/>
  <c r="Y102" i="1"/>
  <c r="Y69" i="1"/>
  <c r="Y83" i="1"/>
  <c r="Y98" i="1"/>
  <c r="Y99" i="1" s="1"/>
  <c r="Y77" i="1"/>
  <c r="Y84" i="1"/>
  <c r="Y85" i="1"/>
  <c r="Y81" i="1"/>
  <c r="Y96" i="1"/>
  <c r="Y97" i="1" s="1"/>
  <c r="Y38" i="1"/>
  <c r="Y94" i="1"/>
  <c r="Y95" i="1" s="1"/>
  <c r="Y76" i="1"/>
  <c r="Y82" i="1"/>
  <c r="Y75" i="1"/>
  <c r="Y70" i="1"/>
  <c r="Y100" i="1"/>
  <c r="Y101" i="1" s="1"/>
  <c r="Y92" i="1"/>
  <c r="Y80" i="1"/>
  <c r="Y86" i="1"/>
  <c r="Y71" i="1"/>
  <c r="Y60" i="1" l="1"/>
  <c r="Y62" i="1"/>
  <c r="Z41" i="1"/>
  <c r="Z45" i="1"/>
  <c r="Y42" i="1"/>
  <c r="Y43" i="1"/>
  <c r="Y56" i="1"/>
  <c r="Y55" i="1"/>
  <c r="Y53" i="1"/>
  <c r="Y59" i="1"/>
  <c r="Y54" i="1"/>
  <c r="Z51" i="1"/>
  <c r="Y87" i="1"/>
  <c r="Y93" i="1"/>
  <c r="Y105" i="1" s="1"/>
  <c r="Y104" i="1"/>
  <c r="AA37" i="1"/>
  <c r="Z72" i="1"/>
  <c r="Z75" i="1"/>
  <c r="Z77" i="1"/>
  <c r="Z76" i="1"/>
  <c r="Z86" i="1"/>
  <c r="Z98" i="1"/>
  <c r="Z99" i="1" s="1"/>
  <c r="Z73" i="1"/>
  <c r="Z79" i="1"/>
  <c r="Z83" i="1"/>
  <c r="Z94" i="1"/>
  <c r="Z95" i="1" s="1"/>
  <c r="Z78" i="1"/>
  <c r="Z96" i="1"/>
  <c r="Z97" i="1" s="1"/>
  <c r="Z82" i="1"/>
  <c r="Z102" i="1"/>
  <c r="Z70" i="1"/>
  <c r="Z80" i="1"/>
  <c r="Z100" i="1"/>
  <c r="Z101" i="1" s="1"/>
  <c r="Z92" i="1"/>
  <c r="Z71" i="1"/>
  <c r="Z74" i="1"/>
  <c r="Z69" i="1"/>
  <c r="Z85" i="1"/>
  <c r="Z84" i="1"/>
  <c r="Z38" i="1"/>
  <c r="Z81" i="1"/>
  <c r="Y88" i="1"/>
  <c r="AA41" i="1" l="1"/>
  <c r="AA45" i="1"/>
  <c r="Z60" i="1"/>
  <c r="Z62" i="1"/>
  <c r="Z42" i="1"/>
  <c r="Z43" i="1"/>
  <c r="Z56" i="1"/>
  <c r="Z53" i="1"/>
  <c r="Z55" i="1"/>
  <c r="Z59" i="1"/>
  <c r="Z54" i="1"/>
  <c r="AA51" i="1"/>
  <c r="Z88" i="1"/>
  <c r="Z93" i="1"/>
  <c r="Z105" i="1" s="1"/>
  <c r="Z104" i="1"/>
  <c r="Z87" i="1"/>
  <c r="AB37" i="1"/>
  <c r="AA96" i="1"/>
  <c r="AA97" i="1" s="1"/>
  <c r="AA74" i="1"/>
  <c r="AA70" i="1"/>
  <c r="AA79" i="1"/>
  <c r="AA100" i="1"/>
  <c r="AA101" i="1" s="1"/>
  <c r="AA72" i="1"/>
  <c r="AA98" i="1"/>
  <c r="AA99" i="1" s="1"/>
  <c r="AA78" i="1"/>
  <c r="AA71" i="1"/>
  <c r="AA76" i="1"/>
  <c r="AA92" i="1"/>
  <c r="AA75" i="1"/>
  <c r="AA80" i="1"/>
  <c r="AA82" i="1"/>
  <c r="AA38" i="1"/>
  <c r="AA94" i="1"/>
  <c r="AA95" i="1" s="1"/>
  <c r="AA85" i="1"/>
  <c r="AA73" i="1"/>
  <c r="AA86" i="1"/>
  <c r="AA69" i="1"/>
  <c r="AA84" i="1"/>
  <c r="AA83" i="1"/>
  <c r="AA77" i="1"/>
  <c r="AA102" i="1"/>
  <c r="AA81" i="1"/>
  <c r="AA62" i="1" l="1"/>
  <c r="AA60" i="1"/>
  <c r="AB41" i="1"/>
  <c r="AB45" i="1"/>
  <c r="AA42" i="1"/>
  <c r="AA43" i="1"/>
  <c r="AA53" i="1"/>
  <c r="AA55" i="1"/>
  <c r="AA59" i="1"/>
  <c r="AA54" i="1"/>
  <c r="AA56" i="1"/>
  <c r="AB51" i="1"/>
  <c r="AC37" i="1"/>
  <c r="AA87" i="1"/>
  <c r="AA88" i="1"/>
  <c r="AA93" i="1"/>
  <c r="AA105" i="1" s="1"/>
  <c r="AA104" i="1"/>
  <c r="AB75" i="1"/>
  <c r="AB81" i="1"/>
  <c r="AB78" i="1"/>
  <c r="AB70" i="1"/>
  <c r="AB72" i="1"/>
  <c r="AB69" i="1"/>
  <c r="AB102" i="1"/>
  <c r="AB79" i="1"/>
  <c r="AB100" i="1"/>
  <c r="AB101" i="1" s="1"/>
  <c r="AB73" i="1"/>
  <c r="AB82" i="1"/>
  <c r="AB76" i="1"/>
  <c r="AB84" i="1"/>
  <c r="AB98" i="1"/>
  <c r="AB99" i="1" s="1"/>
  <c r="AB94" i="1"/>
  <c r="AB95" i="1" s="1"/>
  <c r="AB92" i="1"/>
  <c r="AB71" i="1"/>
  <c r="AB85" i="1"/>
  <c r="AB86" i="1"/>
  <c r="AB83" i="1"/>
  <c r="AB96" i="1"/>
  <c r="AB97" i="1" s="1"/>
  <c r="AB77" i="1"/>
  <c r="AB80" i="1"/>
  <c r="AB74" i="1"/>
  <c r="AB38" i="1"/>
  <c r="U44" i="1" l="1"/>
  <c r="U47" i="1"/>
  <c r="U46" i="1"/>
  <c r="U52" i="1"/>
  <c r="U49" i="1"/>
  <c r="U50" i="1" s="1"/>
  <c r="V52" i="1"/>
  <c r="V49" i="1"/>
  <c r="V50" i="1" s="1"/>
  <c r="V46" i="1"/>
  <c r="V44" i="1"/>
  <c r="V47" i="1"/>
  <c r="AC41" i="1"/>
  <c r="AC43" i="1" s="1"/>
  <c r="AC45" i="1"/>
  <c r="AB62" i="1"/>
  <c r="AB60" i="1"/>
  <c r="AB42" i="1"/>
  <c r="AB43" i="1"/>
  <c r="AB59" i="1"/>
  <c r="AB54" i="1"/>
  <c r="AB53" i="1"/>
  <c r="AB55" i="1"/>
  <c r="AB56" i="1"/>
  <c r="AC51" i="1"/>
  <c r="AD37" i="1"/>
  <c r="D33" i="1" s="1"/>
  <c r="AC92" i="1"/>
  <c r="AC98" i="1"/>
  <c r="AC99" i="1" s="1"/>
  <c r="AC94" i="1"/>
  <c r="AC95" i="1" s="1"/>
  <c r="AC38" i="1"/>
  <c r="AC100" i="1"/>
  <c r="AC101" i="1" s="1"/>
  <c r="AC96" i="1"/>
  <c r="AC97" i="1" s="1"/>
  <c r="AC102" i="1"/>
  <c r="AC71" i="1"/>
  <c r="AC72" i="1"/>
  <c r="AC78" i="1"/>
  <c r="AC73" i="1"/>
  <c r="AC86" i="1"/>
  <c r="AC77" i="1"/>
  <c r="AC85" i="1"/>
  <c r="AC83" i="1"/>
  <c r="AC69" i="1"/>
  <c r="AC74" i="1"/>
  <c r="AC84" i="1"/>
  <c r="AC79" i="1"/>
  <c r="AC70" i="1"/>
  <c r="AC80" i="1"/>
  <c r="AC81" i="1"/>
  <c r="AC75" i="1"/>
  <c r="AC82" i="1"/>
  <c r="AC76" i="1"/>
  <c r="AB87" i="1"/>
  <c r="AB93" i="1"/>
  <c r="AB105" i="1" s="1"/>
  <c r="AB104" i="1"/>
  <c r="AB88" i="1"/>
  <c r="U48" i="1" l="1"/>
  <c r="U39" i="1" s="1"/>
  <c r="U40" i="1" s="1"/>
  <c r="V48" i="1"/>
  <c r="V39" i="1" s="1"/>
  <c r="V40" i="1" s="1"/>
  <c r="W46" i="1"/>
  <c r="X44" i="1"/>
  <c r="Y44" i="1"/>
  <c r="Z44" i="1"/>
  <c r="X46" i="1"/>
  <c r="W44" i="1"/>
  <c r="AA44" i="1"/>
  <c r="Y46" i="1"/>
  <c r="Z46" i="1"/>
  <c r="AA46" i="1"/>
  <c r="W49" i="1"/>
  <c r="W50" i="1" s="1"/>
  <c r="W52" i="1"/>
  <c r="W47" i="1"/>
  <c r="X47" i="1"/>
  <c r="X52" i="1"/>
  <c r="X49" i="1"/>
  <c r="X50" i="1" s="1"/>
  <c r="Y49" i="1"/>
  <c r="Y50" i="1" s="1"/>
  <c r="Y52" i="1"/>
  <c r="Y47" i="1"/>
  <c r="Z49" i="1"/>
  <c r="Z50" i="1" s="1"/>
  <c r="Z52" i="1"/>
  <c r="Z47" i="1"/>
  <c r="AA49" i="1"/>
  <c r="AA50" i="1" s="1"/>
  <c r="AA47" i="1"/>
  <c r="AA52" i="1"/>
  <c r="AD41" i="1"/>
  <c r="AD45" i="1"/>
  <c r="AC60" i="1"/>
  <c r="AC62" i="1"/>
  <c r="AC42" i="1"/>
  <c r="AC54" i="1"/>
  <c r="AC55" i="1"/>
  <c r="AC53" i="1"/>
  <c r="AC56" i="1"/>
  <c r="AC59" i="1"/>
  <c r="AD51" i="1"/>
  <c r="AC93" i="1"/>
  <c r="AC105" i="1" s="1"/>
  <c r="AC104" i="1"/>
  <c r="AC87" i="1"/>
  <c r="AC88" i="1"/>
  <c r="AD92" i="1"/>
  <c r="AD98" i="1"/>
  <c r="AD99" i="1" s="1"/>
  <c r="AD100" i="1"/>
  <c r="AD101" i="1" s="1"/>
  <c r="AD96" i="1"/>
  <c r="AD97" i="1" s="1"/>
  <c r="AD102" i="1"/>
  <c r="AD94" i="1"/>
  <c r="AD95" i="1" s="1"/>
  <c r="AD72" i="1"/>
  <c r="AE37" i="1"/>
  <c r="AD38" i="1"/>
  <c r="AD71" i="1"/>
  <c r="AD77" i="1"/>
  <c r="AD73" i="1"/>
  <c r="AD86" i="1"/>
  <c r="AD70" i="1"/>
  <c r="AD78" i="1"/>
  <c r="AD74" i="1"/>
  <c r="AD80" i="1"/>
  <c r="AD85" i="1"/>
  <c r="AD76" i="1"/>
  <c r="AD69" i="1"/>
  <c r="AD79" i="1"/>
  <c r="AD81" i="1"/>
  <c r="AD75" i="1"/>
  <c r="AD84" i="1"/>
  <c r="AD83" i="1"/>
  <c r="AD82" i="1"/>
  <c r="AE81" i="1" l="1"/>
  <c r="AE41" i="1"/>
  <c r="AA48" i="1"/>
  <c r="AA39" i="1" s="1"/>
  <c r="AA40" i="1" s="1"/>
  <c r="X48" i="1"/>
  <c r="X39" i="1" s="1"/>
  <c r="X40" i="1" s="1"/>
  <c r="Y48" i="1"/>
  <c r="Y39" i="1" s="1"/>
  <c r="Y40" i="1" s="1"/>
  <c r="Z48" i="1"/>
  <c r="Z39" i="1" s="1"/>
  <c r="Z40" i="1" s="1"/>
  <c r="W48" i="1"/>
  <c r="W39" i="1" s="1"/>
  <c r="W40" i="1" s="1"/>
  <c r="AD60" i="1"/>
  <c r="AD62" i="1"/>
  <c r="AE51" i="1"/>
  <c r="AE45" i="1"/>
  <c r="AD42" i="1"/>
  <c r="AD43" i="1"/>
  <c r="AD55" i="1"/>
  <c r="AD54" i="1"/>
  <c r="AD53" i="1"/>
  <c r="AD56" i="1"/>
  <c r="AD59" i="1"/>
  <c r="AD88" i="1"/>
  <c r="AD104" i="1"/>
  <c r="AD93" i="1"/>
  <c r="AD105" i="1" s="1"/>
  <c r="AD87" i="1"/>
  <c r="AE96" i="1"/>
  <c r="AE97" i="1" s="1"/>
  <c r="AE92" i="1"/>
  <c r="AE98" i="1"/>
  <c r="AE99" i="1" s="1"/>
  <c r="AE94" i="1"/>
  <c r="AE95" i="1" s="1"/>
  <c r="AE100" i="1"/>
  <c r="AE101" i="1" s="1"/>
  <c r="AE102" i="1"/>
  <c r="AE72" i="1"/>
  <c r="AE71" i="1"/>
  <c r="AE82" i="1"/>
  <c r="AE76" i="1"/>
  <c r="AE79" i="1"/>
  <c r="AE70" i="1"/>
  <c r="AE77" i="1"/>
  <c r="AE75" i="1"/>
  <c r="AE83" i="1"/>
  <c r="AE80" i="1"/>
  <c r="AE85" i="1"/>
  <c r="AE78" i="1"/>
  <c r="AE73" i="1"/>
  <c r="AE38" i="1"/>
  <c r="AE69" i="1"/>
  <c r="AE86" i="1"/>
  <c r="AE74" i="1"/>
  <c r="AE84" i="1"/>
  <c r="AB46" i="1" l="1"/>
  <c r="AB47" i="1"/>
  <c r="AB49" i="1"/>
  <c r="AB50" i="1" s="1"/>
  <c r="AB52" i="1"/>
  <c r="AB44" i="1"/>
  <c r="AE43" i="1"/>
  <c r="AE42" i="1"/>
  <c r="AE60" i="1"/>
  <c r="AE62" i="1"/>
  <c r="AE56" i="1"/>
  <c r="AE53" i="1"/>
  <c r="AE59" i="1"/>
  <c r="AE54" i="1"/>
  <c r="AE55" i="1"/>
  <c r="AE88" i="1"/>
  <c r="AE87" i="1"/>
  <c r="AE93" i="1"/>
  <c r="AE105" i="1" s="1"/>
  <c r="AE104" i="1"/>
  <c r="AB48" i="1" l="1"/>
  <c r="AB39" i="1" s="1"/>
  <c r="AB40" i="1" s="1"/>
  <c r="AC46" i="1"/>
  <c r="AC44" i="1"/>
  <c r="AD44" i="1"/>
  <c r="AD46" i="1"/>
  <c r="AC52" i="1"/>
  <c r="AC47" i="1"/>
  <c r="AC49" i="1"/>
  <c r="AC50" i="1" s="1"/>
  <c r="AD47" i="1"/>
  <c r="AD49" i="1"/>
  <c r="AD50" i="1" s="1"/>
  <c r="AD52" i="1"/>
  <c r="AF60" i="1"/>
  <c r="AF52" i="1" s="1"/>
  <c r="AF62" i="1"/>
  <c r="AF47" i="1" s="1"/>
  <c r="AF56" i="1"/>
  <c r="AF53" i="1"/>
  <c r="AF59" i="1"/>
  <c r="AG36" i="1"/>
  <c r="AF55" i="1"/>
  <c r="AF54" i="1"/>
  <c r="AE47" i="1" l="1"/>
  <c r="AE52" i="1"/>
  <c r="AE49" i="1"/>
  <c r="AE50" i="1" s="1"/>
  <c r="AE46" i="1"/>
  <c r="AE44" i="1"/>
  <c r="AF44" i="1"/>
  <c r="AC48" i="1"/>
  <c r="AC39" i="1" s="1"/>
  <c r="AC40" i="1" s="1"/>
  <c r="AD48" i="1"/>
  <c r="AD39" i="1" s="1"/>
  <c r="AD40" i="1" s="1"/>
  <c r="AF49" i="1"/>
  <c r="AF50" i="1" s="1"/>
  <c r="AF48" i="1" s="1"/>
  <c r="AG60" i="1"/>
  <c r="AG59" i="1"/>
  <c r="AG62" i="1"/>
  <c r="AE48" i="1" l="1"/>
  <c r="AE39" i="1" s="1"/>
  <c r="AE40" i="1" s="1"/>
  <c r="AG52" i="1"/>
  <c r="AF46" i="1"/>
  <c r="AF39" i="1" s="1"/>
  <c r="AF40" i="1" s="1"/>
</calcChain>
</file>

<file path=xl/sharedStrings.xml><?xml version="1.0" encoding="utf-8"?>
<sst xmlns="http://schemas.openxmlformats.org/spreadsheetml/2006/main" count="406" uniqueCount="319">
  <si>
    <t>Australian Population</t>
  </si>
  <si>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</si>
  <si>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</si>
  <si>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</si>
  <si>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</si>
  <si>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</si>
  <si>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</si>
  <si>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</si>
  <si>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</si>
  <si>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</si>
  <si>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</si>
  <si>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</si>
  <si>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</si>
  <si>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</si>
  <si>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</si>
  <si>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</si>
  <si>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</si>
  <si>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</si>
  <si>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</si>
  <si>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</si>
  <si>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</si>
  <si>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</si>
  <si>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t>
  </si>
  <si>
    <t>1</t>
  </si>
  <si>
    <t>2</t>
  </si>
  <si>
    <t>3</t>
  </si>
  <si>
    <t>4</t>
  </si>
  <si>
    <t>0–4</t>
  </si>
  <si>
    <t>5</t>
  </si>
  <si>
    <t>6</t>
  </si>
  <si>
    <t>7</t>
  </si>
  <si>
    <t>8</t>
  </si>
  <si>
    <t>9</t>
  </si>
  <si>
    <t>5–9</t>
  </si>
  <si>
    <t>10</t>
  </si>
  <si>
    <t>11</t>
  </si>
  <si>
    <t>12</t>
  </si>
  <si>
    <t>13</t>
  </si>
  <si>
    <t>14</t>
  </si>
  <si>
    <t>10–14</t>
  </si>
  <si>
    <t>15</t>
  </si>
  <si>
    <t>16</t>
  </si>
  <si>
    <t>17</t>
  </si>
  <si>
    <t>18</t>
  </si>
  <si>
    <t>19</t>
  </si>
  <si>
    <t>15–19</t>
  </si>
  <si>
    <t>20</t>
  </si>
  <si>
    <t>21</t>
  </si>
  <si>
    <t>22</t>
  </si>
  <si>
    <t>23</t>
  </si>
  <si>
    <t>24</t>
  </si>
  <si>
    <t>20–24</t>
  </si>
  <si>
    <t>25</t>
  </si>
  <si>
    <t>26</t>
  </si>
  <si>
    <t>27</t>
  </si>
  <si>
    <t>28</t>
  </si>
  <si>
    <t>29</t>
  </si>
  <si>
    <t>25–29</t>
  </si>
  <si>
    <t>30</t>
  </si>
  <si>
    <t>31</t>
  </si>
  <si>
    <t>32</t>
  </si>
  <si>
    <t>33</t>
  </si>
  <si>
    <t>34</t>
  </si>
  <si>
    <t>30–34</t>
  </si>
  <si>
    <t>35</t>
  </si>
  <si>
    <t>36</t>
  </si>
  <si>
    <t>37</t>
  </si>
  <si>
    <t>38</t>
  </si>
  <si>
    <t>39</t>
  </si>
  <si>
    <t>35–39</t>
  </si>
  <si>
    <t>40</t>
  </si>
  <si>
    <t>41</t>
  </si>
  <si>
    <t>42</t>
  </si>
  <si>
    <t>43</t>
  </si>
  <si>
    <t>44</t>
  </si>
  <si>
    <t>40–44</t>
  </si>
  <si>
    <t>45</t>
  </si>
  <si>
    <t>46</t>
  </si>
  <si>
    <t>47</t>
  </si>
  <si>
    <t>48</t>
  </si>
  <si>
    <t>49</t>
  </si>
  <si>
    <t>45–49</t>
  </si>
  <si>
    <t>50</t>
  </si>
  <si>
    <t>51</t>
  </si>
  <si>
    <t>52</t>
  </si>
  <si>
    <t>53</t>
  </si>
  <si>
    <t>54</t>
  </si>
  <si>
    <t>50–54</t>
  </si>
  <si>
    <t>55</t>
  </si>
  <si>
    <t>56</t>
  </si>
  <si>
    <t>57</t>
  </si>
  <si>
    <t>58</t>
  </si>
  <si>
    <t>59</t>
  </si>
  <si>
    <t>55–59</t>
  </si>
  <si>
    <t>60</t>
  </si>
  <si>
    <t>61</t>
  </si>
  <si>
    <t>62</t>
  </si>
  <si>
    <t>63</t>
  </si>
  <si>
    <t>64</t>
  </si>
  <si>
    <t>60–64</t>
  </si>
  <si>
    <t>65</t>
  </si>
  <si>
    <t>66</t>
  </si>
  <si>
    <t>67</t>
  </si>
  <si>
    <t>68</t>
  </si>
  <si>
    <t>69</t>
  </si>
  <si>
    <t>65–69</t>
  </si>
  <si>
    <t>70</t>
  </si>
  <si>
    <t>71</t>
  </si>
  <si>
    <t>72</t>
  </si>
  <si>
    <t>73</t>
  </si>
  <si>
    <t>74</t>
  </si>
  <si>
    <t>70–74</t>
  </si>
  <si>
    <t>75</t>
  </si>
  <si>
    <t>76</t>
  </si>
  <si>
    <t>77</t>
  </si>
  <si>
    <t>78</t>
  </si>
  <si>
    <t>79</t>
  </si>
  <si>
    <t>75–79</t>
  </si>
  <si>
    <t>80</t>
  </si>
  <si>
    <t>81</t>
  </si>
  <si>
    <t>82</t>
  </si>
  <si>
    <t>83</t>
  </si>
  <si>
    <t>84</t>
  </si>
  <si>
    <t>80–84</t>
  </si>
  <si>
    <t>85–89</t>
  </si>
  <si>
    <t>90–94</t>
  </si>
  <si>
    <t>95–99</t>
  </si>
  <si>
    <t>100 and over</t>
  </si>
  <si>
    <t>All ages</t>
  </si>
  <si>
    <t>Ages</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</si>
  <si>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</si>
  <si>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</si>
  <si>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</si>
  <si>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</si>
  <si>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</si>
  <si>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</si>
  <si>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</si>
  <si>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</si>
  <si>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</si>
  <si>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</si>
  <si>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</si>
  <si>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</si>
  <si>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</si>
  <si>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</si>
  <si>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Public Hospital Beds in Australia / 1,000</t>
  </si>
  <si>
    <t>ICU Beds in Australia / 100,000</t>
  </si>
  <si>
    <t>Naively models all deaths from CoronaVirus having been in ICU and reducing the ICU numbers over time</t>
  </si>
  <si>
    <t>Pop. Sep 2019</t>
  </si>
  <si>
    <t>Population estimated as at 30 June 2019</t>
  </si>
  <si>
    <t>Infection counts are detected infection counts, total population infection counts will be greater, but without whole population testing or some form of random sampling testing, total population infection numbers remains unknown</t>
  </si>
  <si>
    <t>From</t>
  </si>
  <si>
    <t>as of 21/3/2020, NB borders closed 9pm 20/3</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</si>
  <si>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</si>
  <si>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</si>
  <si>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</si>
  <si>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</si>
  <si>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</si>
  <si>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</si>
  <si>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</si>
  <si>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</si>
  <si>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</si>
  <si>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First death 1/3</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</si>
  <si>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</si>
  <si>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</si>
  <si>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</si>
  <si>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</si>
  <si>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</si>
  <si>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</si>
  <si>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</si>
  <si>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</si>
  <si>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</si>
  <si>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</si>
  <si>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</si>
  <si>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</si>
  <si>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</si>
  <si>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</si>
  <si>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</si>
  <si>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</si>
  <si>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</si>
  <si>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</si>
  <si>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</si>
  <si>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</si>
  <si>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</si>
  <si>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</si>
  <si>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</si>
  <si>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</si>
  <si>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</si>
  <si>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</si>
  <si>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</si>
  <si>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</si>
  <si>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</si>
  <si>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</si>
  <si>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</si>
  <si>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 xml:space="preserve"> of total (assumed)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</si>
  <si>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</si>
  <si>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</si>
  <si>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</si>
  <si>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</si>
  <si>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</si>
  <si>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</si>
  <si>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</si>
  <si>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</si>
  <si>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</si>
  <si>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</si>
  <si>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</si>
  <si>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</si>
  <si>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</si>
  <si>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</si>
  <si>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</si>
  <si>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</si>
  <si>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</si>
  <si>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</si>
  <si>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</si>
  <si>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</si>
  <si>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</si>
  <si>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</si>
  <si>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Stage 1 Shutdown</t>
  </si>
  <si>
    <t>Stage 2 Shutdown</t>
  </si>
  <si>
    <t>Stage 3 Shutdown</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</si>
  <si>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</si>
  <si>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</si>
  <si>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</si>
  <si>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</si>
  <si>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</si>
  <si>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</si>
  <si>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</si>
  <si>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</si>
  <si>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</si>
  <si>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</si>
  <si>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</si>
  <si>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</si>
  <si>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Asymptomatic</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</si>
  <si>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</si>
  <si>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</si>
  <si>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</si>
  <si>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</si>
  <si>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</si>
  <si>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</si>
  <si>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</si>
  <si>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</si>
  <si>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</si>
  <si>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</si>
  <si>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</si>
  <si>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</si>
  <si>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</si>
  <si>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</si>
  <si>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</si>
  <si>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</si>
  <si>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</si>
  <si>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</si>
  <si>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</si>
  <si>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</si>
  <si>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</si>
  <si>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</si>
  <si>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</si>
  <si>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</si>
  <si>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</si>
  <si>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</si>
  <si>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</si>
  <si>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</si>
  <si>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</si>
  <si>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</si>
  <si>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</si>
  <si>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</si>
  <si>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</si>
  <si>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</si>
  <si>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China arrivals blocked</t>
  </si>
  <si>
    <t>Iran arrivals blocked</t>
  </si>
  <si>
    <t>Sth Korea arrivals blocked</t>
  </si>
  <si>
    <t>Outdoor gatherings &lt; 500</t>
  </si>
  <si>
    <t>Self isolation arrivals, indoor gatherings &lt; 100 people</t>
  </si>
  <si>
    <t>Italy arrivals blocked</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</si>
  <si>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</si>
  <si>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</si>
  <si>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</si>
  <si>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</si>
  <si>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</si>
  <si>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</si>
  <si>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</si>
  <si>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</si>
  <si>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 xml:space="preserve">Projections from this point on are meaningless as detected infection rates decrease </t>
  </si>
  <si>
    <t>Numbers meaningless after infection rates exceed 60% of the population</t>
  </si>
  <si>
    <t>Projected number of recovered infections</t>
  </si>
  <si>
    <t>Projected number active Mild Cases</t>
  </si>
  <si>
    <t>5% world avg</t>
  </si>
  <si>
    <t>14% world avg</t>
  </si>
  <si>
    <t>81% world avg</t>
  </si>
  <si>
    <t>Worst case numbers</t>
  </si>
  <si>
    <t>Undetected Cases</t>
  </si>
  <si>
    <t>Australian CFR</t>
  </si>
  <si>
    <t>Actual Active Confirmed Infections</t>
  </si>
  <si>
    <t>Tas border closed</t>
  </si>
  <si>
    <t>SA, WA, NT borders closed</t>
  </si>
  <si>
    <t>QLD border closed</t>
  </si>
  <si>
    <t>AU borders closed to non-citizens, 9PM 20/3/2020</t>
  </si>
  <si>
    <t>Deaths decreasing from 7/4</t>
  </si>
  <si>
    <t>New cases decreasing from 28/3</t>
  </si>
  <si>
    <t>Hit the long tail around 21/4, uncertainty is too high on too little data to make any meaningful predictions unless the numbers begin to rise again.</t>
  </si>
  <si>
    <t>COVIDSafe mobile app released</t>
  </si>
  <si>
    <t>States begin relaxing socialisation restrictions, each in their own way</t>
  </si>
  <si>
    <t>Male</t>
  </si>
  <si>
    <t>Female</t>
  </si>
  <si>
    <t>Confirmed Infections</t>
  </si>
  <si>
    <t>Chinese mortality</t>
  </si>
  <si>
    <t>Italian mortality</t>
  </si>
  <si>
    <t>Spanish mortality</t>
  </si>
  <si>
    <t>Three step plan announced to begin opening back up, each state to determine their own timing</t>
  </si>
  <si>
    <t>States begin loosening restrictions, VIC follows a couple of days later</t>
  </si>
  <si>
    <t>China flags bans/tariffs on barley imports and meat from 4 abattoirs from Australia and threatening measures againt resource imports from Australia, widely interpreted as Australia's push for an independent investigation into the origin and handling of the coronavirus outbreak</t>
  </si>
  <si>
    <t>122 countries back AU/EU push for independent inquiry into coronavirus outbreak, motion to be put forward at the World Health Assembly on Tue, 19/5</t>
  </si>
  <si>
    <t>China's President Xi Jinping backed the comprehensive review of the global response to the coronavirus at the WHA, but stopped short of endorsing an independent probe advocated by Australia and the EU</t>
  </si>
  <si>
    <t>China slaps an 80% tarrif on Australian barley imports over technical infringements.  Debate ensues on whether the move by China is in retaliation of Australia's push for an independent inquiry into the coronavirus outbreak.</t>
  </si>
  <si>
    <t>Chinese embassy to Australia released a statement "To claim the World Health Assembly's resolution is a vindication of Australia's call is nothing but a joke" after the resolution was voted for with no objections at the WHA, but a watered down motion from what Australia was originally pursuing.</t>
  </si>
  <si>
    <t>COVID-19 base CFR</t>
  </si>
  <si>
    <t>Based on difference from base CFR, does not account for lag between detection and deaths</t>
  </si>
  <si>
    <t>Pauline Hanson and Peter Dutton begin agitating for QLD to open its borders, as only NSW and VIC are the only states to keep their borders open and Clive Palmer begins legal action over WA border closure.</t>
  </si>
  <si>
    <t>Clive Palmer has joined the fight against the QLD govt in an attempt to have the QLD borders opened.</t>
  </si>
  <si>
    <t>Pauline Hanson threatens QLD govt with court action unless they provide a good reason for keeping the QLD border closed, kicking off a crowd funded campaign to raise funds for the court challenge. Treasurer Josh Frydenberg also weighed in, stating that there was no medical reason to maintain domestic border closures.</t>
  </si>
  <si>
    <t>Rules are relaxed further, with progressive relaxing measures to be implemented over the coming weeks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</si>
</sst>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s>
  <fonts count="12"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
      <sz val="11"/>
      <color rgb="FFFF0000"/>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4" tint="0.59999389629810485"/>
        <bgColor indexed="64"/>
      </patternFill>
    </fill>
  </fills>
  <borders count="22">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auto="1"/>
      </left>
      <right style="dotted">
        <color auto="1"/>
      </right>
      <top/>
      <bottom/>
      <diagonal/>
    </border>
    <border>
      <left style="dotted">
        <color auto="1"/>
      </left>
      <right style="dotted">
        <color auto="1"/>
      </right>
      <top/>
      <bottom style="dotted">
        <color auto="1"/>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307">
    <xf numFmtId="0" fontId="0" fillId="0" borderId="0" xfId="0"/>
    <xf numFmtId="10" fontId="0" fillId="0" borderId="0" xfId="0" applyNumberFormat="1"/>
    <xf numFmtId="3" fontId="0" fillId="0" borderId="0" xfId="0" applyNumberFormat="1"/>
    <xf numFmtId="164" fontId="0" fillId="0" borderId="0" xfId="0" applyNumberFormat="1"/>
    <xf numFmtId="0" fontId="3" fillId="0" borderId="0" xfId="0" applyFont="1" applyAlignment="1">
      <alignment horizontal="left"/>
    </xf>
    <xf numFmtId="3" fontId="3" fillId="0" borderId="0" xfId="0" applyNumberFormat="1" applyFont="1" applyAlignment="1">
      <alignment horizontal="right"/>
    </xf>
    <xf numFmtId="0" fontId="1" fillId="0" borderId="1" xfId="0" applyFont="1" applyBorder="1" applyAlignment="1">
      <alignment horizontal="left"/>
    </xf>
    <xf numFmtId="3" fontId="1" fillId="0" borderId="2" xfId="0" applyNumberFormat="1" applyFont="1" applyBorder="1" applyAlignment="1">
      <alignment horizontal="right"/>
    </xf>
    <xf numFmtId="0" fontId="1" fillId="0" borderId="3" xfId="0" applyFont="1" applyBorder="1" applyAlignment="1">
      <alignment horizontal="left"/>
    </xf>
    <xf numFmtId="3" fontId="1" fillId="0" borderId="4" xfId="0" applyNumberFormat="1" applyFont="1" applyBorder="1" applyAlignment="1">
      <alignment horizontal="right"/>
    </xf>
    <xf numFmtId="0" fontId="2" fillId="0" borderId="3" xfId="0" applyFont="1" applyBorder="1" applyAlignment="1">
      <alignment horizontal="left"/>
    </xf>
    <xf numFmtId="3" fontId="2" fillId="0" borderId="4" xfId="0" applyNumberFormat="1" applyFont="1" applyBorder="1" applyAlignment="1">
      <alignment horizontal="right"/>
    </xf>
    <xf numFmtId="0" fontId="2" fillId="0" borderId="5" xfId="0" applyFont="1" applyBorder="1" applyAlignment="1">
      <alignment horizontal="left"/>
    </xf>
    <xf numFmtId="3" fontId="2" fillId="0" borderId="6" xfId="0" applyNumberFormat="1" applyFont="1" applyBorder="1" applyAlignment="1">
      <alignment horizontal="right"/>
    </xf>
    <xf numFmtId="0" fontId="1" fillId="0" borderId="5" xfId="0" applyFont="1" applyBorder="1" applyAlignment="1">
      <alignment horizontal="left"/>
    </xf>
    <xf numFmtId="3" fontId="1" fillId="0" borderId="6" xfId="0" applyNumberFormat="1" applyFont="1" applyBorder="1" applyAlignment="1">
      <alignment horizontal="right"/>
    </xf>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65" fontId="0" fillId="0" borderId="3" xfId="0" applyNumberFormat="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166" fontId="0" fillId="9" borderId="0"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3" fontId="5" fillId="9" borderId="2" xfId="1" applyNumberFormat="1" applyFill="1" applyBorder="1"/>
    <xf numFmtId="9" fontId="5" fillId="9" borderId="2" xfId="1" applyNumberFormat="1" applyFill="1" applyBorder="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14" fontId="0" fillId="3" borderId="0" xfId="0" applyNumberFormat="1" applyFill="1" applyBorder="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3" borderId="14" xfId="0" applyNumberFormat="1" applyFill="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14" fontId="0" fillId="0" borderId="12" xfId="0" applyNumberFormat="1" applyBorder="1"/>
    <xf numFmtId="0" fontId="0" fillId="3" borderId="0" xfId="0" applyFill="1" applyBorder="1"/>
    <xf numFmtId="170" fontId="0" fillId="4" borderId="13" xfId="0" applyNumberFormat="1" applyFill="1" applyBorder="1"/>
    <xf numFmtId="165" fontId="0" fillId="0" borderId="4" xfId="0" applyNumberFormat="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0" fillId="0" borderId="4" xfId="0" applyNumberFormat="1" applyBorder="1"/>
    <xf numFmtId="171" fontId="9" fillId="4" borderId="0" xfId="0" applyNumberFormat="1" applyFont="1" applyFill="1" applyBorder="1"/>
    <xf numFmtId="171" fontId="0" fillId="4" borderId="5" xfId="0" applyNumberFormat="1" applyFill="1" applyBorder="1"/>
    <xf numFmtId="171" fontId="0" fillId="4" borderId="8" xfId="0" applyNumberFormat="1" applyFill="1" applyBorder="1"/>
    <xf numFmtId="171" fontId="0" fillId="0" borderId="6" xfId="0" applyNumberFormat="1" applyBorder="1"/>
    <xf numFmtId="171" fontId="0" fillId="0" borderId="8" xfId="0" applyNumberFormat="1" applyBorder="1"/>
    <xf numFmtId="171" fontId="0" fillId="0" borderId="5" xfId="0" applyNumberFormat="1" applyBorder="1"/>
    <xf numFmtId="171" fontId="9" fillId="4" borderId="8" xfId="0" applyNumberFormat="1" applyFont="1" applyFill="1" applyBorder="1"/>
    <xf numFmtId="171" fontId="9" fillId="4" borderId="7" xfId="0" applyNumberFormat="1" applyFont="1" applyFill="1" applyBorder="1"/>
    <xf numFmtId="171" fontId="0" fillId="0" borderId="8" xfId="0" applyNumberFormat="1" applyFill="1" applyBorder="1"/>
    <xf numFmtId="171" fontId="0" fillId="0" borderId="5" xfId="0" applyNumberFormat="1" applyFill="1" applyBorder="1"/>
    <xf numFmtId="171" fontId="0" fillId="2" borderId="3" xfId="0" applyNumberFormat="1" applyFill="1" applyBorder="1"/>
    <xf numFmtId="171" fontId="0" fillId="2" borderId="0" xfId="0" applyNumberFormat="1" applyFill="1" applyBorder="1"/>
    <xf numFmtId="171" fontId="0" fillId="2" borderId="4" xfId="0" applyNumberFormat="1" applyFill="1" applyBorder="1"/>
    <xf numFmtId="171" fontId="0" fillId="2" borderId="6" xfId="0" applyNumberFormat="1" applyFill="1" applyBorder="1"/>
    <xf numFmtId="171" fontId="0" fillId="2" borderId="8" xfId="0" applyNumberFormat="1" applyFill="1" applyBorder="1"/>
    <xf numFmtId="171" fontId="0" fillId="2" borderId="5" xfId="0" applyNumberFormat="1" applyFill="1" applyBorder="1"/>
    <xf numFmtId="171" fontId="0" fillId="0" borderId="1" xfId="0" applyNumberFormat="1" applyBorder="1"/>
    <xf numFmtId="171" fontId="0" fillId="0" borderId="7" xfId="0" applyNumberFormat="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71" fontId="0" fillId="0" borderId="6" xfId="0" applyNumberFormat="1" applyFill="1" applyBorder="1"/>
    <xf numFmtId="3" fontId="9" fillId="4" borderId="5" xfId="0" applyNumberFormat="1" applyFont="1" applyFill="1" applyBorder="1"/>
    <xf numFmtId="171" fontId="0" fillId="0" borderId="2" xfId="0" applyNumberFormat="1" applyBorder="1"/>
    <xf numFmtId="171" fontId="9" fillId="0" borderId="16" xfId="0" applyNumberFormat="1" applyFont="1" applyFill="1" applyBorder="1"/>
    <xf numFmtId="9" fontId="9" fillId="0" borderId="17" xfId="0" applyNumberFormat="1" applyFont="1" applyFill="1" applyBorder="1"/>
    <xf numFmtId="171" fontId="9" fillId="0" borderId="17" xfId="0" applyNumberFormat="1" applyFont="1" applyFill="1" applyBorder="1"/>
    <xf numFmtId="3" fontId="9" fillId="0" borderId="17" xfId="0" applyNumberFormat="1" applyFont="1" applyFill="1" applyBorder="1"/>
    <xf numFmtId="171" fontId="9" fillId="0" borderId="17" xfId="0" applyNumberFormat="1" applyFont="1" applyBorder="1"/>
    <xf numFmtId="171" fontId="9" fillId="0" borderId="18" xfId="0" applyNumberFormat="1" applyFont="1" applyFill="1" applyBorder="1"/>
    <xf numFmtId="0" fontId="9" fillId="0" borderId="0" xfId="0" applyFont="1" applyFill="1"/>
    <xf numFmtId="14" fontId="9" fillId="0" borderId="16" xfId="0" applyNumberFormat="1" applyFont="1" applyFill="1" applyBorder="1"/>
    <xf numFmtId="3" fontId="9" fillId="8" borderId="14" xfId="0" applyNumberFormat="1" applyFont="1" applyFill="1" applyBorder="1"/>
    <xf numFmtId="3" fontId="9" fillId="2" borderId="14" xfId="0" applyNumberFormat="1" applyFont="1" applyFill="1" applyBorder="1"/>
    <xf numFmtId="170" fontId="0" fillId="0" borderId="11" xfId="0" applyNumberFormat="1" applyBorder="1"/>
    <xf numFmtId="171" fontId="0" fillId="16" borderId="3" xfId="0" applyNumberFormat="1" applyFill="1" applyBorder="1"/>
    <xf numFmtId="171" fontId="0" fillId="16" borderId="0" xfId="0" applyNumberFormat="1" applyFill="1" applyBorder="1"/>
    <xf numFmtId="171" fontId="0" fillId="16" borderId="4" xfId="0" applyNumberFormat="1" applyFill="1" applyBorder="1"/>
    <xf numFmtId="3" fontId="9" fillId="4" borderId="13" xfId="0" applyNumberFormat="1" applyFont="1" applyFill="1" applyBorder="1"/>
    <xf numFmtId="170" fontId="9" fillId="4" borderId="13" xfId="0" applyNumberFormat="1" applyFont="1" applyFill="1" applyBorder="1"/>
    <xf numFmtId="3" fontId="9" fillId="4" borderId="9" xfId="0" applyNumberFormat="1" applyFont="1" applyFill="1" applyBorder="1" applyAlignment="1">
      <alignment horizontal="center"/>
    </xf>
    <xf numFmtId="3" fontId="0" fillId="0" borderId="13" xfId="0" applyNumberFormat="1" applyFill="1" applyBorder="1" applyAlignment="1">
      <alignment horizontal="center"/>
    </xf>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3" fontId="0" fillId="17" borderId="13" xfId="0" applyNumberFormat="1" applyFill="1" applyBorder="1"/>
    <xf numFmtId="3" fontId="0" fillId="17" borderId="14" xfId="0" applyNumberFormat="1" applyFill="1" applyBorder="1"/>
    <xf numFmtId="3" fontId="0" fillId="16" borderId="14" xfId="0" applyNumberFormat="1" applyFill="1" applyBorder="1"/>
    <xf numFmtId="3" fontId="9" fillId="4" borderId="3" xfId="0" applyNumberFormat="1" applyFont="1" applyFill="1" applyBorder="1" applyAlignment="1">
      <alignment horizontal="center"/>
    </xf>
    <xf numFmtId="171" fontId="9" fillId="4" borderId="2" xfId="0" applyNumberFormat="1" applyFont="1" applyFill="1" applyBorder="1"/>
    <xf numFmtId="9" fontId="9" fillId="4" borderId="4" xfId="0" applyNumberFormat="1" applyFont="1" applyFill="1" applyBorder="1"/>
    <xf numFmtId="171" fontId="9" fillId="4" borderId="4" xfId="0" applyNumberFormat="1" applyFont="1" applyFill="1" applyBorder="1"/>
    <xf numFmtId="171" fontId="9" fillId="4" borderId="6" xfId="0" applyNumberFormat="1" applyFont="1" applyFill="1" applyBorder="1"/>
    <xf numFmtId="9" fontId="0" fillId="0" borderId="4" xfId="0" applyNumberFormat="1" applyBorder="1"/>
    <xf numFmtId="3" fontId="0" fillId="8" borderId="5" xfId="0" applyNumberFormat="1" applyFill="1" applyBorder="1"/>
    <xf numFmtId="171" fontId="0" fillId="0" borderId="2" xfId="0" applyNumberFormat="1" applyFill="1" applyBorder="1"/>
    <xf numFmtId="171" fontId="0" fillId="4" borderId="1" xfId="0" applyNumberFormat="1" applyFill="1" applyBorder="1"/>
    <xf numFmtId="171" fontId="0" fillId="4" borderId="7" xfId="0" applyNumberFormat="1" applyFill="1" applyBorder="1"/>
    <xf numFmtId="171" fontId="0" fillId="9" borderId="3" xfId="0" applyNumberFormat="1" applyFill="1" applyBorder="1"/>
    <xf numFmtId="171" fontId="0" fillId="3" borderId="0" xfId="0" applyNumberFormat="1" applyFill="1" applyBorder="1"/>
    <xf numFmtId="171" fontId="0" fillId="3" borderId="4" xfId="0" applyNumberFormat="1" applyFill="1" applyBorder="1"/>
    <xf numFmtId="171" fontId="0" fillId="3" borderId="3" xfId="0" applyNumberFormat="1" applyFill="1" applyBorder="1"/>
    <xf numFmtId="14" fontId="0" fillId="0" borderId="0" xfId="0" applyNumberFormat="1"/>
    <xf numFmtId="14" fontId="9" fillId="8" borderId="14" xfId="0" applyNumberFormat="1" applyFont="1" applyFill="1" applyBorder="1"/>
    <xf numFmtId="14" fontId="9" fillId="0" borderId="14" xfId="0" applyNumberFormat="1" applyFont="1" applyFill="1" applyBorder="1"/>
    <xf numFmtId="14" fontId="9" fillId="0" borderId="15" xfId="0" applyNumberFormat="1" applyFont="1" applyFill="1" applyBorder="1"/>
    <xf numFmtId="14" fontId="9" fillId="4" borderId="2" xfId="0" applyNumberFormat="1" applyFont="1" applyFill="1" applyBorder="1"/>
    <xf numFmtId="14" fontId="9" fillId="4" borderId="14" xfId="0" applyNumberFormat="1" applyFont="1" applyFill="1" applyBorder="1"/>
    <xf numFmtId="171" fontId="11" fillId="0" borderId="7" xfId="0" applyNumberFormat="1" applyFont="1" applyBorder="1"/>
    <xf numFmtId="171" fontId="11" fillId="0" borderId="1" xfId="0" applyNumberFormat="1" applyFont="1" applyBorder="1"/>
    <xf numFmtId="0" fontId="0" fillId="0" borderId="0" xfId="0" quotePrefix="1" applyFill="1" applyBorder="1"/>
    <xf numFmtId="0" fontId="5" fillId="0" borderId="9" xfId="1" applyBorder="1"/>
    <xf numFmtId="164" fontId="0" fillId="0" borderId="9" xfId="0" applyNumberFormat="1" applyBorder="1"/>
    <xf numFmtId="164" fontId="0" fillId="0" borderId="10" xfId="0" applyNumberFormat="1" applyBorder="1"/>
    <xf numFmtId="164" fontId="0" fillId="0" borderId="11" xfId="0" applyNumberFormat="1" applyBorder="1"/>
    <xf numFmtId="164" fontId="0" fillId="9" borderId="2" xfId="0" applyNumberFormat="1" applyFill="1" applyBorder="1"/>
    <xf numFmtId="0" fontId="0" fillId="0" borderId="4" xfId="0" applyFill="1" applyBorder="1"/>
    <xf numFmtId="14" fontId="0" fillId="10" borderId="19" xfId="0" applyNumberFormat="1" applyFill="1" applyBorder="1"/>
    <xf numFmtId="14" fontId="0" fillId="10" borderId="20" xfId="0" applyNumberFormat="1" applyFill="1" applyBorder="1"/>
    <xf numFmtId="14" fontId="0" fillId="15" borderId="20" xfId="0" applyNumberFormat="1" applyFill="1" applyBorder="1"/>
    <xf numFmtId="14" fontId="0" fillId="4" borderId="20" xfId="0" applyNumberFormat="1" applyFill="1" applyBorder="1"/>
    <xf numFmtId="14" fontId="0" fillId="8" borderId="20" xfId="0" applyNumberFormat="1" applyFill="1" applyBorder="1"/>
    <xf numFmtId="14" fontId="9" fillId="8" borderId="21" xfId="0" applyNumberFormat="1" applyFon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9">
    <dxf>
      <fill>
        <patternFill>
          <bgColor rgb="FFC39BFF"/>
        </patternFill>
      </fill>
    </dxf>
    <dxf>
      <fill>
        <patternFill>
          <bgColor rgb="FFC39BFF"/>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FF"/>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43941.634584259256</c:v>
                </c:pt>
                <c:pt idx="1">
                  <c:v>43944.634584259256</c:v>
                </c:pt>
                <c:pt idx="2">
                  <c:v>43947.634584259256</c:v>
                </c:pt>
                <c:pt idx="3">
                  <c:v>43950.634584259256</c:v>
                </c:pt>
                <c:pt idx="4">
                  <c:v>43953.634584259256</c:v>
                </c:pt>
                <c:pt idx="5">
                  <c:v>43956.634584259256</c:v>
                </c:pt>
                <c:pt idx="6">
                  <c:v>43959.634584259256</c:v>
                </c:pt>
                <c:pt idx="7">
                  <c:v>43962.634584259256</c:v>
                </c:pt>
                <c:pt idx="8">
                  <c:v>43965.634584259256</c:v>
                </c:pt>
                <c:pt idx="9">
                  <c:v>43968.634584259256</c:v>
                </c:pt>
                <c:pt idx="10">
                  <c:v>43971.634584259256</c:v>
                </c:pt>
                <c:pt idx="11">
                  <c:v>43974.634584259256</c:v>
                </c:pt>
                <c:pt idx="12">
                  <c:v>43977.634584259256</c:v>
                </c:pt>
                <c:pt idx="13">
                  <c:v>43980.634584259256</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43941.634584259256</c:v>
                </c:pt>
                <c:pt idx="1">
                  <c:v>43944.634584259256</c:v>
                </c:pt>
                <c:pt idx="2">
                  <c:v>43947.634584259256</c:v>
                </c:pt>
                <c:pt idx="3">
                  <c:v>43950.634584259256</c:v>
                </c:pt>
                <c:pt idx="4">
                  <c:v>43953.634584259256</c:v>
                </c:pt>
                <c:pt idx="5">
                  <c:v>43956.634584259256</c:v>
                </c:pt>
                <c:pt idx="6">
                  <c:v>43959.634584259256</c:v>
                </c:pt>
                <c:pt idx="7">
                  <c:v>43962.634584259256</c:v>
                </c:pt>
                <c:pt idx="8">
                  <c:v>43965.634584259256</c:v>
                </c:pt>
                <c:pt idx="9">
                  <c:v>43968.634584259256</c:v>
                </c:pt>
                <c:pt idx="10">
                  <c:v>43971.634584259256</c:v>
                </c:pt>
                <c:pt idx="11">
                  <c:v>43974.634584259256</c:v>
                </c:pt>
                <c:pt idx="12">
                  <c:v>43977.634584259256</c:v>
                </c:pt>
                <c:pt idx="13">
                  <c:v>43980.634584259256</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43941.634584259256</c:v>
                </c:pt>
                <c:pt idx="1">
                  <c:v>43944.634584259256</c:v>
                </c:pt>
                <c:pt idx="2">
                  <c:v>43947.634584259256</c:v>
                </c:pt>
                <c:pt idx="3">
                  <c:v>43950.634584259256</c:v>
                </c:pt>
                <c:pt idx="4">
                  <c:v>43953.634584259256</c:v>
                </c:pt>
                <c:pt idx="5">
                  <c:v>43956.634584259256</c:v>
                </c:pt>
                <c:pt idx="6">
                  <c:v>43959.634584259256</c:v>
                </c:pt>
                <c:pt idx="7">
                  <c:v>43962.634584259256</c:v>
                </c:pt>
                <c:pt idx="8">
                  <c:v>43965.634584259256</c:v>
                </c:pt>
                <c:pt idx="9">
                  <c:v>43968.634584259256</c:v>
                </c:pt>
                <c:pt idx="10">
                  <c:v>43971.634584259256</c:v>
                </c:pt>
                <c:pt idx="11">
                  <c:v>43974.634584259256</c:v>
                </c:pt>
                <c:pt idx="12">
                  <c:v>43977.634584259256</c:v>
                </c:pt>
                <c:pt idx="13">
                  <c:v>43980.634584259256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71.428571428571431</c:v>
                </c:pt>
                <c:pt idx="4">
                  <c:v>142.85714285714286</c:v>
                </c:pt>
                <c:pt idx="5">
                  <c:v>285.71428571428572</c:v>
                </c:pt>
                <c:pt idx="6">
                  <c:v>571.42857142857144</c:v>
                </c:pt>
                <c:pt idx="7">
                  <c:v>1142.8571428571429</c:v>
                </c:pt>
                <c:pt idx="8">
                  <c:v>2285.7142857142858</c:v>
                </c:pt>
                <c:pt idx="9">
                  <c:v>4571.4285714285716</c:v>
                </c:pt>
                <c:pt idx="10">
                  <c:v>9142.8571428571431</c:v>
                </c:pt>
                <c:pt idx="11">
                  <c:v>18285.714285714286</c:v>
                </c:pt>
                <c:pt idx="12">
                  <c:v>36571.428571428572</c:v>
                </c:pt>
                <c:pt idx="13">
                  <c:v>73142.857142857145</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Projections!$A$37</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Projections!$G$37:$AF$37</c15:sqref>
                  </c15:fullRef>
                </c:ext>
              </c:extLst>
              <c:f>Projections!$G$37:$T$37</c:f>
              <c:numCache>
                <c:formatCode>#,##0_ ;[Red]\-#,##0\ </c:formatCode>
                <c:ptCount val="14"/>
                <c:pt idx="0">
                  <c:v>31.25</c:v>
                </c:pt>
                <c:pt idx="1">
                  <c:v>62.5</c:v>
                </c:pt>
                <c:pt idx="2">
                  <c:v>125</c:v>
                </c:pt>
                <c:pt idx="3">
                  <c:v>250</c:v>
                </c:pt>
                <c:pt idx="4">
                  <c:v>500</c:v>
                </c:pt>
                <c:pt idx="5">
                  <c:v>1000</c:v>
                </c:pt>
                <c:pt idx="6">
                  <c:v>2000</c:v>
                </c:pt>
                <c:pt idx="7">
                  <c:v>4000</c:v>
                </c:pt>
                <c:pt idx="8">
                  <c:v>6000</c:v>
                </c:pt>
                <c:pt idx="9">
                  <c:v>6600</c:v>
                </c:pt>
                <c:pt idx="10">
                  <c:v>7000</c:v>
                </c:pt>
                <c:pt idx="11">
                  <c:v>7400</c:v>
                </c:pt>
                <c:pt idx="12">
                  <c:v>7800</c:v>
                </c:pt>
                <c:pt idx="13">
                  <c:v>8000</c:v>
                </c:pt>
              </c:numCache>
            </c:numRef>
          </c:val>
          <c:smooth val="0"/>
          <c:extLst>
            <c:ext xmlns:c16="http://schemas.microsoft.com/office/drawing/2014/chart" uri="{C3380CC4-5D6E-409C-BE32-E72D297353CC}">
              <c16:uniqueId val="{00000004-8BCC-427B-903C-670C749E04E9}"/>
            </c:ext>
          </c:extLst>
        </c:ser>
        <c:ser>
          <c:idx val="1"/>
          <c:order val="1"/>
          <c:tx>
            <c:strRef>
              <c:f>Projections!$A$61</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Projections!$G$61:$AF$61</c15:sqref>
                  </c15:fullRef>
                </c:ext>
              </c:extLst>
              <c:f>Projections!$G$61:$T$61</c:f>
              <c:numCache>
                <c:formatCode>General</c:formatCode>
                <c:ptCount val="14"/>
                <c:pt idx="0">
                  <c:v>33</c:v>
                </c:pt>
                <c:pt idx="1">
                  <c:v>63</c:v>
                </c:pt>
                <c:pt idx="2" formatCode="#,##0">
                  <c:v>116</c:v>
                </c:pt>
                <c:pt idx="3" formatCode="#,##0">
                  <c:v>248</c:v>
                </c:pt>
                <c:pt idx="4" formatCode="#,##0">
                  <c:v>596</c:v>
                </c:pt>
                <c:pt idx="5" formatCode="#,##0">
                  <c:v>1072</c:v>
                </c:pt>
                <c:pt idx="6" formatCode="#,##0">
                  <c:v>2317</c:v>
                </c:pt>
                <c:pt idx="7" formatCode="#,##0">
                  <c:v>4163</c:v>
                </c:pt>
                <c:pt idx="8" formatCode="#,##0">
                  <c:v>6052</c:v>
                </c:pt>
                <c:pt idx="9" formatCode="#,##0">
                  <c:v>6612</c:v>
                </c:pt>
                <c:pt idx="10" formatCode="#,##0">
                  <c:v>7019</c:v>
                </c:pt>
                <c:pt idx="11" formatCode="#,##0">
                  <c:v>7400</c:v>
                </c:pt>
                <c:pt idx="12" formatCode="#,##0">
                  <c:v>7800</c:v>
                </c:pt>
                <c:pt idx="13" formatCode="#,##0">
                  <c:v>8000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Projections!$A$51</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Projections!$G$51:$AF$51</c15:sqref>
                  </c15:fullRef>
                </c:ext>
              </c:extLst>
              <c:f>Projections!$G$51:$T$51</c:f>
              <c:numCache>
                <c:formatCode>#,##0_ ;[Red]\-#,##0\ </c:formatCode>
                <c:ptCount val="14"/>
                <c:pt idx="0">
                  <c:v>0.4375</c:v>
                </c:pt>
                <c:pt idx="1">
                  <c:v>0.875</c:v>
                </c:pt>
                <c:pt idx="2">
                  <c:v>1.75</c:v>
                </c:pt>
                <c:pt idx="3">
                  <c:v>3.5</c:v>
                </c:pt>
                <c:pt idx="4">
                  <c:v>7</c:v>
                </c:pt>
                <c:pt idx="5">
                  <c:v>14</c:v>
                </c:pt>
                <c:pt idx="6">
                  <c:v>28</c:v>
                </c:pt>
                <c:pt idx="7">
                  <c:v>56</c:v>
                </c:pt>
                <c:pt idx="8">
                  <c:v>84</c:v>
                </c:pt>
                <c:pt idx="9">
                  <c:v>92.4</c:v>
                </c:pt>
                <c:pt idx="10">
                  <c:v>98</c:v>
                </c:pt>
                <c:pt idx="11">
                  <c:v>103.60000000000001</c:v>
                </c:pt>
                <c:pt idx="12">
                  <c:v>109.2</c:v>
                </c:pt>
                <c:pt idx="13">
                  <c:v>112</c:v>
                </c:pt>
              </c:numCache>
            </c:numRef>
          </c:val>
          <c:smooth val="0"/>
          <c:extLst>
            <c:ext xmlns:c16="http://schemas.microsoft.com/office/drawing/2014/chart" uri="{C3380CC4-5D6E-409C-BE32-E72D297353CC}">
              <c16:uniqueId val="{00000000-50BE-40C1-B679-81AF0BCE3FCD}"/>
            </c:ext>
          </c:extLst>
        </c:ser>
        <c:ser>
          <c:idx val="1"/>
          <c:order val="1"/>
          <c:tx>
            <c:strRef>
              <c:f>Projections!$A$65</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Projections!$G$65:$AF$65</c15:sqref>
                  </c15:fullRef>
                </c:ext>
              </c:extLst>
              <c:f>Projections!$G$65:$T$65</c:f>
              <c:numCache>
                <c:formatCode>General</c:formatCode>
                <c:ptCount val="14"/>
                <c:pt idx="0">
                  <c:v>1</c:v>
                </c:pt>
                <c:pt idx="1">
                  <c:v>2</c:v>
                </c:pt>
                <c:pt idx="2" formatCode="#,##0">
                  <c:v>3</c:v>
                </c:pt>
                <c:pt idx="3" formatCode="#,##0">
                  <c:v>5</c:v>
                </c:pt>
                <c:pt idx="4" formatCode="#,##0">
                  <c:v>6</c:v>
                </c:pt>
                <c:pt idx="5" formatCode="#,##0">
                  <c:v>7</c:v>
                </c:pt>
                <c:pt idx="6" formatCode="#,##0">
                  <c:v>8</c:v>
                </c:pt>
                <c:pt idx="7" formatCode="#,##0">
                  <c:v>16</c:v>
                </c:pt>
                <c:pt idx="8" formatCode="#,##0">
                  <c:v>50</c:v>
                </c:pt>
                <c:pt idx="9" formatCode="#,##0">
                  <c:v>71</c:v>
                </c:pt>
                <c:pt idx="10" formatCode="#,##0">
                  <c:v>98</c:v>
                </c:pt>
                <c:pt idx="11" formatCode="#,##0">
                  <c:v>103</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Projections!$A$47</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Projections!$G$47:$AF$47</c15:sqref>
                  </c15:fullRef>
                </c:ext>
              </c:extLst>
              <c:f>Projections!$G$47:$T$47</c:f>
              <c:numCache>
                <c:formatCode>#,##0_ ;[Red]\-#,##0\ </c:formatCode>
                <c:ptCount val="14"/>
                <c:pt idx="0">
                  <c:v>1.3624403770173663</c:v>
                </c:pt>
                <c:pt idx="1">
                  <c:v>1.9882966234408881</c:v>
                </c:pt>
                <c:pt idx="2">
                  <c:v>2.7477734693782825</c:v>
                </c:pt>
                <c:pt idx="3">
                  <c:v>5.6101344648732603</c:v>
                </c:pt>
                <c:pt idx="4">
                  <c:v>10.283171151388096</c:v>
                </c:pt>
                <c:pt idx="5">
                  <c:v>18.787878787878775</c:v>
                </c:pt>
                <c:pt idx="6">
                  <c:v>31.107290494170176</c:v>
                </c:pt>
                <c:pt idx="7">
                  <c:v>97.540056745390302</c:v>
                </c:pt>
                <c:pt idx="8">
                  <c:v>574.77618799654329</c:v>
                </c:pt>
                <c:pt idx="9">
                  <c:v>859.05698537255921</c:v>
                </c:pt>
                <c:pt idx="10">
                  <c:v>3648.0224340846935</c:v>
                </c:pt>
                <c:pt idx="11">
                  <c:v>5412.5731227783745</c:v>
                </c:pt>
                <c:pt idx="12">
                  <c:v>914.98907768335982</c:v>
                </c:pt>
                <c:pt idx="13">
                  <c:v>713.45778394840875</c:v>
                </c:pt>
              </c:numCache>
            </c:numRef>
          </c:val>
          <c:smooth val="0"/>
          <c:extLst>
            <c:ext xmlns:c16="http://schemas.microsoft.com/office/drawing/2014/chart" uri="{C3380CC4-5D6E-409C-BE32-E72D297353CC}">
              <c16:uniqueId val="{00000000-A3C2-4B4C-996C-CDB1A252886F}"/>
            </c:ext>
          </c:extLst>
        </c:ser>
        <c:ser>
          <c:idx val="2"/>
          <c:order val="1"/>
          <c:tx>
            <c:strRef>
              <c:f>Projections!$A$48</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Projections!$G$48:$AF$48</c15:sqref>
                  </c15:fullRef>
                </c:ext>
              </c:extLst>
              <c:f>Projections!$G$48:$T$48</c:f>
              <c:numCache>
                <c:formatCode>#,##0_ ;[Red]\-#,##0\ </c:formatCode>
                <c:ptCount val="14"/>
                <c:pt idx="0">
                  <c:v>1.3624403770173663</c:v>
                </c:pt>
                <c:pt idx="1">
                  <c:v>1.9882966234408881</c:v>
                </c:pt>
                <c:pt idx="2">
                  <c:v>2.7477734693782825</c:v>
                </c:pt>
                <c:pt idx="3">
                  <c:v>5.6101344648732603</c:v>
                </c:pt>
                <c:pt idx="4">
                  <c:v>9.1506322955352211</c:v>
                </c:pt>
                <c:pt idx="5">
                  <c:v>16.684078363551301</c:v>
                </c:pt>
                <c:pt idx="6">
                  <c:v>27.811835948715633</c:v>
                </c:pt>
                <c:pt idx="7">
                  <c:v>89.205090812551802</c:v>
                </c:pt>
                <c:pt idx="8">
                  <c:v>489.33133033984944</c:v>
                </c:pt>
                <c:pt idx="9">
                  <c:v>376.35533838085632</c:v>
                </c:pt>
                <c:pt idx="10">
                  <c:v>3007.9225055713932</c:v>
                </c:pt>
                <c:pt idx="11">
                  <c:v>4188.839639512581</c:v>
                </c:pt>
                <c:pt idx="12">
                  <c:v>669.43398342253204</c:v>
                </c:pt>
                <c:pt idx="13">
                  <c:v>0</c:v>
                </c:pt>
              </c:numCache>
            </c:numRef>
          </c:val>
          <c:smooth val="0"/>
          <c:extLst>
            <c:ext xmlns:c16="http://schemas.microsoft.com/office/drawing/2014/chart" uri="{C3380CC4-5D6E-409C-BE32-E72D297353CC}">
              <c16:uniqueId val="{00000001-A3C2-4B4C-996C-CDB1A252886F}"/>
            </c:ext>
          </c:extLst>
        </c:ser>
        <c:ser>
          <c:idx val="0"/>
          <c:order val="2"/>
          <c:tx>
            <c:strRef>
              <c:f>Projections!$A$49</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Projections!$G$49:$AF$49</c15:sqref>
                  </c15:fullRef>
                </c:ext>
              </c:extLst>
              <c:f>Projections!$G$49:$T$49</c:f>
              <c:numCache>
                <c:formatCode>#,##0_ ;[Red]\-#,##0\ </c:formatCode>
                <c:ptCount val="14"/>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85.444857656693841</c:v>
                </c:pt>
                <c:pt idx="9">
                  <c:v>482.70164699170289</c:v>
                </c:pt>
                <c:pt idx="10">
                  <c:v>640.09992851330003</c:v>
                </c:pt>
                <c:pt idx="11">
                  <c:v>1223.7334832657932</c:v>
                </c:pt>
                <c:pt idx="12">
                  <c:v>245.55509426082781</c:v>
                </c:pt>
                <c:pt idx="13">
                  <c:v>425.45455935549376</c:v>
                </c:pt>
              </c:numCache>
            </c:numRef>
          </c:val>
          <c:smooth val="0"/>
          <c:extLst>
            <c:ext xmlns:c16="http://schemas.microsoft.com/office/drawing/2014/chart" uri="{C3380CC4-5D6E-409C-BE32-E72D297353CC}">
              <c16:uniqueId val="{00000002-A3C2-4B4C-996C-CDB1A252886F}"/>
            </c:ext>
          </c:extLst>
        </c:ser>
        <c:ser>
          <c:idx val="4"/>
          <c:order val="3"/>
          <c:tx>
            <c:strRef>
              <c:f>Projections!$A$50</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Projections!$G$50:$AF$50</c15:sqref>
                  </c15:fullRef>
                </c:ext>
              </c:extLst>
              <c:f>Projections!$G$50:$T$50</c:f>
              <c:numCache>
                <c:formatCode>#,##0_ ;[Red]\-#,##0\ </c:formatCode>
                <c:ptCount val="14"/>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85.444857656693841</c:v>
                </c:pt>
                <c:pt idx="9">
                  <c:v>482.70164699170289</c:v>
                </c:pt>
                <c:pt idx="10">
                  <c:v>640.09992851330003</c:v>
                </c:pt>
                <c:pt idx="11">
                  <c:v>1223.7334832657932</c:v>
                </c:pt>
                <c:pt idx="12">
                  <c:v>245.55509426082781</c:v>
                </c:pt>
                <c:pt idx="13">
                  <c:v>0</c:v>
                </c:pt>
              </c:numCache>
            </c:numRef>
          </c:val>
          <c:smooth val="0"/>
          <c:extLst>
            <c:ext xmlns:c16="http://schemas.microsoft.com/office/drawing/2014/chart" uri="{C3380CC4-5D6E-409C-BE32-E72D297353CC}">
              <c16:uniqueId val="{00000003-A3C2-4B4C-996C-CDB1A252886F}"/>
            </c:ext>
          </c:extLst>
        </c:ser>
        <c:ser>
          <c:idx val="1"/>
          <c:order val="4"/>
          <c:tx>
            <c:strRef>
              <c:f>Projections!$A$51</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Projections!$G$51:$AF$51</c15:sqref>
                  </c15:fullRef>
                </c:ext>
              </c:extLst>
              <c:f>Projections!$G$51:$T$51</c:f>
              <c:numCache>
                <c:formatCode>#,##0_ ;[Red]\-#,##0\ </c:formatCode>
                <c:ptCount val="14"/>
                <c:pt idx="0">
                  <c:v>0.4375</c:v>
                </c:pt>
                <c:pt idx="1">
                  <c:v>0.875</c:v>
                </c:pt>
                <c:pt idx="2">
                  <c:v>1.75</c:v>
                </c:pt>
                <c:pt idx="3">
                  <c:v>3.5</c:v>
                </c:pt>
                <c:pt idx="4">
                  <c:v>7</c:v>
                </c:pt>
                <c:pt idx="5">
                  <c:v>14</c:v>
                </c:pt>
                <c:pt idx="6">
                  <c:v>28</c:v>
                </c:pt>
                <c:pt idx="7">
                  <c:v>56</c:v>
                </c:pt>
                <c:pt idx="8">
                  <c:v>84</c:v>
                </c:pt>
                <c:pt idx="9">
                  <c:v>92.4</c:v>
                </c:pt>
                <c:pt idx="10">
                  <c:v>98</c:v>
                </c:pt>
                <c:pt idx="11">
                  <c:v>103.60000000000001</c:v>
                </c:pt>
                <c:pt idx="12">
                  <c:v>109.2</c:v>
                </c:pt>
                <c:pt idx="13">
                  <c:v>112</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Projections!$A$69</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Projections!$G$69:$AF$69</c15:sqref>
                  </c15:fullRef>
                </c:ext>
              </c:extLst>
              <c:f>Projections!$G$69:$T$69</c:f>
              <c:numCache>
                <c:formatCode>#,##0</c:formatCode>
                <c:ptCount val="14"/>
                <c:pt idx="0">
                  <c:v>1.0627459246767847</c:v>
                </c:pt>
                <c:pt idx="1">
                  <c:v>2.1254918493535695</c:v>
                </c:pt>
                <c:pt idx="2">
                  <c:v>4.250983698707139</c:v>
                </c:pt>
                <c:pt idx="3">
                  <c:v>8.501967397414278</c:v>
                </c:pt>
                <c:pt idx="4">
                  <c:v>17.003934794828556</c:v>
                </c:pt>
                <c:pt idx="5">
                  <c:v>34.007869589657112</c:v>
                </c:pt>
                <c:pt idx="6">
                  <c:v>68.015739179314224</c:v>
                </c:pt>
                <c:pt idx="7">
                  <c:v>136.03147835862845</c:v>
                </c:pt>
                <c:pt idx="8">
                  <c:v>204.04721753794266</c:v>
                </c:pt>
                <c:pt idx="9">
                  <c:v>224.45193929173692</c:v>
                </c:pt>
                <c:pt idx="10">
                  <c:v>238.05508712759979</c:v>
                </c:pt>
                <c:pt idx="11">
                  <c:v>251.65823496346263</c:v>
                </c:pt>
                <c:pt idx="12">
                  <c:v>265.26138279932547</c:v>
                </c:pt>
                <c:pt idx="13">
                  <c:v>272.0629567172569</c:v>
                </c:pt>
              </c:numCache>
            </c:numRef>
          </c:val>
          <c:smooth val="0"/>
          <c:extLst>
            <c:ext xmlns:c16="http://schemas.microsoft.com/office/drawing/2014/chart" uri="{C3380CC4-5D6E-409C-BE32-E72D297353CC}">
              <c16:uniqueId val="{00000000-7972-43AB-83E8-C2C99B4277B0}"/>
            </c:ext>
          </c:extLst>
        </c:ser>
        <c:ser>
          <c:idx val="2"/>
          <c:order val="1"/>
          <c:tx>
            <c:strRef>
              <c:f>Projections!$A$71</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Projections!$G$71:$AF$71</c15:sqref>
                  </c15:fullRef>
                </c:ext>
              </c:extLst>
              <c:f>Projections!$G$71:$T$71</c:f>
              <c:numCache>
                <c:formatCode>#,##0</c:formatCode>
                <c:ptCount val="14"/>
                <c:pt idx="0">
                  <c:v>3.2936340640809441</c:v>
                </c:pt>
                <c:pt idx="1">
                  <c:v>6.5872681281618881</c:v>
                </c:pt>
                <c:pt idx="2">
                  <c:v>13.174536256323776</c:v>
                </c:pt>
                <c:pt idx="3">
                  <c:v>26.349072512647552</c:v>
                </c:pt>
                <c:pt idx="4">
                  <c:v>52.698145025295105</c:v>
                </c:pt>
                <c:pt idx="5">
                  <c:v>105.39629005059021</c:v>
                </c:pt>
                <c:pt idx="6">
                  <c:v>210.79258010118042</c:v>
                </c:pt>
                <c:pt idx="7">
                  <c:v>421.58516020236084</c:v>
                </c:pt>
                <c:pt idx="8">
                  <c:v>632.37774030354126</c:v>
                </c:pt>
                <c:pt idx="9">
                  <c:v>695.61551433389548</c:v>
                </c:pt>
                <c:pt idx="10">
                  <c:v>737.77403035413147</c:v>
                </c:pt>
                <c:pt idx="11">
                  <c:v>779.93254637436758</c:v>
                </c:pt>
                <c:pt idx="12">
                  <c:v>822.09106239460368</c:v>
                </c:pt>
                <c:pt idx="13">
                  <c:v>843.17032040472168</c:v>
                </c:pt>
              </c:numCache>
            </c:numRef>
          </c:val>
          <c:smooth val="0"/>
          <c:extLst>
            <c:ext xmlns:c16="http://schemas.microsoft.com/office/drawing/2014/chart" uri="{C3380CC4-5D6E-409C-BE32-E72D297353CC}">
              <c16:uniqueId val="{00000001-7972-43AB-83E8-C2C99B4277B0}"/>
            </c:ext>
          </c:extLst>
        </c:ser>
        <c:ser>
          <c:idx val="4"/>
          <c:order val="2"/>
          <c:tx>
            <c:strRef>
              <c:f>Projections!$A$73</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Projections!$G$73:$AF$73</c15:sqref>
                  </c15:fullRef>
                </c:ext>
              </c:extLst>
              <c:f>Projections!$G$73:$T$73</c:f>
              <c:numCache>
                <c:formatCode>#,##0</c:formatCode>
                <c:ptCount val="14"/>
                <c:pt idx="0">
                  <c:v>5.0985455311973018</c:v>
                </c:pt>
                <c:pt idx="1">
                  <c:v>10.197091062394604</c:v>
                </c:pt>
                <c:pt idx="2">
                  <c:v>20.394182124789207</c:v>
                </c:pt>
                <c:pt idx="3">
                  <c:v>40.788364249578414</c:v>
                </c:pt>
                <c:pt idx="4">
                  <c:v>81.576728499156829</c:v>
                </c:pt>
                <c:pt idx="5">
                  <c:v>163.15345699831366</c:v>
                </c:pt>
                <c:pt idx="6">
                  <c:v>326.30691399662732</c:v>
                </c:pt>
                <c:pt idx="7">
                  <c:v>652.61382799325463</c:v>
                </c:pt>
                <c:pt idx="8">
                  <c:v>978.92074198988189</c:v>
                </c:pt>
                <c:pt idx="9">
                  <c:v>1076.8128161888701</c:v>
                </c:pt>
                <c:pt idx="10">
                  <c:v>1142.0741989881956</c:v>
                </c:pt>
                <c:pt idx="11">
                  <c:v>1207.3355817875211</c:v>
                </c:pt>
                <c:pt idx="12">
                  <c:v>1272.5969645868465</c:v>
                </c:pt>
                <c:pt idx="13">
                  <c:v>1305.2276559865093</c:v>
                </c:pt>
              </c:numCache>
            </c:numRef>
          </c:val>
          <c:smooth val="0"/>
          <c:extLst>
            <c:ext xmlns:c16="http://schemas.microsoft.com/office/drawing/2014/chart" uri="{C3380CC4-5D6E-409C-BE32-E72D297353CC}">
              <c16:uniqueId val="{00000002-7972-43AB-83E8-C2C99B4277B0}"/>
            </c:ext>
          </c:extLst>
        </c:ser>
        <c:ser>
          <c:idx val="6"/>
          <c:order val="3"/>
          <c:tx>
            <c:strRef>
              <c:f>Projections!$A$75</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Projections!$G$75:$AF$75</c15:sqref>
                  </c15:fullRef>
                </c:ext>
              </c:extLst>
              <c:f>Projections!$G$75:$T$75</c:f>
              <c:numCache>
                <c:formatCode>#,##0</c:formatCode>
                <c:ptCount val="14"/>
                <c:pt idx="0">
                  <c:v>4.9536256323777401</c:v>
                </c:pt>
                <c:pt idx="1">
                  <c:v>9.9072512647554802</c:v>
                </c:pt>
                <c:pt idx="2">
                  <c:v>19.81450252951096</c:v>
                </c:pt>
                <c:pt idx="3">
                  <c:v>39.629005059021921</c:v>
                </c:pt>
                <c:pt idx="4">
                  <c:v>79.258010118043842</c:v>
                </c:pt>
                <c:pt idx="5">
                  <c:v>158.51602023608768</c:v>
                </c:pt>
                <c:pt idx="6">
                  <c:v>317.03204047217537</c:v>
                </c:pt>
                <c:pt idx="7">
                  <c:v>634.06408094435074</c:v>
                </c:pt>
                <c:pt idx="8">
                  <c:v>951.0961214165261</c:v>
                </c:pt>
                <c:pt idx="9">
                  <c:v>1046.2057335581787</c:v>
                </c:pt>
                <c:pt idx="10">
                  <c:v>1109.6121416526139</c:v>
                </c:pt>
                <c:pt idx="11">
                  <c:v>1173.0185497470488</c:v>
                </c:pt>
                <c:pt idx="12">
                  <c:v>1236.424957841484</c:v>
                </c:pt>
                <c:pt idx="13">
                  <c:v>1268.1281618887015</c:v>
                </c:pt>
              </c:numCache>
            </c:numRef>
          </c:val>
          <c:smooth val="0"/>
          <c:extLst>
            <c:ext xmlns:c16="http://schemas.microsoft.com/office/drawing/2014/chart" uri="{C3380CC4-5D6E-409C-BE32-E72D297353CC}">
              <c16:uniqueId val="{00000003-7972-43AB-83E8-C2C99B4277B0}"/>
            </c:ext>
          </c:extLst>
        </c:ser>
        <c:ser>
          <c:idx val="8"/>
          <c:order val="4"/>
          <c:tx>
            <c:strRef>
              <c:f>Projections!$A$77</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Projections!$G$77:$AF$77</c15:sqref>
                  </c15:fullRef>
                </c:ext>
              </c:extLst>
              <c:f>Projections!$G$77:$T$77</c:f>
              <c:numCache>
                <c:formatCode>#,##0</c:formatCode>
                <c:ptCount val="14"/>
                <c:pt idx="0">
                  <c:v>3.969926925238898</c:v>
                </c:pt>
                <c:pt idx="1">
                  <c:v>7.939853850477796</c:v>
                </c:pt>
                <c:pt idx="2">
                  <c:v>15.879707700955592</c:v>
                </c:pt>
                <c:pt idx="3">
                  <c:v>31.759415401911184</c:v>
                </c:pt>
                <c:pt idx="4">
                  <c:v>63.518830803822368</c:v>
                </c:pt>
                <c:pt idx="5">
                  <c:v>127.03766160764474</c:v>
                </c:pt>
                <c:pt idx="6">
                  <c:v>254.07532321528947</c:v>
                </c:pt>
                <c:pt idx="7">
                  <c:v>508.15064643057895</c:v>
                </c:pt>
                <c:pt idx="8">
                  <c:v>762.22596964586842</c:v>
                </c:pt>
                <c:pt idx="9">
                  <c:v>838.44856661045526</c:v>
                </c:pt>
                <c:pt idx="10">
                  <c:v>889.26363125351315</c:v>
                </c:pt>
                <c:pt idx="11">
                  <c:v>940.07869589657105</c:v>
                </c:pt>
                <c:pt idx="12">
                  <c:v>990.89376053962894</c:v>
                </c:pt>
                <c:pt idx="13">
                  <c:v>1016.3012928611579</c:v>
                </c:pt>
              </c:numCache>
            </c:numRef>
          </c:val>
          <c:smooth val="0"/>
          <c:extLst>
            <c:ext xmlns:c16="http://schemas.microsoft.com/office/drawing/2014/chart" uri="{C3380CC4-5D6E-409C-BE32-E72D297353CC}">
              <c16:uniqueId val="{00000004-7972-43AB-83E8-C2C99B4277B0}"/>
            </c:ext>
          </c:extLst>
        </c:ser>
        <c:ser>
          <c:idx val="10"/>
          <c:order val="5"/>
          <c:tx>
            <c:strRef>
              <c:f>Projections!$A$79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Projections!$G$79:$AF$79</c15:sqref>
                  </c15:fullRef>
                </c:ext>
              </c:extLst>
              <c:f>Projections!$G$79:$T$79</c:f>
              <c:numCache>
                <c:formatCode>#,##0</c:formatCode>
                <c:ptCount val="14"/>
                <c:pt idx="0">
                  <c:v>4.9536256323777401</c:v>
                </c:pt>
                <c:pt idx="1">
                  <c:v>9.9072512647554802</c:v>
                </c:pt>
                <c:pt idx="2">
                  <c:v>19.81450252951096</c:v>
                </c:pt>
                <c:pt idx="3">
                  <c:v>39.629005059021921</c:v>
                </c:pt>
                <c:pt idx="4">
                  <c:v>79.258010118043842</c:v>
                </c:pt>
                <c:pt idx="5">
                  <c:v>158.51602023608768</c:v>
                </c:pt>
                <c:pt idx="6">
                  <c:v>317.03204047217537</c:v>
                </c:pt>
                <c:pt idx="7">
                  <c:v>634.06408094435074</c:v>
                </c:pt>
                <c:pt idx="8">
                  <c:v>951.0961214165261</c:v>
                </c:pt>
                <c:pt idx="9">
                  <c:v>1046.2057335581787</c:v>
                </c:pt>
                <c:pt idx="10">
                  <c:v>1109.6121416526139</c:v>
                </c:pt>
                <c:pt idx="11">
                  <c:v>1173.0185497470488</c:v>
                </c:pt>
                <c:pt idx="12">
                  <c:v>1236.424957841484</c:v>
                </c:pt>
                <c:pt idx="13">
                  <c:v>1268.1281618887015</c:v>
                </c:pt>
              </c:numCache>
            </c:numRef>
          </c:val>
          <c:smooth val="0"/>
          <c:extLst>
            <c:ext xmlns:c16="http://schemas.microsoft.com/office/drawing/2014/chart" uri="{C3380CC4-5D6E-409C-BE32-E72D297353CC}">
              <c16:uniqueId val="{00000005-7972-43AB-83E8-C2C99B4277B0}"/>
            </c:ext>
          </c:extLst>
        </c:ser>
        <c:ser>
          <c:idx val="12"/>
          <c:order val="6"/>
          <c:tx>
            <c:strRef>
              <c:f>Projections!$A$81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Projections!$G$81:$AF$81</c15:sqref>
                  </c15:fullRef>
                </c:ext>
              </c:extLst>
              <c:f>Projections!$G$81:$T$81</c:f>
              <c:numCache>
                <c:formatCode>#,##0</c:formatCode>
                <c:ptCount val="14"/>
                <c:pt idx="0">
                  <c:v>6.5213954468802697</c:v>
                </c:pt>
                <c:pt idx="1">
                  <c:v>13.042790893760539</c:v>
                </c:pt>
                <c:pt idx="2">
                  <c:v>26.085581787521079</c:v>
                </c:pt>
                <c:pt idx="3">
                  <c:v>52.171163575042158</c:v>
                </c:pt>
                <c:pt idx="4">
                  <c:v>104.34232715008432</c:v>
                </c:pt>
                <c:pt idx="5">
                  <c:v>208.68465430016863</c:v>
                </c:pt>
                <c:pt idx="6">
                  <c:v>417.36930860033726</c:v>
                </c:pt>
                <c:pt idx="7">
                  <c:v>834.73861720067453</c:v>
                </c:pt>
                <c:pt idx="8">
                  <c:v>1252.1079258010118</c:v>
                </c:pt>
                <c:pt idx="9">
                  <c:v>1377.3187183811131</c:v>
                </c:pt>
                <c:pt idx="10">
                  <c:v>1460.7925801011804</c:v>
                </c:pt>
                <c:pt idx="11">
                  <c:v>1544.266441821248</c:v>
                </c:pt>
                <c:pt idx="12">
                  <c:v>1627.7403035413154</c:v>
                </c:pt>
                <c:pt idx="13">
                  <c:v>1669.4772344013491</c:v>
                </c:pt>
              </c:numCache>
            </c:numRef>
          </c:val>
          <c:smooth val="0"/>
          <c:extLst>
            <c:ext xmlns:c16="http://schemas.microsoft.com/office/drawing/2014/chart" uri="{C3380CC4-5D6E-409C-BE32-E72D297353CC}">
              <c16:uniqueId val="{00000006-7972-43AB-83E8-C2C99B4277B0}"/>
            </c:ext>
          </c:extLst>
        </c:ser>
        <c:ser>
          <c:idx val="14"/>
          <c:order val="7"/>
          <c:tx>
            <c:strRef>
              <c:f>Projections!$A$83</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Projections!$G$83:$AF$83</c15:sqref>
                  </c15:fullRef>
                </c:ext>
              </c:extLst>
              <c:f>Projections!$G$83:$T$83</c:f>
              <c:numCache>
                <c:formatCode>#,##0</c:formatCode>
                <c:ptCount val="14"/>
                <c:pt idx="0">
                  <c:v>0.98809021922428331</c:v>
                </c:pt>
                <c:pt idx="1">
                  <c:v>1.9761804384485666</c:v>
                </c:pt>
                <c:pt idx="2">
                  <c:v>3.9523608768971332</c:v>
                </c:pt>
                <c:pt idx="3">
                  <c:v>7.9047217537942664</c:v>
                </c:pt>
                <c:pt idx="4">
                  <c:v>15.809443507588533</c:v>
                </c:pt>
                <c:pt idx="5">
                  <c:v>31.618887015177066</c:v>
                </c:pt>
                <c:pt idx="6">
                  <c:v>63.237774030354132</c:v>
                </c:pt>
                <c:pt idx="7">
                  <c:v>126.47554806070826</c:v>
                </c:pt>
                <c:pt idx="8">
                  <c:v>189.71332209106239</c:v>
                </c:pt>
                <c:pt idx="9">
                  <c:v>208.68465430016863</c:v>
                </c:pt>
                <c:pt idx="10">
                  <c:v>221.33220910623947</c:v>
                </c:pt>
                <c:pt idx="11">
                  <c:v>233.97976391231029</c:v>
                </c:pt>
                <c:pt idx="12">
                  <c:v>246.6273187183811</c:v>
                </c:pt>
                <c:pt idx="13">
                  <c:v>252.95109612141653</c:v>
                </c:pt>
              </c:numCache>
            </c:numRef>
          </c:val>
          <c:smooth val="0"/>
          <c:extLst>
            <c:ext xmlns:c16="http://schemas.microsoft.com/office/drawing/2014/chart" uri="{C3380CC4-5D6E-409C-BE32-E72D297353CC}">
              <c16:uniqueId val="{00000007-7972-43AB-83E8-C2C99B4277B0}"/>
            </c:ext>
          </c:extLst>
        </c:ser>
        <c:ser>
          <c:idx val="16"/>
          <c:order val="8"/>
          <c:tx>
            <c:strRef>
              <c:f>Projections!$A$85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Projections!$G$85:$AF$85</c15:sqref>
                  </c15:fullRef>
                </c:ext>
              </c:extLst>
              <c:f>Projections!$G$85:$T$85</c:f>
              <c:numCache>
                <c:formatCode>#,##0</c:formatCode>
                <c:ptCount val="14"/>
                <c:pt idx="0">
                  <c:v>0.40841062394603711</c:v>
                </c:pt>
                <c:pt idx="1">
                  <c:v>0.81682124789207422</c:v>
                </c:pt>
                <c:pt idx="2">
                  <c:v>1.6336424957841484</c:v>
                </c:pt>
                <c:pt idx="3">
                  <c:v>3.2672849915682969</c:v>
                </c:pt>
                <c:pt idx="4">
                  <c:v>6.5345699831365938</c:v>
                </c:pt>
                <c:pt idx="5">
                  <c:v>13.069139966273188</c:v>
                </c:pt>
                <c:pt idx="6">
                  <c:v>26.138279932546375</c:v>
                </c:pt>
                <c:pt idx="7">
                  <c:v>52.27655986509275</c:v>
                </c:pt>
                <c:pt idx="8">
                  <c:v>78.414839797639118</c:v>
                </c:pt>
                <c:pt idx="9">
                  <c:v>86.25632377740304</c:v>
                </c:pt>
                <c:pt idx="10">
                  <c:v>91.483979763912302</c:v>
                </c:pt>
                <c:pt idx="11">
                  <c:v>96.711635750421578</c:v>
                </c:pt>
                <c:pt idx="12">
                  <c:v>101.93929173693085</c:v>
                </c:pt>
                <c:pt idx="13">
                  <c:v>104.5531197301855</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Projections!$A$69</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Projections!$G$70:$AF$70</c15:sqref>
                  </c15:fullRef>
                </c:ext>
              </c:extLst>
              <c:f>Projections!$G$70:$T$70</c:f>
              <c:numCache>
                <c:formatCode>#,##0</c:formatCode>
                <c:ptCount val="14"/>
                <c:pt idx="0">
                  <c:v>0.24153316469926925</c:v>
                </c:pt>
                <c:pt idx="1">
                  <c:v>0.4830663293985385</c:v>
                </c:pt>
                <c:pt idx="2">
                  <c:v>0.96613265879707699</c:v>
                </c:pt>
                <c:pt idx="3">
                  <c:v>1.932265317594154</c:v>
                </c:pt>
                <c:pt idx="4">
                  <c:v>3.864530635188308</c:v>
                </c:pt>
                <c:pt idx="5">
                  <c:v>7.7290612703766159</c:v>
                </c:pt>
                <c:pt idx="6">
                  <c:v>15.458122540753232</c:v>
                </c:pt>
                <c:pt idx="7">
                  <c:v>30.916245081506464</c:v>
                </c:pt>
                <c:pt idx="8">
                  <c:v>46.37436762225969</c:v>
                </c:pt>
                <c:pt idx="9">
                  <c:v>51.011804384485664</c:v>
                </c:pt>
                <c:pt idx="10">
                  <c:v>54.103428892636316</c:v>
                </c:pt>
                <c:pt idx="11">
                  <c:v>57.195053400786961</c:v>
                </c:pt>
                <c:pt idx="12">
                  <c:v>60.286677908937605</c:v>
                </c:pt>
                <c:pt idx="13">
                  <c:v>61.832490163012928</c:v>
                </c:pt>
              </c:numCache>
            </c:numRef>
          </c:val>
          <c:smooth val="0"/>
          <c:extLst>
            <c:ext xmlns:c16="http://schemas.microsoft.com/office/drawing/2014/chart" uri="{C3380CC4-5D6E-409C-BE32-E72D297353CC}">
              <c16:uniqueId val="{00000000-FE50-482D-905D-7C3B099138E4}"/>
            </c:ext>
          </c:extLst>
        </c:ser>
        <c:ser>
          <c:idx val="3"/>
          <c:order val="1"/>
          <c:tx>
            <c:strRef>
              <c:f>Projections!$A$71</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Projections!$G$72:$AF$72</c15:sqref>
                  </c15:fullRef>
                </c:ext>
              </c:extLst>
              <c:f>Projections!$G$72:$T$72</c:f>
              <c:numCache>
                <c:formatCode>#,##0</c:formatCode>
                <c:ptCount val="14"/>
                <c:pt idx="0">
                  <c:v>0.1493114109050028</c:v>
                </c:pt>
                <c:pt idx="1">
                  <c:v>0.2986228218100056</c:v>
                </c:pt>
                <c:pt idx="2">
                  <c:v>0.5972456436200112</c:v>
                </c:pt>
                <c:pt idx="3">
                  <c:v>1.1944912872400224</c:v>
                </c:pt>
                <c:pt idx="4">
                  <c:v>2.3889825744800448</c:v>
                </c:pt>
                <c:pt idx="5">
                  <c:v>4.7779651489600896</c:v>
                </c:pt>
                <c:pt idx="6">
                  <c:v>9.5559302979201792</c:v>
                </c:pt>
                <c:pt idx="7">
                  <c:v>19.111860595840358</c:v>
                </c:pt>
                <c:pt idx="8">
                  <c:v>28.667790893760539</c:v>
                </c:pt>
                <c:pt idx="9">
                  <c:v>31.534569983136596</c:v>
                </c:pt>
                <c:pt idx="10">
                  <c:v>33.445756042720632</c:v>
                </c:pt>
                <c:pt idx="11">
                  <c:v>35.356942102304664</c:v>
                </c:pt>
                <c:pt idx="12">
                  <c:v>37.268128161888704</c:v>
                </c:pt>
                <c:pt idx="13">
                  <c:v>38.223721191680717</c:v>
                </c:pt>
              </c:numCache>
            </c:numRef>
          </c:val>
          <c:smooth val="0"/>
          <c:extLst>
            <c:ext xmlns:c16="http://schemas.microsoft.com/office/drawing/2014/chart" uri="{C3380CC4-5D6E-409C-BE32-E72D297353CC}">
              <c16:uniqueId val="{00000001-FE50-482D-905D-7C3B099138E4}"/>
            </c:ext>
          </c:extLst>
        </c:ser>
        <c:ser>
          <c:idx val="5"/>
          <c:order val="2"/>
          <c:tx>
            <c:strRef>
              <c:f>Projections!$A$73</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Projections!$G$74:$AF$74</c15:sqref>
                  </c15:fullRef>
                </c:ext>
              </c:extLst>
              <c:f>Projections!$G$74:$T$74</c:f>
              <c:numCache>
                <c:formatCode>#,##0</c:formatCode>
                <c:ptCount val="14"/>
                <c:pt idx="0">
                  <c:v>4.3915120854412591E-2</c:v>
                </c:pt>
                <c:pt idx="1">
                  <c:v>8.7830241708825182E-2</c:v>
                </c:pt>
                <c:pt idx="2">
                  <c:v>0.17566048341765036</c:v>
                </c:pt>
                <c:pt idx="3">
                  <c:v>0.35132096683530073</c:v>
                </c:pt>
                <c:pt idx="4">
                  <c:v>0.70264193367060146</c:v>
                </c:pt>
                <c:pt idx="5">
                  <c:v>1.4052838673412029</c:v>
                </c:pt>
                <c:pt idx="6">
                  <c:v>2.8105677346824058</c:v>
                </c:pt>
                <c:pt idx="7">
                  <c:v>5.6211354693648117</c:v>
                </c:pt>
                <c:pt idx="8">
                  <c:v>8.4317032040472171</c:v>
                </c:pt>
                <c:pt idx="9">
                  <c:v>9.2748735244519391</c:v>
                </c:pt>
                <c:pt idx="10">
                  <c:v>9.8369870713884211</c:v>
                </c:pt>
                <c:pt idx="11">
                  <c:v>10.399100618324901</c:v>
                </c:pt>
                <c:pt idx="12">
                  <c:v>10.961214165261383</c:v>
                </c:pt>
                <c:pt idx="13">
                  <c:v>11.242270938729623</c:v>
                </c:pt>
              </c:numCache>
            </c:numRef>
          </c:val>
          <c:smooth val="0"/>
          <c:extLst>
            <c:ext xmlns:c16="http://schemas.microsoft.com/office/drawing/2014/chart" uri="{C3380CC4-5D6E-409C-BE32-E72D297353CC}">
              <c16:uniqueId val="{00000002-FE50-482D-905D-7C3B099138E4}"/>
            </c:ext>
          </c:extLst>
        </c:ser>
        <c:ser>
          <c:idx val="7"/>
          <c:order val="3"/>
          <c:tx>
            <c:strRef>
              <c:f>Projections!$A$75</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Projections!$G$76:$AF$76</c15:sqref>
                  </c15:fullRef>
                </c:ext>
              </c:extLst>
              <c:f>Projections!$G$76:$T$76</c:f>
              <c:numCache>
                <c:formatCode>#,##0</c:formatCode>
                <c:ptCount val="14"/>
                <c:pt idx="0">
                  <c:v>8.7830241708825186E-3</c:v>
                </c:pt>
                <c:pt idx="1">
                  <c:v>1.7566048341765037E-2</c:v>
                </c:pt>
                <c:pt idx="2">
                  <c:v>3.5132096683530074E-2</c:v>
                </c:pt>
                <c:pt idx="3">
                  <c:v>7.0264193367060149E-2</c:v>
                </c:pt>
                <c:pt idx="4">
                  <c:v>0.1405283867341203</c:v>
                </c:pt>
                <c:pt idx="5">
                  <c:v>0.28105677346824059</c:v>
                </c:pt>
                <c:pt idx="6">
                  <c:v>0.56211354693648119</c:v>
                </c:pt>
                <c:pt idx="7">
                  <c:v>1.1242270938729624</c:v>
                </c:pt>
                <c:pt idx="8">
                  <c:v>1.6863406408094435</c:v>
                </c:pt>
                <c:pt idx="9">
                  <c:v>1.8549747048903877</c:v>
                </c:pt>
                <c:pt idx="10">
                  <c:v>1.9673974142776842</c:v>
                </c:pt>
                <c:pt idx="11">
                  <c:v>2.0798201236649803</c:v>
                </c:pt>
                <c:pt idx="12">
                  <c:v>2.1922428330522767</c:v>
                </c:pt>
                <c:pt idx="13">
                  <c:v>2.2484541877459248</c:v>
                </c:pt>
              </c:numCache>
            </c:numRef>
          </c:val>
          <c:smooth val="0"/>
          <c:extLst>
            <c:ext xmlns:c16="http://schemas.microsoft.com/office/drawing/2014/chart" uri="{C3380CC4-5D6E-409C-BE32-E72D297353CC}">
              <c16:uniqueId val="{00000003-FE50-482D-905D-7C3B099138E4}"/>
            </c:ext>
          </c:extLst>
        </c:ser>
        <c:ser>
          <c:idx val="9"/>
          <c:order val="4"/>
          <c:tx>
            <c:strRef>
              <c:f>Projections!$A$77</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Projections!$G$78:$AF$78</c15:sqref>
                  </c15:fullRef>
                </c:ext>
              </c:extLst>
              <c:f>Projections!$G$78:$T$78</c:f>
              <c:numCache>
                <c:formatCode>#,##0</c:formatCode>
                <c:ptCount val="14"/>
                <c:pt idx="0">
                  <c:v>4.3915120854412584E-3</c:v>
                </c:pt>
                <c:pt idx="1">
                  <c:v>8.7830241708825169E-3</c:v>
                </c:pt>
                <c:pt idx="2">
                  <c:v>1.7566048341765034E-2</c:v>
                </c:pt>
                <c:pt idx="3">
                  <c:v>3.5132096683530067E-2</c:v>
                </c:pt>
                <c:pt idx="4">
                  <c:v>7.0264193367060135E-2</c:v>
                </c:pt>
                <c:pt idx="5">
                  <c:v>0.14052838673412027</c:v>
                </c:pt>
                <c:pt idx="6">
                  <c:v>0.28105677346824054</c:v>
                </c:pt>
                <c:pt idx="7">
                  <c:v>0.56211354693648108</c:v>
                </c:pt>
                <c:pt idx="8">
                  <c:v>0.84317032040472173</c:v>
                </c:pt>
                <c:pt idx="9">
                  <c:v>0.92748735244519387</c:v>
                </c:pt>
                <c:pt idx="10">
                  <c:v>0.983698707138842</c:v>
                </c:pt>
                <c:pt idx="11">
                  <c:v>1.0399100618324901</c:v>
                </c:pt>
                <c:pt idx="12">
                  <c:v>1.0961214165261381</c:v>
                </c:pt>
                <c:pt idx="13">
                  <c:v>1.1242270938729622</c:v>
                </c:pt>
              </c:numCache>
            </c:numRef>
          </c:val>
          <c:smooth val="0"/>
          <c:extLst>
            <c:ext xmlns:c16="http://schemas.microsoft.com/office/drawing/2014/chart" uri="{C3380CC4-5D6E-409C-BE32-E72D297353CC}">
              <c16:uniqueId val="{00000004-FE50-482D-905D-7C3B099138E4}"/>
            </c:ext>
          </c:extLst>
        </c:ser>
        <c:ser>
          <c:idx val="11"/>
          <c:order val="5"/>
          <c:tx>
            <c:strRef>
              <c:f>Projections!$A$79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Projections!$G$80:$AF$80</c15:sqref>
                  </c15:fullRef>
                </c:ext>
              </c:extLst>
              <c:f>Projections!$G$80:$T$80</c:f>
              <c:numCache>
                <c:formatCode>#,##0</c:formatCode>
                <c:ptCount val="14"/>
                <c:pt idx="0">
                  <c:v>4.3915120854412593E-3</c:v>
                </c:pt>
                <c:pt idx="1">
                  <c:v>8.7830241708825186E-3</c:v>
                </c:pt>
                <c:pt idx="2">
                  <c:v>1.7566048341765037E-2</c:v>
                </c:pt>
                <c:pt idx="3">
                  <c:v>3.5132096683530074E-2</c:v>
                </c:pt>
                <c:pt idx="4">
                  <c:v>7.0264193367060149E-2</c:v>
                </c:pt>
                <c:pt idx="5">
                  <c:v>0.1405283867341203</c:v>
                </c:pt>
                <c:pt idx="6">
                  <c:v>0.28105677346824059</c:v>
                </c:pt>
                <c:pt idx="7">
                  <c:v>0.56211354693648119</c:v>
                </c:pt>
                <c:pt idx="8">
                  <c:v>0.84317032040472173</c:v>
                </c:pt>
                <c:pt idx="9">
                  <c:v>0.92748735244519387</c:v>
                </c:pt>
                <c:pt idx="10">
                  <c:v>0.98369870713884211</c:v>
                </c:pt>
                <c:pt idx="11">
                  <c:v>1.0399100618324901</c:v>
                </c:pt>
                <c:pt idx="12">
                  <c:v>1.0961214165261384</c:v>
                </c:pt>
                <c:pt idx="13">
                  <c:v>1.1242270938729624</c:v>
                </c:pt>
              </c:numCache>
            </c:numRef>
          </c:val>
          <c:smooth val="0"/>
          <c:extLst>
            <c:ext xmlns:c16="http://schemas.microsoft.com/office/drawing/2014/chart" uri="{C3380CC4-5D6E-409C-BE32-E72D297353CC}">
              <c16:uniqueId val="{00000005-FE50-482D-905D-7C3B099138E4}"/>
            </c:ext>
          </c:extLst>
        </c:ser>
        <c:ser>
          <c:idx val="13"/>
          <c:order val="6"/>
          <c:tx>
            <c:strRef>
              <c:f>Projections!$A$81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Projections!$G$82:$AF$82</c15:sqref>
                  </c15:fullRef>
                </c:ext>
              </c:extLst>
              <c:f>Projections!$G$82:$T$82</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6-FE50-482D-905D-7C3B099138E4}"/>
            </c:ext>
          </c:extLst>
        </c:ser>
        <c:ser>
          <c:idx val="15"/>
          <c:order val="7"/>
          <c:tx>
            <c:strRef>
              <c:f>Projections!$A$83</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Projections!$G$84:$AF$84</c15:sqref>
                  </c15:fullRef>
                </c:ext>
              </c:extLst>
              <c:f>Projections!$G$84:$T$84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7-FE50-482D-905D-7C3B099138E4}"/>
            </c:ext>
          </c:extLst>
        </c:ser>
        <c:ser>
          <c:idx val="17"/>
          <c:order val="8"/>
          <c:tx>
            <c:strRef>
              <c:f>Projections!$A$85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Projections!$G$86:$AF$86</c15:sqref>
                  </c15:fullRef>
                </c:ext>
              </c:extLst>
              <c:f>Projections!$G$86:$T$86</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Projections!$G$98:$AF$98</c15:sqref>
                  </c15:fullRef>
                </c:ext>
              </c:extLst>
              <c:f>Projections!$G$98:$T$98</c:f>
              <c:numCache>
                <c:formatCode>#,##0</c:formatCode>
                <c:ptCount val="14"/>
                <c:pt idx="0">
                  <c:v>3.3125</c:v>
                </c:pt>
                <c:pt idx="1">
                  <c:v>6.625</c:v>
                </c:pt>
                <c:pt idx="2">
                  <c:v>13.25</c:v>
                </c:pt>
                <c:pt idx="3">
                  <c:v>26.5</c:v>
                </c:pt>
                <c:pt idx="4">
                  <c:v>53</c:v>
                </c:pt>
                <c:pt idx="5">
                  <c:v>106</c:v>
                </c:pt>
                <c:pt idx="6">
                  <c:v>212</c:v>
                </c:pt>
                <c:pt idx="7">
                  <c:v>424</c:v>
                </c:pt>
                <c:pt idx="8">
                  <c:v>636</c:v>
                </c:pt>
                <c:pt idx="9">
                  <c:v>699.6</c:v>
                </c:pt>
                <c:pt idx="10">
                  <c:v>742</c:v>
                </c:pt>
                <c:pt idx="11">
                  <c:v>784.4</c:v>
                </c:pt>
                <c:pt idx="12">
                  <c:v>826.8</c:v>
                </c:pt>
                <c:pt idx="13">
                  <c:v>848</c:v>
                </c:pt>
              </c:numCache>
            </c:numRef>
          </c:val>
          <c:smooth val="0"/>
          <c:extLst>
            <c:ext xmlns:c16="http://schemas.microsoft.com/office/drawing/2014/chart" uri="{C3380CC4-5D6E-409C-BE32-E72D297353CC}">
              <c16:uniqueId val="{00000000-C5BA-4495-93D4-AC4CA8674604}"/>
            </c:ext>
          </c:extLst>
        </c:ser>
        <c:ser>
          <c:idx val="4"/>
          <c:order val="1"/>
          <c:tx>
            <c:strRef>
              <c:f>Projections!$A$96</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Projections!$G$96:$AF$96</c15:sqref>
                  </c15:fullRef>
                </c:ext>
              </c:extLst>
              <c:f>Projections!$G$96:$T$96</c:f>
              <c:numCache>
                <c:formatCode>#,##0</c:formatCode>
                <c:ptCount val="14"/>
                <c:pt idx="0">
                  <c:v>9.6875</c:v>
                </c:pt>
                <c:pt idx="1">
                  <c:v>19.375</c:v>
                </c:pt>
                <c:pt idx="2">
                  <c:v>38.75</c:v>
                </c:pt>
                <c:pt idx="3">
                  <c:v>77.5</c:v>
                </c:pt>
                <c:pt idx="4">
                  <c:v>155</c:v>
                </c:pt>
                <c:pt idx="5">
                  <c:v>310</c:v>
                </c:pt>
                <c:pt idx="6">
                  <c:v>620</c:v>
                </c:pt>
                <c:pt idx="7">
                  <c:v>1240</c:v>
                </c:pt>
                <c:pt idx="8">
                  <c:v>1860</c:v>
                </c:pt>
                <c:pt idx="9">
                  <c:v>2046</c:v>
                </c:pt>
                <c:pt idx="10">
                  <c:v>2170</c:v>
                </c:pt>
                <c:pt idx="11">
                  <c:v>2294</c:v>
                </c:pt>
                <c:pt idx="12">
                  <c:v>2418</c:v>
                </c:pt>
                <c:pt idx="13">
                  <c:v>2480</c:v>
                </c:pt>
              </c:numCache>
            </c:numRef>
          </c:val>
          <c:smooth val="0"/>
          <c:extLst>
            <c:ext xmlns:c16="http://schemas.microsoft.com/office/drawing/2014/chart" uri="{C3380CC4-5D6E-409C-BE32-E72D297353CC}">
              <c16:uniqueId val="{00000001-C5BA-4495-93D4-AC4CA8674604}"/>
            </c:ext>
          </c:extLst>
        </c:ser>
        <c:ser>
          <c:idx val="10"/>
          <c:order val="2"/>
          <c:tx>
            <c:strRef>
              <c:f>Projections!$A$102</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Projections!$G$102:$AF$102</c15:sqref>
                  </c15:fullRef>
                </c:ext>
              </c:extLst>
              <c:f>Projections!$G$102:$T$102</c:f>
              <c:numCache>
                <c:formatCode>#,##0</c:formatCode>
                <c:ptCount val="14"/>
                <c:pt idx="0">
                  <c:v>4.75</c:v>
                </c:pt>
                <c:pt idx="1">
                  <c:v>9.5</c:v>
                </c:pt>
                <c:pt idx="2">
                  <c:v>19</c:v>
                </c:pt>
                <c:pt idx="3">
                  <c:v>38</c:v>
                </c:pt>
                <c:pt idx="4">
                  <c:v>76</c:v>
                </c:pt>
                <c:pt idx="5">
                  <c:v>152</c:v>
                </c:pt>
                <c:pt idx="6">
                  <c:v>304</c:v>
                </c:pt>
                <c:pt idx="7">
                  <c:v>608</c:v>
                </c:pt>
                <c:pt idx="8">
                  <c:v>912</c:v>
                </c:pt>
                <c:pt idx="9">
                  <c:v>1003.1999999999999</c:v>
                </c:pt>
                <c:pt idx="10">
                  <c:v>1064</c:v>
                </c:pt>
                <c:pt idx="11">
                  <c:v>1124.8</c:v>
                </c:pt>
                <c:pt idx="12">
                  <c:v>1185.5999999999999</c:v>
                </c:pt>
                <c:pt idx="13">
                  <c:v>1216</c:v>
                </c:pt>
              </c:numCache>
            </c:numRef>
          </c:val>
          <c:smooth val="0"/>
          <c:extLst>
            <c:ext xmlns:c16="http://schemas.microsoft.com/office/drawing/2014/chart" uri="{C3380CC4-5D6E-409C-BE32-E72D297353CC}">
              <c16:uniqueId val="{00000002-C5BA-4495-93D4-AC4CA8674604}"/>
            </c:ext>
          </c:extLst>
        </c:ser>
        <c:ser>
          <c:idx val="0"/>
          <c:order val="3"/>
          <c:tx>
            <c:strRef>
              <c:f>Projections!$A$92</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Projections!$G$92:$AF$92</c15:sqref>
                  </c15:fullRef>
                </c:ext>
              </c:extLst>
              <c:f>Projections!$G$92:$T$92</c:f>
              <c:numCache>
                <c:formatCode>#,##0</c:formatCode>
                <c:ptCount val="14"/>
                <c:pt idx="0">
                  <c:v>1.5625</c:v>
                </c:pt>
                <c:pt idx="1">
                  <c:v>3.125</c:v>
                </c:pt>
                <c:pt idx="2">
                  <c:v>6.25</c:v>
                </c:pt>
                <c:pt idx="3">
                  <c:v>12.5</c:v>
                </c:pt>
                <c:pt idx="4">
                  <c:v>25</c:v>
                </c:pt>
                <c:pt idx="5">
                  <c:v>50</c:v>
                </c:pt>
                <c:pt idx="6">
                  <c:v>100</c:v>
                </c:pt>
                <c:pt idx="7">
                  <c:v>200</c:v>
                </c:pt>
                <c:pt idx="8">
                  <c:v>300</c:v>
                </c:pt>
                <c:pt idx="9">
                  <c:v>330</c:v>
                </c:pt>
                <c:pt idx="10">
                  <c:v>350</c:v>
                </c:pt>
                <c:pt idx="11">
                  <c:v>370</c:v>
                </c:pt>
                <c:pt idx="12">
                  <c:v>390</c:v>
                </c:pt>
                <c:pt idx="13">
                  <c:v>400</c:v>
                </c:pt>
              </c:numCache>
            </c:numRef>
          </c:val>
          <c:smooth val="0"/>
          <c:extLst>
            <c:ext xmlns:c16="http://schemas.microsoft.com/office/drawing/2014/chart" uri="{C3380CC4-5D6E-409C-BE32-E72D297353CC}">
              <c16:uniqueId val="{00000003-C5BA-4495-93D4-AC4CA8674604}"/>
            </c:ext>
          </c:extLst>
        </c:ser>
        <c:ser>
          <c:idx val="2"/>
          <c:order val="4"/>
          <c:tx>
            <c:strRef>
              <c:f>Projections!$A$94</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Projections!$G$94:$AF$94</c15:sqref>
                  </c15:fullRef>
                </c:ext>
              </c:extLst>
              <c:f>Projections!$G$94:$T$94</c:f>
              <c:numCache>
                <c:formatCode>#,##0</c:formatCode>
                <c:ptCount val="14"/>
                <c:pt idx="0">
                  <c:v>1.53125</c:v>
                </c:pt>
                <c:pt idx="1">
                  <c:v>3.0625</c:v>
                </c:pt>
                <c:pt idx="2">
                  <c:v>6.125</c:v>
                </c:pt>
                <c:pt idx="3">
                  <c:v>12.25</c:v>
                </c:pt>
                <c:pt idx="4">
                  <c:v>24.5</c:v>
                </c:pt>
                <c:pt idx="5">
                  <c:v>49</c:v>
                </c:pt>
                <c:pt idx="6">
                  <c:v>98</c:v>
                </c:pt>
                <c:pt idx="7">
                  <c:v>196</c:v>
                </c:pt>
                <c:pt idx="8">
                  <c:v>294</c:v>
                </c:pt>
                <c:pt idx="9">
                  <c:v>323.40000000000003</c:v>
                </c:pt>
                <c:pt idx="10">
                  <c:v>343</c:v>
                </c:pt>
                <c:pt idx="11">
                  <c:v>362.6</c:v>
                </c:pt>
                <c:pt idx="12">
                  <c:v>382.2</c:v>
                </c:pt>
                <c:pt idx="13">
                  <c:v>392</c:v>
                </c:pt>
              </c:numCache>
            </c:numRef>
          </c:val>
          <c:smooth val="0"/>
          <c:extLst>
            <c:ext xmlns:c16="http://schemas.microsoft.com/office/drawing/2014/chart" uri="{C3380CC4-5D6E-409C-BE32-E72D297353CC}">
              <c16:uniqueId val="{00000004-C5BA-4495-93D4-AC4CA8674604}"/>
            </c:ext>
          </c:extLst>
        </c:ser>
        <c:ser>
          <c:idx val="8"/>
          <c:order val="5"/>
          <c:tx>
            <c:strRef>
              <c:f>Projections!$A$100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Projections!$G$100:$AF$100</c15:sqref>
                  </c15:fullRef>
                </c:ext>
              </c:extLst>
              <c:f>Projections!$G$100:$T$100</c:f>
              <c:numCache>
                <c:formatCode>#,##0</c:formatCode>
                <c:ptCount val="14"/>
                <c:pt idx="0">
                  <c:v>0.5625</c:v>
                </c:pt>
                <c:pt idx="1">
                  <c:v>1.125</c:v>
                </c:pt>
                <c:pt idx="2">
                  <c:v>2.25</c:v>
                </c:pt>
                <c:pt idx="3">
                  <c:v>4.5</c:v>
                </c:pt>
                <c:pt idx="4">
                  <c:v>9</c:v>
                </c:pt>
                <c:pt idx="5">
                  <c:v>18</c:v>
                </c:pt>
                <c:pt idx="6">
                  <c:v>36</c:v>
                </c:pt>
                <c:pt idx="7">
                  <c:v>72</c:v>
                </c:pt>
                <c:pt idx="8">
                  <c:v>107.99999999999999</c:v>
                </c:pt>
                <c:pt idx="9">
                  <c:v>118.8</c:v>
                </c:pt>
                <c:pt idx="10">
                  <c:v>125.99999999999999</c:v>
                </c:pt>
                <c:pt idx="11">
                  <c:v>133.19999999999999</c:v>
                </c:pt>
                <c:pt idx="12">
                  <c:v>140.39999999999998</c:v>
                </c:pt>
                <c:pt idx="13">
                  <c:v>144</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Projections!$G$99:$AF$99</c15:sqref>
                  </c15:fullRef>
                </c:ext>
              </c:extLst>
              <c:f>Projections!$G$99:$T$99</c:f>
              <c:numCache>
                <c:formatCode>#,##0</c:formatCode>
                <c:ptCount val="14"/>
                <c:pt idx="0">
                  <c:v>0.19874999999999998</c:v>
                </c:pt>
                <c:pt idx="1">
                  <c:v>0.39749999999999996</c:v>
                </c:pt>
                <c:pt idx="2">
                  <c:v>0.79499999999999993</c:v>
                </c:pt>
                <c:pt idx="3">
                  <c:v>1.5899999999999999</c:v>
                </c:pt>
                <c:pt idx="4">
                  <c:v>3.1799999999999997</c:v>
                </c:pt>
                <c:pt idx="5">
                  <c:v>6.3599999999999994</c:v>
                </c:pt>
                <c:pt idx="6">
                  <c:v>12.719999999999999</c:v>
                </c:pt>
                <c:pt idx="7">
                  <c:v>25.439999999999998</c:v>
                </c:pt>
                <c:pt idx="8">
                  <c:v>38.159999999999997</c:v>
                </c:pt>
                <c:pt idx="9">
                  <c:v>41.975999999999999</c:v>
                </c:pt>
                <c:pt idx="10">
                  <c:v>44.519999999999996</c:v>
                </c:pt>
                <c:pt idx="11">
                  <c:v>47.064</c:v>
                </c:pt>
                <c:pt idx="12">
                  <c:v>49.607999999999997</c:v>
                </c:pt>
                <c:pt idx="13">
                  <c:v>50.879999999999995</c:v>
                </c:pt>
              </c:numCache>
            </c:numRef>
          </c:val>
          <c:smooth val="0"/>
          <c:extLst>
            <c:ext xmlns:c16="http://schemas.microsoft.com/office/drawing/2014/chart" uri="{C3380CC4-5D6E-409C-BE32-E72D297353CC}">
              <c16:uniqueId val="{00000000-5E66-4AF0-A3CA-7CF12153AA8E}"/>
            </c:ext>
          </c:extLst>
        </c:ser>
        <c:ser>
          <c:idx val="5"/>
          <c:order val="1"/>
          <c:tx>
            <c:strRef>
              <c:f>Projections!$A$96</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Projections!$G$97:$AF$97</c15:sqref>
                  </c15:fullRef>
                </c:ext>
              </c:extLst>
              <c:f>Projections!$G$97:$T$97</c:f>
              <c:numCache>
                <c:formatCode>#,##0</c:formatCode>
                <c:ptCount val="14"/>
                <c:pt idx="0">
                  <c:v>0.61031250000000004</c:v>
                </c:pt>
                <c:pt idx="1">
                  <c:v>1.2206250000000001</c:v>
                </c:pt>
                <c:pt idx="2">
                  <c:v>2.4412500000000001</c:v>
                </c:pt>
                <c:pt idx="3">
                  <c:v>4.8825000000000003</c:v>
                </c:pt>
                <c:pt idx="4">
                  <c:v>9.7650000000000006</c:v>
                </c:pt>
                <c:pt idx="5">
                  <c:v>19.53</c:v>
                </c:pt>
                <c:pt idx="6">
                  <c:v>39.06</c:v>
                </c:pt>
                <c:pt idx="7">
                  <c:v>78.12</c:v>
                </c:pt>
                <c:pt idx="8">
                  <c:v>117.18</c:v>
                </c:pt>
                <c:pt idx="9">
                  <c:v>128.898</c:v>
                </c:pt>
                <c:pt idx="10">
                  <c:v>136.71</c:v>
                </c:pt>
                <c:pt idx="11">
                  <c:v>144.52199999999999</c:v>
                </c:pt>
                <c:pt idx="12">
                  <c:v>152.334</c:v>
                </c:pt>
                <c:pt idx="13">
                  <c:v>156.24</c:v>
                </c:pt>
              </c:numCache>
            </c:numRef>
          </c:val>
          <c:smooth val="0"/>
          <c:extLst>
            <c:ext xmlns:c16="http://schemas.microsoft.com/office/drawing/2014/chart" uri="{C3380CC4-5D6E-409C-BE32-E72D297353CC}">
              <c16:uniqueId val="{00000001-5E66-4AF0-A3CA-7CF12153AA8E}"/>
            </c:ext>
          </c:extLst>
        </c:ser>
        <c:ser>
          <c:idx val="1"/>
          <c:order val="2"/>
          <c:tx>
            <c:strRef>
              <c:f>Projections!$A$92</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Projections!$G$93:$AF$93</c15:sqref>
                  </c15:fullRef>
                </c:ext>
              </c:extLst>
              <c:f>Projections!$G$93:$T$93</c:f>
              <c:numCache>
                <c:formatCode>#,##0</c:formatCode>
                <c:ptCount val="14"/>
                <c:pt idx="0">
                  <c:v>0.1640625</c:v>
                </c:pt>
                <c:pt idx="1">
                  <c:v>0.328125</c:v>
                </c:pt>
                <c:pt idx="2">
                  <c:v>0.65625</c:v>
                </c:pt>
                <c:pt idx="3">
                  <c:v>1.3125</c:v>
                </c:pt>
                <c:pt idx="4">
                  <c:v>2.625</c:v>
                </c:pt>
                <c:pt idx="5">
                  <c:v>5.25</c:v>
                </c:pt>
                <c:pt idx="6">
                  <c:v>10.5</c:v>
                </c:pt>
                <c:pt idx="7">
                  <c:v>21</c:v>
                </c:pt>
                <c:pt idx="8">
                  <c:v>31.5</c:v>
                </c:pt>
                <c:pt idx="9">
                  <c:v>34.65</c:v>
                </c:pt>
                <c:pt idx="10">
                  <c:v>36.75</c:v>
                </c:pt>
                <c:pt idx="11">
                  <c:v>38.85</c:v>
                </c:pt>
                <c:pt idx="12">
                  <c:v>40.949999999999996</c:v>
                </c:pt>
                <c:pt idx="13">
                  <c:v>42</c:v>
                </c:pt>
              </c:numCache>
            </c:numRef>
          </c:val>
          <c:smooth val="0"/>
          <c:extLst>
            <c:ext xmlns:c16="http://schemas.microsoft.com/office/drawing/2014/chart" uri="{C3380CC4-5D6E-409C-BE32-E72D297353CC}">
              <c16:uniqueId val="{00000002-5E66-4AF0-A3CA-7CF12153AA8E}"/>
            </c:ext>
          </c:extLst>
        </c:ser>
        <c:ser>
          <c:idx val="3"/>
          <c:order val="3"/>
          <c:tx>
            <c:strRef>
              <c:f>Projections!$A$94</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Projections!$G$95:$AF$95</c15:sqref>
                  </c15:fullRef>
                </c:ext>
              </c:extLst>
              <c:f>Projections!$G$95:$T$95</c:f>
              <c:numCache>
                <c:formatCode>#,##0</c:formatCode>
                <c:ptCount val="14"/>
                <c:pt idx="0">
                  <c:v>0.11178125</c:v>
                </c:pt>
                <c:pt idx="1">
                  <c:v>0.2235625</c:v>
                </c:pt>
                <c:pt idx="2">
                  <c:v>0.44712499999999999</c:v>
                </c:pt>
                <c:pt idx="3">
                  <c:v>0.89424999999999999</c:v>
                </c:pt>
                <c:pt idx="4">
                  <c:v>1.7885</c:v>
                </c:pt>
                <c:pt idx="5">
                  <c:v>3.577</c:v>
                </c:pt>
                <c:pt idx="6">
                  <c:v>7.1539999999999999</c:v>
                </c:pt>
                <c:pt idx="7">
                  <c:v>14.308</c:v>
                </c:pt>
                <c:pt idx="8">
                  <c:v>21.462</c:v>
                </c:pt>
                <c:pt idx="9">
                  <c:v>23.6082</c:v>
                </c:pt>
                <c:pt idx="10">
                  <c:v>25.038999999999998</c:v>
                </c:pt>
                <c:pt idx="11">
                  <c:v>26.469799999999999</c:v>
                </c:pt>
                <c:pt idx="12">
                  <c:v>27.900599999999997</c:v>
                </c:pt>
                <c:pt idx="13">
                  <c:v>28.616</c:v>
                </c:pt>
              </c:numCache>
            </c:numRef>
          </c:val>
          <c:smooth val="0"/>
          <c:extLst>
            <c:ext xmlns:c16="http://schemas.microsoft.com/office/drawing/2014/chart" uri="{C3380CC4-5D6E-409C-BE32-E72D297353CC}">
              <c16:uniqueId val="{00000003-5E66-4AF0-A3CA-7CF12153AA8E}"/>
            </c:ext>
          </c:extLst>
        </c:ser>
        <c:ser>
          <c:idx val="9"/>
          <c:order val="4"/>
          <c:tx>
            <c:strRef>
              <c:f>Projections!$A$100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Projections!$G$101:$AF$101</c15:sqref>
                  </c15:fullRef>
                </c:ext>
              </c:extLst>
              <c:f>Projections!$G$101:$T$101</c:f>
              <c:numCache>
                <c:formatCode>#,##0</c:formatCode>
                <c:ptCount val="14"/>
                <c:pt idx="0">
                  <c:v>3.15E-2</c:v>
                </c:pt>
                <c:pt idx="1">
                  <c:v>6.3E-2</c:v>
                </c:pt>
                <c:pt idx="2">
                  <c:v>0.126</c:v>
                </c:pt>
                <c:pt idx="3">
                  <c:v>0.252</c:v>
                </c:pt>
                <c:pt idx="4">
                  <c:v>0.504</c:v>
                </c:pt>
                <c:pt idx="5">
                  <c:v>1.008</c:v>
                </c:pt>
                <c:pt idx="6">
                  <c:v>2.016</c:v>
                </c:pt>
                <c:pt idx="7">
                  <c:v>4.032</c:v>
                </c:pt>
                <c:pt idx="8">
                  <c:v>6.0479999999999992</c:v>
                </c:pt>
                <c:pt idx="9">
                  <c:v>6.6528</c:v>
                </c:pt>
                <c:pt idx="10">
                  <c:v>7.0559999999999992</c:v>
                </c:pt>
                <c:pt idx="11">
                  <c:v>7.4591999999999992</c:v>
                </c:pt>
                <c:pt idx="12">
                  <c:v>7.8623999999999992</c:v>
                </c:pt>
                <c:pt idx="13">
                  <c:v>8.0640000000000001</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Projections!$A$37</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Projections!$G$37:$AF$37</c15:sqref>
                  </c15:fullRef>
                </c:ext>
              </c:extLst>
              <c:f>Projections!$G$37:$T$37</c:f>
              <c:numCache>
                <c:formatCode>#,##0_ ;[Red]\-#,##0\ </c:formatCode>
                <c:ptCount val="14"/>
                <c:pt idx="0">
                  <c:v>31.25</c:v>
                </c:pt>
                <c:pt idx="1">
                  <c:v>62.5</c:v>
                </c:pt>
                <c:pt idx="2">
                  <c:v>125</c:v>
                </c:pt>
                <c:pt idx="3">
                  <c:v>250</c:v>
                </c:pt>
                <c:pt idx="4">
                  <c:v>500</c:v>
                </c:pt>
                <c:pt idx="5">
                  <c:v>1000</c:v>
                </c:pt>
                <c:pt idx="6">
                  <c:v>2000</c:v>
                </c:pt>
                <c:pt idx="7">
                  <c:v>4000</c:v>
                </c:pt>
                <c:pt idx="8">
                  <c:v>6000</c:v>
                </c:pt>
                <c:pt idx="9">
                  <c:v>6600</c:v>
                </c:pt>
                <c:pt idx="10">
                  <c:v>7000</c:v>
                </c:pt>
                <c:pt idx="11">
                  <c:v>7400</c:v>
                </c:pt>
                <c:pt idx="12">
                  <c:v>7800</c:v>
                </c:pt>
                <c:pt idx="13">
                  <c:v>8000</c:v>
                </c:pt>
              </c:numCache>
            </c:numRef>
          </c:val>
          <c:smooth val="0"/>
          <c:extLst>
            <c:ext xmlns:c16="http://schemas.microsoft.com/office/drawing/2014/chart" uri="{C3380CC4-5D6E-409C-BE32-E72D297353CC}">
              <c16:uniqueId val="{00000000-9DE3-43B6-B60B-9B4AA4851702}"/>
            </c:ext>
          </c:extLst>
        </c:ser>
        <c:ser>
          <c:idx val="1"/>
          <c:order val="1"/>
          <c:tx>
            <c:strRef>
              <c:f>Projections!$A$61</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Projections!$G$61:$AF$61</c15:sqref>
                  </c15:fullRef>
                </c:ext>
              </c:extLst>
              <c:f>Projections!$G$61:$T$61</c:f>
              <c:numCache>
                <c:formatCode>General</c:formatCode>
                <c:ptCount val="14"/>
                <c:pt idx="0">
                  <c:v>33</c:v>
                </c:pt>
                <c:pt idx="1">
                  <c:v>63</c:v>
                </c:pt>
                <c:pt idx="2" formatCode="#,##0">
                  <c:v>116</c:v>
                </c:pt>
                <c:pt idx="3" formatCode="#,##0">
                  <c:v>248</c:v>
                </c:pt>
                <c:pt idx="4" formatCode="#,##0">
                  <c:v>596</c:v>
                </c:pt>
                <c:pt idx="5" formatCode="#,##0">
                  <c:v>1072</c:v>
                </c:pt>
                <c:pt idx="6" formatCode="#,##0">
                  <c:v>2317</c:v>
                </c:pt>
                <c:pt idx="7" formatCode="#,##0">
                  <c:v>4163</c:v>
                </c:pt>
                <c:pt idx="8" formatCode="#,##0">
                  <c:v>6052</c:v>
                </c:pt>
                <c:pt idx="9" formatCode="#,##0">
                  <c:v>6612</c:v>
                </c:pt>
                <c:pt idx="10" formatCode="#,##0">
                  <c:v>7019</c:v>
                </c:pt>
                <c:pt idx="11" formatCode="#,##0">
                  <c:v>7400</c:v>
                </c:pt>
                <c:pt idx="12" formatCode="#,##0">
                  <c:v>7800</c:v>
                </c:pt>
                <c:pt idx="13" formatCode="#,##0">
                  <c:v>8000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Projections!$A$51</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Projections!$G$51:$AF$51</c15:sqref>
                  </c15:fullRef>
                </c:ext>
              </c:extLst>
              <c:f>Projections!$G$51:$T$51</c:f>
              <c:numCache>
                <c:formatCode>#,##0_ ;[Red]\-#,##0\ </c:formatCode>
                <c:ptCount val="14"/>
                <c:pt idx="0">
                  <c:v>0.4375</c:v>
                </c:pt>
                <c:pt idx="1">
                  <c:v>0.875</c:v>
                </c:pt>
                <c:pt idx="2">
                  <c:v>1.75</c:v>
                </c:pt>
                <c:pt idx="3">
                  <c:v>3.5</c:v>
                </c:pt>
                <c:pt idx="4">
                  <c:v>7</c:v>
                </c:pt>
                <c:pt idx="5">
                  <c:v>14</c:v>
                </c:pt>
                <c:pt idx="6">
                  <c:v>28</c:v>
                </c:pt>
                <c:pt idx="7">
                  <c:v>56</c:v>
                </c:pt>
                <c:pt idx="8">
                  <c:v>84</c:v>
                </c:pt>
                <c:pt idx="9">
                  <c:v>92.4</c:v>
                </c:pt>
                <c:pt idx="10">
                  <c:v>98</c:v>
                </c:pt>
                <c:pt idx="11">
                  <c:v>103.60000000000001</c:v>
                </c:pt>
                <c:pt idx="12">
                  <c:v>109.2</c:v>
                </c:pt>
                <c:pt idx="13">
                  <c:v>112</c:v>
                </c:pt>
              </c:numCache>
            </c:numRef>
          </c:val>
          <c:smooth val="0"/>
          <c:extLst>
            <c:ext xmlns:c16="http://schemas.microsoft.com/office/drawing/2014/chart" uri="{C3380CC4-5D6E-409C-BE32-E72D297353CC}">
              <c16:uniqueId val="{00000000-FE1B-4946-A476-7952C5C71231}"/>
            </c:ext>
          </c:extLst>
        </c:ser>
        <c:ser>
          <c:idx val="1"/>
          <c:order val="1"/>
          <c:tx>
            <c:strRef>
              <c:f>Projections!$A$65</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Projections!$G$65:$AF$65</c15:sqref>
                  </c15:fullRef>
                </c:ext>
              </c:extLst>
              <c:f>Projections!$G$65:$T$65</c:f>
              <c:numCache>
                <c:formatCode>General</c:formatCode>
                <c:ptCount val="14"/>
                <c:pt idx="0">
                  <c:v>1</c:v>
                </c:pt>
                <c:pt idx="1">
                  <c:v>2</c:v>
                </c:pt>
                <c:pt idx="2" formatCode="#,##0">
                  <c:v>3</c:v>
                </c:pt>
                <c:pt idx="3" formatCode="#,##0">
                  <c:v>5</c:v>
                </c:pt>
                <c:pt idx="4" formatCode="#,##0">
                  <c:v>6</c:v>
                </c:pt>
                <c:pt idx="5" formatCode="#,##0">
                  <c:v>7</c:v>
                </c:pt>
                <c:pt idx="6" formatCode="#,##0">
                  <c:v>8</c:v>
                </c:pt>
                <c:pt idx="7" formatCode="#,##0">
                  <c:v>16</c:v>
                </c:pt>
                <c:pt idx="8" formatCode="#,##0">
                  <c:v>50</c:v>
                </c:pt>
                <c:pt idx="9" formatCode="#,##0">
                  <c:v>71</c:v>
                </c:pt>
                <c:pt idx="10" formatCode="#,##0">
                  <c:v>98</c:v>
                </c:pt>
                <c:pt idx="11" formatCode="#,##0">
                  <c:v>103</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43941.634584259256</c:v>
                </c:pt>
                <c:pt idx="1">
                  <c:v>43944.634584259256</c:v>
                </c:pt>
                <c:pt idx="2">
                  <c:v>43947.634584259256</c:v>
                </c:pt>
                <c:pt idx="3">
                  <c:v>43950.634584259256</c:v>
                </c:pt>
                <c:pt idx="4">
                  <c:v>43953.634584259256</c:v>
                </c:pt>
                <c:pt idx="5">
                  <c:v>43956.634584259256</c:v>
                </c:pt>
                <c:pt idx="6">
                  <c:v>43959.634584259256</c:v>
                </c:pt>
                <c:pt idx="7">
                  <c:v>43962.634584259256</c:v>
                </c:pt>
                <c:pt idx="8">
                  <c:v>43965.634584259256</c:v>
                </c:pt>
                <c:pt idx="9">
                  <c:v>43968.634584259256</c:v>
                </c:pt>
                <c:pt idx="10">
                  <c:v>43971.634584259256</c:v>
                </c:pt>
                <c:pt idx="11">
                  <c:v>43974.634584259256</c:v>
                </c:pt>
                <c:pt idx="12">
                  <c:v>43977.634584259256</c:v>
                </c:pt>
                <c:pt idx="13">
                  <c:v>43980.634584259256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71.428571428571431</c:v>
                </c:pt>
                <c:pt idx="4">
                  <c:v>142.85714285714286</c:v>
                </c:pt>
                <c:pt idx="5">
                  <c:v>285.71428571428572</c:v>
                </c:pt>
                <c:pt idx="6">
                  <c:v>571.42857142857144</c:v>
                </c:pt>
                <c:pt idx="7">
                  <c:v>1142.8571428571429</c:v>
                </c:pt>
                <c:pt idx="8">
                  <c:v>2285.7142857142858</c:v>
                </c:pt>
                <c:pt idx="9">
                  <c:v>4571.4285714285716</c:v>
                </c:pt>
                <c:pt idx="10">
                  <c:v>9142.8571428571431</c:v>
                </c:pt>
                <c:pt idx="11">
                  <c:v>18285.714285714286</c:v>
                </c:pt>
                <c:pt idx="12">
                  <c:v>36571.428571428572</c:v>
                </c:pt>
                <c:pt idx="13">
                  <c:v>73142.857142857145</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43941.634584259256</c:v>
                </c:pt>
                <c:pt idx="1">
                  <c:v>43944.634584259256</c:v>
                </c:pt>
                <c:pt idx="2">
                  <c:v>43947.634584259256</c:v>
                </c:pt>
                <c:pt idx="3">
                  <c:v>43950.634584259256</c:v>
                </c:pt>
                <c:pt idx="4">
                  <c:v>43953.634584259256</c:v>
                </c:pt>
                <c:pt idx="5">
                  <c:v>43956.634584259256</c:v>
                </c:pt>
                <c:pt idx="6">
                  <c:v>43959.634584259256</c:v>
                </c:pt>
                <c:pt idx="7">
                  <c:v>43962.634584259256</c:v>
                </c:pt>
                <c:pt idx="8">
                  <c:v>43965.634584259256</c:v>
                </c:pt>
                <c:pt idx="9">
                  <c:v>43968.634584259256</c:v>
                </c:pt>
                <c:pt idx="10">
                  <c:v>43971.634584259256</c:v>
                </c:pt>
                <c:pt idx="11">
                  <c:v>43974.634584259256</c:v>
                </c:pt>
                <c:pt idx="12">
                  <c:v>43977.634584259256</c:v>
                </c:pt>
                <c:pt idx="13">
                  <c:v>43980.634584259256</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71.428571428571431</c:v>
                </c:pt>
                <c:pt idx="3">
                  <c:v>142.85714285714286</c:v>
                </c:pt>
                <c:pt idx="4">
                  <c:v>262.85714285714289</c:v>
                </c:pt>
                <c:pt idx="5">
                  <c:v>525.71428571428578</c:v>
                </c:pt>
                <c:pt idx="6">
                  <c:v>1051.4285714285716</c:v>
                </c:pt>
                <c:pt idx="7">
                  <c:v>2037.1428571428573</c:v>
                </c:pt>
                <c:pt idx="8">
                  <c:v>4074.2857142857147</c:v>
                </c:pt>
                <c:pt idx="9">
                  <c:v>8148.5714285714294</c:v>
                </c:pt>
                <c:pt idx="10">
                  <c:v>16297.142857142859</c:v>
                </c:pt>
                <c:pt idx="11">
                  <c:v>32594.285714285717</c:v>
                </c:pt>
                <c:pt idx="12">
                  <c:v>65254.285714285725</c:v>
                </c:pt>
                <c:pt idx="13">
                  <c:v>130508.57142857145</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43941.634584259256</c:v>
                </c:pt>
                <c:pt idx="1">
                  <c:v>43944.634584259256</c:v>
                </c:pt>
                <c:pt idx="2">
                  <c:v>43947.634584259256</c:v>
                </c:pt>
                <c:pt idx="3">
                  <c:v>43950.634584259256</c:v>
                </c:pt>
                <c:pt idx="4">
                  <c:v>43953.634584259256</c:v>
                </c:pt>
                <c:pt idx="5">
                  <c:v>43956.634584259256</c:v>
                </c:pt>
                <c:pt idx="6">
                  <c:v>43959.634584259256</c:v>
                </c:pt>
                <c:pt idx="7">
                  <c:v>43962.634584259256</c:v>
                </c:pt>
                <c:pt idx="8">
                  <c:v>43965.634584259256</c:v>
                </c:pt>
                <c:pt idx="9">
                  <c:v>43968.634584259256</c:v>
                </c:pt>
                <c:pt idx="10">
                  <c:v>43971.634584259256</c:v>
                </c:pt>
                <c:pt idx="11">
                  <c:v>43974.634584259256</c:v>
                </c:pt>
                <c:pt idx="12">
                  <c:v>43977.634584259256</c:v>
                </c:pt>
                <c:pt idx="13">
                  <c:v>43980.634584259256</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22.857142857142858</c:v>
                </c:pt>
                <c:pt idx="5">
                  <c:v>45.714285714285715</c:v>
                </c:pt>
                <c:pt idx="6">
                  <c:v>57.142857142857146</c:v>
                </c:pt>
                <c:pt idx="7">
                  <c:v>114.28571428571429</c:v>
                </c:pt>
                <c:pt idx="8">
                  <c:v>228.57142857142858</c:v>
                </c:pt>
                <c:pt idx="9">
                  <c:v>457.14285714285717</c:v>
                </c:pt>
                <c:pt idx="10">
                  <c:v>914.28571428571433</c:v>
                </c:pt>
                <c:pt idx="11">
                  <c:v>1828.5714285714287</c:v>
                </c:pt>
                <c:pt idx="12">
                  <c:v>3657.1428571428573</c:v>
                </c:pt>
                <c:pt idx="13">
                  <c:v>7314.2857142857147</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43941.634584259256</c:v>
                </c:pt>
                <c:pt idx="1">
                  <c:v>43944.634584259256</c:v>
                </c:pt>
                <c:pt idx="2">
                  <c:v>43947.634584259256</c:v>
                </c:pt>
                <c:pt idx="3">
                  <c:v>43950.634584259256</c:v>
                </c:pt>
                <c:pt idx="4">
                  <c:v>43953.634584259256</c:v>
                </c:pt>
                <c:pt idx="5">
                  <c:v>43956.634584259256</c:v>
                </c:pt>
                <c:pt idx="6">
                  <c:v>43959.634584259256</c:v>
                </c:pt>
                <c:pt idx="7">
                  <c:v>43962.634584259256</c:v>
                </c:pt>
                <c:pt idx="8">
                  <c:v>43965.634584259256</c:v>
                </c:pt>
                <c:pt idx="9">
                  <c:v>43968.634584259256</c:v>
                </c:pt>
                <c:pt idx="10">
                  <c:v>43971.634584259256</c:v>
                </c:pt>
                <c:pt idx="11">
                  <c:v>43974.634584259256</c:v>
                </c:pt>
                <c:pt idx="12">
                  <c:v>43977.634584259256</c:v>
                </c:pt>
                <c:pt idx="13">
                  <c:v>43980.634584259256</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34.285714285714285</c:v>
                </c:pt>
                <c:pt idx="7">
                  <c:v>68.571428571428569</c:v>
                </c:pt>
                <c:pt idx="8">
                  <c:v>137.14285714285714</c:v>
                </c:pt>
                <c:pt idx="9">
                  <c:v>274.28571428571428</c:v>
                </c:pt>
                <c:pt idx="10">
                  <c:v>548.57142857142856</c:v>
                </c:pt>
                <c:pt idx="11">
                  <c:v>1097.1428571428571</c:v>
                </c:pt>
                <c:pt idx="12">
                  <c:v>2194.2857142857142</c:v>
                </c:pt>
                <c:pt idx="13">
                  <c:v>4388.5714285714284</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43941.634584259256</c:v>
                </c:pt>
                <c:pt idx="1">
                  <c:v>43944.634584259256</c:v>
                </c:pt>
                <c:pt idx="2">
                  <c:v>43947.634584259256</c:v>
                </c:pt>
                <c:pt idx="3">
                  <c:v>43950.634584259256</c:v>
                </c:pt>
                <c:pt idx="4">
                  <c:v>43953.634584259256</c:v>
                </c:pt>
                <c:pt idx="5">
                  <c:v>43956.634584259256</c:v>
                </c:pt>
                <c:pt idx="6">
                  <c:v>43959.634584259256</c:v>
                </c:pt>
                <c:pt idx="7">
                  <c:v>43962.634584259256</c:v>
                </c:pt>
                <c:pt idx="8">
                  <c:v>43965.634584259256</c:v>
                </c:pt>
                <c:pt idx="9">
                  <c:v>43968.634584259256</c:v>
                </c:pt>
                <c:pt idx="10">
                  <c:v>43971.634584259256</c:v>
                </c:pt>
                <c:pt idx="11">
                  <c:v>43974.634584259256</c:v>
                </c:pt>
                <c:pt idx="12">
                  <c:v>43977.634584259256</c:v>
                </c:pt>
                <c:pt idx="13">
                  <c:v>43980.634584259256</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43941.634584259256</c:v>
                </c:pt>
                <c:pt idx="1">
                  <c:v>43944.634584259256</c:v>
                </c:pt>
                <c:pt idx="2">
                  <c:v>43947.634584259256</c:v>
                </c:pt>
                <c:pt idx="3">
                  <c:v>43950.634584259256</c:v>
                </c:pt>
                <c:pt idx="4">
                  <c:v>43953.634584259256</c:v>
                </c:pt>
                <c:pt idx="5">
                  <c:v>43956.634584259256</c:v>
                </c:pt>
                <c:pt idx="6">
                  <c:v>43959.634584259256</c:v>
                </c:pt>
                <c:pt idx="7">
                  <c:v>43962.634584259256</c:v>
                </c:pt>
                <c:pt idx="8">
                  <c:v>43965.634584259256</c:v>
                </c:pt>
                <c:pt idx="9">
                  <c:v>43968.634584259256</c:v>
                </c:pt>
                <c:pt idx="10">
                  <c:v>43971.634584259256</c:v>
                </c:pt>
                <c:pt idx="11">
                  <c:v>43974.634584259256</c:v>
                </c:pt>
                <c:pt idx="12">
                  <c:v>43977.634584259256</c:v>
                </c:pt>
                <c:pt idx="13">
                  <c:v>43980.634584259256</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43941.634584259256</c:v>
                </c:pt>
                <c:pt idx="1">
                  <c:v>43944.634584259256</c:v>
                </c:pt>
                <c:pt idx="2">
                  <c:v>43947.634584259256</c:v>
                </c:pt>
                <c:pt idx="3">
                  <c:v>43950.634584259256</c:v>
                </c:pt>
                <c:pt idx="4">
                  <c:v>43953.634584259256</c:v>
                </c:pt>
                <c:pt idx="5">
                  <c:v>43956.634584259256</c:v>
                </c:pt>
                <c:pt idx="6">
                  <c:v>43959.634584259256</c:v>
                </c:pt>
                <c:pt idx="7">
                  <c:v>43962.634584259256</c:v>
                </c:pt>
                <c:pt idx="8">
                  <c:v>43965.634584259256</c:v>
                </c:pt>
                <c:pt idx="9">
                  <c:v>43968.634584259256</c:v>
                </c:pt>
                <c:pt idx="10">
                  <c:v>43971.634584259256</c:v>
                </c:pt>
                <c:pt idx="11">
                  <c:v>43974.634584259256</c:v>
                </c:pt>
                <c:pt idx="12">
                  <c:v>43977.634584259256</c:v>
                </c:pt>
                <c:pt idx="13">
                  <c:v>43980.634584259256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71.428571428571431</c:v>
                </c:pt>
                <c:pt idx="4">
                  <c:v>142.85714285714286</c:v>
                </c:pt>
                <c:pt idx="5">
                  <c:v>285.71428571428572</c:v>
                </c:pt>
                <c:pt idx="6">
                  <c:v>571.42857142857144</c:v>
                </c:pt>
                <c:pt idx="7">
                  <c:v>1142.8571428571429</c:v>
                </c:pt>
                <c:pt idx="8">
                  <c:v>2285.7142857142858</c:v>
                </c:pt>
                <c:pt idx="9">
                  <c:v>4571.4285714285716</c:v>
                </c:pt>
                <c:pt idx="10">
                  <c:v>9142.8571428571431</c:v>
                </c:pt>
                <c:pt idx="11">
                  <c:v>18285.714285714286</c:v>
                </c:pt>
                <c:pt idx="12">
                  <c:v>36571.428571428572</c:v>
                </c:pt>
                <c:pt idx="13">
                  <c:v>73142.857142857145</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43941.634584259256</c:v>
                </c:pt>
                <c:pt idx="1">
                  <c:v>43944.634584259256</c:v>
                </c:pt>
                <c:pt idx="2">
                  <c:v>43947.634584259256</c:v>
                </c:pt>
                <c:pt idx="3">
                  <c:v>43950.634584259256</c:v>
                </c:pt>
                <c:pt idx="4">
                  <c:v>43953.634584259256</c:v>
                </c:pt>
                <c:pt idx="5">
                  <c:v>43956.634584259256</c:v>
                </c:pt>
                <c:pt idx="6">
                  <c:v>43959.634584259256</c:v>
                </c:pt>
                <c:pt idx="7">
                  <c:v>43962.634584259256</c:v>
                </c:pt>
                <c:pt idx="8">
                  <c:v>43965.634584259256</c:v>
                </c:pt>
                <c:pt idx="9">
                  <c:v>43968.634584259256</c:v>
                </c:pt>
                <c:pt idx="10">
                  <c:v>43971.634584259256</c:v>
                </c:pt>
                <c:pt idx="11">
                  <c:v>43974.634584259256</c:v>
                </c:pt>
                <c:pt idx="12">
                  <c:v>43977.634584259256</c:v>
                </c:pt>
                <c:pt idx="13">
                  <c:v>43980.634584259256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71.428571428571431</c:v>
                </c:pt>
                <c:pt idx="4">
                  <c:v>142.85714285714286</c:v>
                </c:pt>
                <c:pt idx="5">
                  <c:v>285.71428571428572</c:v>
                </c:pt>
                <c:pt idx="6">
                  <c:v>571.42857142857144</c:v>
                </c:pt>
                <c:pt idx="7">
                  <c:v>1142.8571428571429</c:v>
                </c:pt>
                <c:pt idx="8">
                  <c:v>2285.7142857142858</c:v>
                </c:pt>
                <c:pt idx="9">
                  <c:v>4571.4285714285716</c:v>
                </c:pt>
                <c:pt idx="10">
                  <c:v>9142.8571428571431</c:v>
                </c:pt>
                <c:pt idx="11">
                  <c:v>18285.714285714286</c:v>
                </c:pt>
                <c:pt idx="12">
                  <c:v>36571.428571428572</c:v>
                </c:pt>
                <c:pt idx="13">
                  <c:v>73142.857142857145</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43941.634584259256</c:v>
                </c:pt>
                <c:pt idx="1">
                  <c:v>43944.634584259256</c:v>
                </c:pt>
                <c:pt idx="2">
                  <c:v>43947.634584259256</c:v>
                </c:pt>
                <c:pt idx="3">
                  <c:v>43950.634584259256</c:v>
                </c:pt>
                <c:pt idx="4">
                  <c:v>43953.634584259256</c:v>
                </c:pt>
                <c:pt idx="5">
                  <c:v>43956.634584259256</c:v>
                </c:pt>
                <c:pt idx="6">
                  <c:v>43959.634584259256</c:v>
                </c:pt>
                <c:pt idx="7">
                  <c:v>43962.634584259256</c:v>
                </c:pt>
                <c:pt idx="8">
                  <c:v>43965.634584259256</c:v>
                </c:pt>
                <c:pt idx="9">
                  <c:v>43968.634584259256</c:v>
                </c:pt>
                <c:pt idx="10">
                  <c:v>43971.634584259256</c:v>
                </c:pt>
                <c:pt idx="11">
                  <c:v>43974.634584259256</c:v>
                </c:pt>
                <c:pt idx="12">
                  <c:v>43977.634584259256</c:v>
                </c:pt>
                <c:pt idx="13">
                  <c:v>43980.634584259256</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71.428571428571431</c:v>
                </c:pt>
                <c:pt idx="3">
                  <c:v>142.85714285714286</c:v>
                </c:pt>
                <c:pt idx="4">
                  <c:v>262.85714285714289</c:v>
                </c:pt>
                <c:pt idx="5">
                  <c:v>525.71428571428578</c:v>
                </c:pt>
                <c:pt idx="6">
                  <c:v>1051.4285714285716</c:v>
                </c:pt>
                <c:pt idx="7">
                  <c:v>2037.1428571428573</c:v>
                </c:pt>
                <c:pt idx="8">
                  <c:v>4074.2857142857147</c:v>
                </c:pt>
                <c:pt idx="9">
                  <c:v>8148.5714285714294</c:v>
                </c:pt>
                <c:pt idx="10">
                  <c:v>16297.142857142859</c:v>
                </c:pt>
                <c:pt idx="11">
                  <c:v>32594.285714285717</c:v>
                </c:pt>
                <c:pt idx="12">
                  <c:v>65254.285714285725</c:v>
                </c:pt>
                <c:pt idx="13">
                  <c:v>130508.57142857145</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43941.634584259256</c:v>
                </c:pt>
                <c:pt idx="1">
                  <c:v>43944.634584259256</c:v>
                </c:pt>
                <c:pt idx="2">
                  <c:v>43947.634584259256</c:v>
                </c:pt>
                <c:pt idx="3">
                  <c:v>43950.634584259256</c:v>
                </c:pt>
                <c:pt idx="4">
                  <c:v>43953.634584259256</c:v>
                </c:pt>
                <c:pt idx="5">
                  <c:v>43956.634584259256</c:v>
                </c:pt>
                <c:pt idx="6">
                  <c:v>43959.634584259256</c:v>
                </c:pt>
                <c:pt idx="7">
                  <c:v>43962.634584259256</c:v>
                </c:pt>
                <c:pt idx="8">
                  <c:v>43965.634584259256</c:v>
                </c:pt>
                <c:pt idx="9">
                  <c:v>43968.634584259256</c:v>
                </c:pt>
                <c:pt idx="10">
                  <c:v>43971.634584259256</c:v>
                </c:pt>
                <c:pt idx="11">
                  <c:v>43974.634584259256</c:v>
                </c:pt>
                <c:pt idx="12">
                  <c:v>43977.634584259256</c:v>
                </c:pt>
                <c:pt idx="13">
                  <c:v>43980.634584259256</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22.857142857142858</c:v>
                </c:pt>
                <c:pt idx="5">
                  <c:v>45.714285714285715</c:v>
                </c:pt>
                <c:pt idx="6">
                  <c:v>57.142857142857146</c:v>
                </c:pt>
                <c:pt idx="7">
                  <c:v>114.28571428571429</c:v>
                </c:pt>
                <c:pt idx="8">
                  <c:v>228.57142857142858</c:v>
                </c:pt>
                <c:pt idx="9">
                  <c:v>457.14285714285717</c:v>
                </c:pt>
                <c:pt idx="10">
                  <c:v>914.28571428571433</c:v>
                </c:pt>
                <c:pt idx="11">
                  <c:v>1828.5714285714287</c:v>
                </c:pt>
                <c:pt idx="12">
                  <c:v>3657.1428571428573</c:v>
                </c:pt>
                <c:pt idx="13">
                  <c:v>7314.2857142857147</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43941.634584259256</c:v>
                </c:pt>
                <c:pt idx="1">
                  <c:v>43944.634584259256</c:v>
                </c:pt>
                <c:pt idx="2">
                  <c:v>43947.634584259256</c:v>
                </c:pt>
                <c:pt idx="3">
                  <c:v>43950.634584259256</c:v>
                </c:pt>
                <c:pt idx="4">
                  <c:v>43953.634584259256</c:v>
                </c:pt>
                <c:pt idx="5">
                  <c:v>43956.634584259256</c:v>
                </c:pt>
                <c:pt idx="6">
                  <c:v>43959.634584259256</c:v>
                </c:pt>
                <c:pt idx="7">
                  <c:v>43962.634584259256</c:v>
                </c:pt>
                <c:pt idx="8">
                  <c:v>43965.634584259256</c:v>
                </c:pt>
                <c:pt idx="9">
                  <c:v>43968.634584259256</c:v>
                </c:pt>
                <c:pt idx="10">
                  <c:v>43971.634584259256</c:v>
                </c:pt>
                <c:pt idx="11">
                  <c:v>43974.634584259256</c:v>
                </c:pt>
                <c:pt idx="12">
                  <c:v>43977.634584259256</c:v>
                </c:pt>
                <c:pt idx="13">
                  <c:v>43980.634584259256</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34.285714285714285</c:v>
                </c:pt>
                <c:pt idx="7">
                  <c:v>68.571428571428569</c:v>
                </c:pt>
                <c:pt idx="8">
                  <c:v>137.14285714285714</c:v>
                </c:pt>
                <c:pt idx="9">
                  <c:v>274.28571428571428</c:v>
                </c:pt>
                <c:pt idx="10">
                  <c:v>548.57142857142856</c:v>
                </c:pt>
                <c:pt idx="11">
                  <c:v>1097.1428571428571</c:v>
                </c:pt>
                <c:pt idx="12">
                  <c:v>2194.2857142857142</c:v>
                </c:pt>
                <c:pt idx="13">
                  <c:v>4388.5714285714284</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Projections!$A$47</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Projections!$G$47:$AF$47</c15:sqref>
                  </c15:fullRef>
                </c:ext>
              </c:extLst>
              <c:f>Projections!$G$47:$T$47</c:f>
              <c:numCache>
                <c:formatCode>#,##0_ ;[Red]\-#,##0\ </c:formatCode>
                <c:ptCount val="14"/>
                <c:pt idx="0">
                  <c:v>1.3624403770173663</c:v>
                </c:pt>
                <c:pt idx="1">
                  <c:v>1.9882966234408881</c:v>
                </c:pt>
                <c:pt idx="2">
                  <c:v>2.7477734693782825</c:v>
                </c:pt>
                <c:pt idx="3">
                  <c:v>5.6101344648732603</c:v>
                </c:pt>
                <c:pt idx="4">
                  <c:v>10.283171151388096</c:v>
                </c:pt>
                <c:pt idx="5">
                  <c:v>18.787878787878775</c:v>
                </c:pt>
                <c:pt idx="6">
                  <c:v>31.107290494170176</c:v>
                </c:pt>
                <c:pt idx="7">
                  <c:v>97.540056745390302</c:v>
                </c:pt>
                <c:pt idx="8">
                  <c:v>574.77618799654329</c:v>
                </c:pt>
                <c:pt idx="9">
                  <c:v>859.05698537255921</c:v>
                </c:pt>
                <c:pt idx="10">
                  <c:v>3648.0224340846935</c:v>
                </c:pt>
                <c:pt idx="11">
                  <c:v>5412.5731227783745</c:v>
                </c:pt>
                <c:pt idx="12">
                  <c:v>914.98907768335982</c:v>
                </c:pt>
                <c:pt idx="13">
                  <c:v>713.45778394840875</c:v>
                </c:pt>
              </c:numCache>
            </c:numRef>
          </c:val>
          <c:smooth val="0"/>
          <c:extLst>
            <c:ext xmlns:c16="http://schemas.microsoft.com/office/drawing/2014/chart" uri="{C3380CC4-5D6E-409C-BE32-E72D297353CC}">
              <c16:uniqueId val="{00000003-5231-4BE2-97ED-54F0C3DB105C}"/>
            </c:ext>
          </c:extLst>
        </c:ser>
        <c:ser>
          <c:idx val="2"/>
          <c:order val="1"/>
          <c:tx>
            <c:strRef>
              <c:f>Projections!$A$48</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Projections!$G$48:$AF$48</c15:sqref>
                  </c15:fullRef>
                </c:ext>
              </c:extLst>
              <c:f>Projections!$G$48:$T$48</c:f>
              <c:numCache>
                <c:formatCode>#,##0_ ;[Red]\-#,##0\ </c:formatCode>
                <c:ptCount val="14"/>
                <c:pt idx="0">
                  <c:v>1.3624403770173663</c:v>
                </c:pt>
                <c:pt idx="1">
                  <c:v>1.9882966234408881</c:v>
                </c:pt>
                <c:pt idx="2">
                  <c:v>2.7477734693782825</c:v>
                </c:pt>
                <c:pt idx="3">
                  <c:v>5.6101344648732603</c:v>
                </c:pt>
                <c:pt idx="4">
                  <c:v>9.1506322955352211</c:v>
                </c:pt>
                <c:pt idx="5">
                  <c:v>16.684078363551301</c:v>
                </c:pt>
                <c:pt idx="6">
                  <c:v>27.811835948715633</c:v>
                </c:pt>
                <c:pt idx="7">
                  <c:v>89.205090812551802</c:v>
                </c:pt>
                <c:pt idx="8">
                  <c:v>489.33133033984944</c:v>
                </c:pt>
                <c:pt idx="9">
                  <c:v>376.35533838085632</c:v>
                </c:pt>
                <c:pt idx="10">
                  <c:v>3007.9225055713932</c:v>
                </c:pt>
                <c:pt idx="11">
                  <c:v>4188.839639512581</c:v>
                </c:pt>
                <c:pt idx="12">
                  <c:v>669.43398342253204</c:v>
                </c:pt>
                <c:pt idx="13">
                  <c:v>0</c:v>
                </c:pt>
              </c:numCache>
            </c:numRef>
          </c:val>
          <c:smooth val="0"/>
          <c:extLst>
            <c:ext xmlns:c16="http://schemas.microsoft.com/office/drawing/2014/chart" uri="{C3380CC4-5D6E-409C-BE32-E72D297353CC}">
              <c16:uniqueId val="{00000002-9381-4A4E-BB43-DCD8EC2F4E00}"/>
            </c:ext>
          </c:extLst>
        </c:ser>
        <c:ser>
          <c:idx val="0"/>
          <c:order val="2"/>
          <c:tx>
            <c:strRef>
              <c:f>Projections!$A$49</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Projections!$G$49:$AF$49</c15:sqref>
                  </c15:fullRef>
                </c:ext>
              </c:extLst>
              <c:f>Projections!$G$49:$T$49</c:f>
              <c:numCache>
                <c:formatCode>#,##0_ ;[Red]\-#,##0\ </c:formatCode>
                <c:ptCount val="14"/>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85.444857656693841</c:v>
                </c:pt>
                <c:pt idx="9">
                  <c:v>482.70164699170289</c:v>
                </c:pt>
                <c:pt idx="10">
                  <c:v>640.09992851330003</c:v>
                </c:pt>
                <c:pt idx="11">
                  <c:v>1223.7334832657932</c:v>
                </c:pt>
                <c:pt idx="12">
                  <c:v>245.55509426082781</c:v>
                </c:pt>
                <c:pt idx="13">
                  <c:v>425.45455935549376</c:v>
                </c:pt>
              </c:numCache>
            </c:numRef>
          </c:val>
          <c:smooth val="0"/>
          <c:extLst>
            <c:ext xmlns:c16="http://schemas.microsoft.com/office/drawing/2014/chart" uri="{C3380CC4-5D6E-409C-BE32-E72D297353CC}">
              <c16:uniqueId val="{00000000-9381-4A4E-BB43-DCD8EC2F4E00}"/>
            </c:ext>
          </c:extLst>
        </c:ser>
        <c:ser>
          <c:idx val="4"/>
          <c:order val="3"/>
          <c:tx>
            <c:strRef>
              <c:f>Projections!$A$50</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Projections!$G$50:$AF$50</c15:sqref>
                  </c15:fullRef>
                </c:ext>
              </c:extLst>
              <c:f>Projections!$G$50:$T$50</c:f>
              <c:numCache>
                <c:formatCode>#,##0_ ;[Red]\-#,##0\ </c:formatCode>
                <c:ptCount val="14"/>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85.444857656693841</c:v>
                </c:pt>
                <c:pt idx="9">
                  <c:v>482.70164699170289</c:v>
                </c:pt>
                <c:pt idx="10">
                  <c:v>640.09992851330003</c:v>
                </c:pt>
                <c:pt idx="11">
                  <c:v>1223.7334832657932</c:v>
                </c:pt>
                <c:pt idx="12">
                  <c:v>245.55509426082781</c:v>
                </c:pt>
                <c:pt idx="13">
                  <c:v>0</c:v>
                </c:pt>
              </c:numCache>
            </c:numRef>
          </c:val>
          <c:smooth val="0"/>
          <c:extLst>
            <c:ext xmlns:c16="http://schemas.microsoft.com/office/drawing/2014/chart" uri="{C3380CC4-5D6E-409C-BE32-E72D297353CC}">
              <c16:uniqueId val="{00000003-9381-4A4E-BB43-DCD8EC2F4E00}"/>
            </c:ext>
          </c:extLst>
        </c:ser>
        <c:ser>
          <c:idx val="1"/>
          <c:order val="4"/>
          <c:tx>
            <c:strRef>
              <c:f>Projections!$A$51</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Projections!$G$51:$AF$51</c15:sqref>
                  </c15:fullRef>
                </c:ext>
              </c:extLst>
              <c:f>Projections!$G$51:$T$51</c:f>
              <c:numCache>
                <c:formatCode>#,##0_ ;[Red]\-#,##0\ </c:formatCode>
                <c:ptCount val="14"/>
                <c:pt idx="0">
                  <c:v>0.4375</c:v>
                </c:pt>
                <c:pt idx="1">
                  <c:v>0.875</c:v>
                </c:pt>
                <c:pt idx="2">
                  <c:v>1.75</c:v>
                </c:pt>
                <c:pt idx="3">
                  <c:v>3.5</c:v>
                </c:pt>
                <c:pt idx="4">
                  <c:v>7</c:v>
                </c:pt>
                <c:pt idx="5">
                  <c:v>14</c:v>
                </c:pt>
                <c:pt idx="6">
                  <c:v>28</c:v>
                </c:pt>
                <c:pt idx="7">
                  <c:v>56</c:v>
                </c:pt>
                <c:pt idx="8">
                  <c:v>84</c:v>
                </c:pt>
                <c:pt idx="9">
                  <c:v>92.4</c:v>
                </c:pt>
                <c:pt idx="10">
                  <c:v>98</c:v>
                </c:pt>
                <c:pt idx="11">
                  <c:v>103.60000000000001</c:v>
                </c:pt>
                <c:pt idx="12">
                  <c:v>109.2</c:v>
                </c:pt>
                <c:pt idx="13">
                  <c:v>112</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Projections!$A$69</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Projections!$G$69:$AF$69</c15:sqref>
                  </c15:fullRef>
                </c:ext>
              </c:extLst>
              <c:f>Projections!$G$69:$T$69</c:f>
              <c:numCache>
                <c:formatCode>#,##0</c:formatCode>
                <c:ptCount val="14"/>
                <c:pt idx="0">
                  <c:v>1.0627459246767847</c:v>
                </c:pt>
                <c:pt idx="1">
                  <c:v>2.1254918493535695</c:v>
                </c:pt>
                <c:pt idx="2">
                  <c:v>4.250983698707139</c:v>
                </c:pt>
                <c:pt idx="3">
                  <c:v>8.501967397414278</c:v>
                </c:pt>
                <c:pt idx="4">
                  <c:v>17.003934794828556</c:v>
                </c:pt>
                <c:pt idx="5">
                  <c:v>34.007869589657112</c:v>
                </c:pt>
                <c:pt idx="6">
                  <c:v>68.015739179314224</c:v>
                </c:pt>
                <c:pt idx="7">
                  <c:v>136.03147835862845</c:v>
                </c:pt>
                <c:pt idx="8">
                  <c:v>204.04721753794266</c:v>
                </c:pt>
                <c:pt idx="9">
                  <c:v>224.45193929173692</c:v>
                </c:pt>
                <c:pt idx="10">
                  <c:v>238.05508712759979</c:v>
                </c:pt>
                <c:pt idx="11">
                  <c:v>251.65823496346263</c:v>
                </c:pt>
                <c:pt idx="12">
                  <c:v>265.26138279932547</c:v>
                </c:pt>
                <c:pt idx="13">
                  <c:v>272.0629567172569</c:v>
                </c:pt>
              </c:numCache>
            </c:numRef>
          </c:val>
          <c:smooth val="0"/>
          <c:extLst>
            <c:ext xmlns:c16="http://schemas.microsoft.com/office/drawing/2014/chart" uri="{C3380CC4-5D6E-409C-BE32-E72D297353CC}">
              <c16:uniqueId val="{00000000-04B6-450D-AD81-6BF382C059D1}"/>
            </c:ext>
          </c:extLst>
        </c:ser>
        <c:ser>
          <c:idx val="2"/>
          <c:order val="1"/>
          <c:tx>
            <c:strRef>
              <c:f>Projections!$A$71</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Projections!$G$71:$AF$71</c15:sqref>
                  </c15:fullRef>
                </c:ext>
              </c:extLst>
              <c:f>Projections!$G$71:$T$71</c:f>
              <c:numCache>
                <c:formatCode>#,##0</c:formatCode>
                <c:ptCount val="14"/>
                <c:pt idx="0">
                  <c:v>3.2936340640809441</c:v>
                </c:pt>
                <c:pt idx="1">
                  <c:v>6.5872681281618881</c:v>
                </c:pt>
                <c:pt idx="2">
                  <c:v>13.174536256323776</c:v>
                </c:pt>
                <c:pt idx="3">
                  <c:v>26.349072512647552</c:v>
                </c:pt>
                <c:pt idx="4">
                  <c:v>52.698145025295105</c:v>
                </c:pt>
                <c:pt idx="5">
                  <c:v>105.39629005059021</c:v>
                </c:pt>
                <c:pt idx="6">
                  <c:v>210.79258010118042</c:v>
                </c:pt>
                <c:pt idx="7">
                  <c:v>421.58516020236084</c:v>
                </c:pt>
                <c:pt idx="8">
                  <c:v>632.37774030354126</c:v>
                </c:pt>
                <c:pt idx="9">
                  <c:v>695.61551433389548</c:v>
                </c:pt>
                <c:pt idx="10">
                  <c:v>737.77403035413147</c:v>
                </c:pt>
                <c:pt idx="11">
                  <c:v>779.93254637436758</c:v>
                </c:pt>
                <c:pt idx="12">
                  <c:v>822.09106239460368</c:v>
                </c:pt>
                <c:pt idx="13">
                  <c:v>843.17032040472168</c:v>
                </c:pt>
              </c:numCache>
            </c:numRef>
          </c:val>
          <c:smooth val="0"/>
          <c:extLst>
            <c:ext xmlns:c16="http://schemas.microsoft.com/office/drawing/2014/chart" uri="{C3380CC4-5D6E-409C-BE32-E72D297353CC}">
              <c16:uniqueId val="{00000002-04B6-450D-AD81-6BF382C059D1}"/>
            </c:ext>
          </c:extLst>
        </c:ser>
        <c:ser>
          <c:idx val="4"/>
          <c:order val="2"/>
          <c:tx>
            <c:strRef>
              <c:f>Projections!$A$73</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Projections!$G$73:$AF$73</c15:sqref>
                  </c15:fullRef>
                </c:ext>
              </c:extLst>
              <c:f>Projections!$G$73:$T$73</c:f>
              <c:numCache>
                <c:formatCode>#,##0</c:formatCode>
                <c:ptCount val="14"/>
                <c:pt idx="0">
                  <c:v>5.0985455311973018</c:v>
                </c:pt>
                <c:pt idx="1">
                  <c:v>10.197091062394604</c:v>
                </c:pt>
                <c:pt idx="2">
                  <c:v>20.394182124789207</c:v>
                </c:pt>
                <c:pt idx="3">
                  <c:v>40.788364249578414</c:v>
                </c:pt>
                <c:pt idx="4">
                  <c:v>81.576728499156829</c:v>
                </c:pt>
                <c:pt idx="5">
                  <c:v>163.15345699831366</c:v>
                </c:pt>
                <c:pt idx="6">
                  <c:v>326.30691399662732</c:v>
                </c:pt>
                <c:pt idx="7">
                  <c:v>652.61382799325463</c:v>
                </c:pt>
                <c:pt idx="8">
                  <c:v>978.92074198988189</c:v>
                </c:pt>
                <c:pt idx="9">
                  <c:v>1076.8128161888701</c:v>
                </c:pt>
                <c:pt idx="10">
                  <c:v>1142.0741989881956</c:v>
                </c:pt>
                <c:pt idx="11">
                  <c:v>1207.3355817875211</c:v>
                </c:pt>
                <c:pt idx="12">
                  <c:v>1272.5969645868465</c:v>
                </c:pt>
                <c:pt idx="13">
                  <c:v>1305.2276559865093</c:v>
                </c:pt>
              </c:numCache>
            </c:numRef>
          </c:val>
          <c:smooth val="0"/>
          <c:extLst>
            <c:ext xmlns:c16="http://schemas.microsoft.com/office/drawing/2014/chart" uri="{C3380CC4-5D6E-409C-BE32-E72D297353CC}">
              <c16:uniqueId val="{00000004-04B6-450D-AD81-6BF382C059D1}"/>
            </c:ext>
          </c:extLst>
        </c:ser>
        <c:ser>
          <c:idx val="6"/>
          <c:order val="3"/>
          <c:tx>
            <c:strRef>
              <c:f>Projections!$A$75</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Projections!$G$75:$AF$75</c15:sqref>
                  </c15:fullRef>
                </c:ext>
              </c:extLst>
              <c:f>Projections!$G$75:$T$75</c:f>
              <c:numCache>
                <c:formatCode>#,##0</c:formatCode>
                <c:ptCount val="14"/>
                <c:pt idx="0">
                  <c:v>4.9536256323777401</c:v>
                </c:pt>
                <c:pt idx="1">
                  <c:v>9.9072512647554802</c:v>
                </c:pt>
                <c:pt idx="2">
                  <c:v>19.81450252951096</c:v>
                </c:pt>
                <c:pt idx="3">
                  <c:v>39.629005059021921</c:v>
                </c:pt>
                <c:pt idx="4">
                  <c:v>79.258010118043842</c:v>
                </c:pt>
                <c:pt idx="5">
                  <c:v>158.51602023608768</c:v>
                </c:pt>
                <c:pt idx="6">
                  <c:v>317.03204047217537</c:v>
                </c:pt>
                <c:pt idx="7">
                  <c:v>634.06408094435074</c:v>
                </c:pt>
                <c:pt idx="8">
                  <c:v>951.0961214165261</c:v>
                </c:pt>
                <c:pt idx="9">
                  <c:v>1046.2057335581787</c:v>
                </c:pt>
                <c:pt idx="10">
                  <c:v>1109.6121416526139</c:v>
                </c:pt>
                <c:pt idx="11">
                  <c:v>1173.0185497470488</c:v>
                </c:pt>
                <c:pt idx="12">
                  <c:v>1236.424957841484</c:v>
                </c:pt>
                <c:pt idx="13">
                  <c:v>1268.1281618887015</c:v>
                </c:pt>
              </c:numCache>
            </c:numRef>
          </c:val>
          <c:smooth val="0"/>
          <c:extLst>
            <c:ext xmlns:c16="http://schemas.microsoft.com/office/drawing/2014/chart" uri="{C3380CC4-5D6E-409C-BE32-E72D297353CC}">
              <c16:uniqueId val="{00000006-04B6-450D-AD81-6BF382C059D1}"/>
            </c:ext>
          </c:extLst>
        </c:ser>
        <c:ser>
          <c:idx val="8"/>
          <c:order val="4"/>
          <c:tx>
            <c:strRef>
              <c:f>Projections!$A$77</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Projections!$G$77:$AF$77</c15:sqref>
                  </c15:fullRef>
                </c:ext>
              </c:extLst>
              <c:f>Projections!$G$77:$T$77</c:f>
              <c:numCache>
                <c:formatCode>#,##0</c:formatCode>
                <c:ptCount val="14"/>
                <c:pt idx="0">
                  <c:v>3.969926925238898</c:v>
                </c:pt>
                <c:pt idx="1">
                  <c:v>7.939853850477796</c:v>
                </c:pt>
                <c:pt idx="2">
                  <c:v>15.879707700955592</c:v>
                </c:pt>
                <c:pt idx="3">
                  <c:v>31.759415401911184</c:v>
                </c:pt>
                <c:pt idx="4">
                  <c:v>63.518830803822368</c:v>
                </c:pt>
                <c:pt idx="5">
                  <c:v>127.03766160764474</c:v>
                </c:pt>
                <c:pt idx="6">
                  <c:v>254.07532321528947</c:v>
                </c:pt>
                <c:pt idx="7">
                  <c:v>508.15064643057895</c:v>
                </c:pt>
                <c:pt idx="8">
                  <c:v>762.22596964586842</c:v>
                </c:pt>
                <c:pt idx="9">
                  <c:v>838.44856661045526</c:v>
                </c:pt>
                <c:pt idx="10">
                  <c:v>889.26363125351315</c:v>
                </c:pt>
                <c:pt idx="11">
                  <c:v>940.07869589657105</c:v>
                </c:pt>
                <c:pt idx="12">
                  <c:v>990.89376053962894</c:v>
                </c:pt>
                <c:pt idx="13">
                  <c:v>1016.3012928611579</c:v>
                </c:pt>
              </c:numCache>
            </c:numRef>
          </c:val>
          <c:smooth val="0"/>
          <c:extLst>
            <c:ext xmlns:c16="http://schemas.microsoft.com/office/drawing/2014/chart" uri="{C3380CC4-5D6E-409C-BE32-E72D297353CC}">
              <c16:uniqueId val="{00000008-04B6-450D-AD81-6BF382C059D1}"/>
            </c:ext>
          </c:extLst>
        </c:ser>
        <c:ser>
          <c:idx val="10"/>
          <c:order val="5"/>
          <c:tx>
            <c:strRef>
              <c:f>Projections!$A$79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Projections!$G$79:$AF$79</c15:sqref>
                  </c15:fullRef>
                </c:ext>
              </c:extLst>
              <c:f>Projections!$G$79:$T$79</c:f>
              <c:numCache>
                <c:formatCode>#,##0</c:formatCode>
                <c:ptCount val="14"/>
                <c:pt idx="0">
                  <c:v>4.9536256323777401</c:v>
                </c:pt>
                <c:pt idx="1">
                  <c:v>9.9072512647554802</c:v>
                </c:pt>
                <c:pt idx="2">
                  <c:v>19.81450252951096</c:v>
                </c:pt>
                <c:pt idx="3">
                  <c:v>39.629005059021921</c:v>
                </c:pt>
                <c:pt idx="4">
                  <c:v>79.258010118043842</c:v>
                </c:pt>
                <c:pt idx="5">
                  <c:v>158.51602023608768</c:v>
                </c:pt>
                <c:pt idx="6">
                  <c:v>317.03204047217537</c:v>
                </c:pt>
                <c:pt idx="7">
                  <c:v>634.06408094435074</c:v>
                </c:pt>
                <c:pt idx="8">
                  <c:v>951.0961214165261</c:v>
                </c:pt>
                <c:pt idx="9">
                  <c:v>1046.2057335581787</c:v>
                </c:pt>
                <c:pt idx="10">
                  <c:v>1109.6121416526139</c:v>
                </c:pt>
                <c:pt idx="11">
                  <c:v>1173.0185497470488</c:v>
                </c:pt>
                <c:pt idx="12">
                  <c:v>1236.424957841484</c:v>
                </c:pt>
                <c:pt idx="13">
                  <c:v>1268.1281618887015</c:v>
                </c:pt>
              </c:numCache>
            </c:numRef>
          </c:val>
          <c:smooth val="0"/>
          <c:extLst>
            <c:ext xmlns:c16="http://schemas.microsoft.com/office/drawing/2014/chart" uri="{C3380CC4-5D6E-409C-BE32-E72D297353CC}">
              <c16:uniqueId val="{0000000A-04B6-450D-AD81-6BF382C059D1}"/>
            </c:ext>
          </c:extLst>
        </c:ser>
        <c:ser>
          <c:idx val="12"/>
          <c:order val="6"/>
          <c:tx>
            <c:strRef>
              <c:f>Projections!$A$81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Projections!$G$81:$AF$81</c15:sqref>
                  </c15:fullRef>
                </c:ext>
              </c:extLst>
              <c:f>Projections!$G$81:$T$81</c:f>
              <c:numCache>
                <c:formatCode>#,##0</c:formatCode>
                <c:ptCount val="14"/>
                <c:pt idx="0">
                  <c:v>6.5213954468802697</c:v>
                </c:pt>
                <c:pt idx="1">
                  <c:v>13.042790893760539</c:v>
                </c:pt>
                <c:pt idx="2">
                  <c:v>26.085581787521079</c:v>
                </c:pt>
                <c:pt idx="3">
                  <c:v>52.171163575042158</c:v>
                </c:pt>
                <c:pt idx="4">
                  <c:v>104.34232715008432</c:v>
                </c:pt>
                <c:pt idx="5">
                  <c:v>208.68465430016863</c:v>
                </c:pt>
                <c:pt idx="6">
                  <c:v>417.36930860033726</c:v>
                </c:pt>
                <c:pt idx="7">
                  <c:v>834.73861720067453</c:v>
                </c:pt>
                <c:pt idx="8">
                  <c:v>1252.1079258010118</c:v>
                </c:pt>
                <c:pt idx="9">
                  <c:v>1377.3187183811131</c:v>
                </c:pt>
                <c:pt idx="10">
                  <c:v>1460.7925801011804</c:v>
                </c:pt>
                <c:pt idx="11">
                  <c:v>1544.266441821248</c:v>
                </c:pt>
                <c:pt idx="12">
                  <c:v>1627.7403035413154</c:v>
                </c:pt>
                <c:pt idx="13">
                  <c:v>1669.4772344013491</c:v>
                </c:pt>
              </c:numCache>
            </c:numRef>
          </c:val>
          <c:smooth val="0"/>
          <c:extLst>
            <c:ext xmlns:c16="http://schemas.microsoft.com/office/drawing/2014/chart" uri="{C3380CC4-5D6E-409C-BE32-E72D297353CC}">
              <c16:uniqueId val="{0000000C-04B6-450D-AD81-6BF382C059D1}"/>
            </c:ext>
          </c:extLst>
        </c:ser>
        <c:ser>
          <c:idx val="14"/>
          <c:order val="7"/>
          <c:tx>
            <c:strRef>
              <c:f>Projections!$A$83</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Projections!$G$83:$AF$83</c15:sqref>
                  </c15:fullRef>
                </c:ext>
              </c:extLst>
              <c:f>Projections!$G$83:$T$83</c:f>
              <c:numCache>
                <c:formatCode>#,##0</c:formatCode>
                <c:ptCount val="14"/>
                <c:pt idx="0">
                  <c:v>0.98809021922428331</c:v>
                </c:pt>
                <c:pt idx="1">
                  <c:v>1.9761804384485666</c:v>
                </c:pt>
                <c:pt idx="2">
                  <c:v>3.9523608768971332</c:v>
                </c:pt>
                <c:pt idx="3">
                  <c:v>7.9047217537942664</c:v>
                </c:pt>
                <c:pt idx="4">
                  <c:v>15.809443507588533</c:v>
                </c:pt>
                <c:pt idx="5">
                  <c:v>31.618887015177066</c:v>
                </c:pt>
                <c:pt idx="6">
                  <c:v>63.237774030354132</c:v>
                </c:pt>
                <c:pt idx="7">
                  <c:v>126.47554806070826</c:v>
                </c:pt>
                <c:pt idx="8">
                  <c:v>189.71332209106239</c:v>
                </c:pt>
                <c:pt idx="9">
                  <c:v>208.68465430016863</c:v>
                </c:pt>
                <c:pt idx="10">
                  <c:v>221.33220910623947</c:v>
                </c:pt>
                <c:pt idx="11">
                  <c:v>233.97976391231029</c:v>
                </c:pt>
                <c:pt idx="12">
                  <c:v>246.6273187183811</c:v>
                </c:pt>
                <c:pt idx="13">
                  <c:v>252.95109612141653</c:v>
                </c:pt>
              </c:numCache>
            </c:numRef>
          </c:val>
          <c:smooth val="0"/>
          <c:extLst>
            <c:ext xmlns:c16="http://schemas.microsoft.com/office/drawing/2014/chart" uri="{C3380CC4-5D6E-409C-BE32-E72D297353CC}">
              <c16:uniqueId val="{0000000E-04B6-450D-AD81-6BF382C059D1}"/>
            </c:ext>
          </c:extLst>
        </c:ser>
        <c:ser>
          <c:idx val="16"/>
          <c:order val="8"/>
          <c:tx>
            <c:strRef>
              <c:f>Projections!$A$85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Projections!$G$85:$AF$85</c15:sqref>
                  </c15:fullRef>
                </c:ext>
              </c:extLst>
              <c:f>Projections!$G$85:$T$85</c:f>
              <c:numCache>
                <c:formatCode>#,##0</c:formatCode>
                <c:ptCount val="14"/>
                <c:pt idx="0">
                  <c:v>0.40841062394603711</c:v>
                </c:pt>
                <c:pt idx="1">
                  <c:v>0.81682124789207422</c:v>
                </c:pt>
                <c:pt idx="2">
                  <c:v>1.6336424957841484</c:v>
                </c:pt>
                <c:pt idx="3">
                  <c:v>3.2672849915682969</c:v>
                </c:pt>
                <c:pt idx="4">
                  <c:v>6.5345699831365938</c:v>
                </c:pt>
                <c:pt idx="5">
                  <c:v>13.069139966273188</c:v>
                </c:pt>
                <c:pt idx="6">
                  <c:v>26.138279932546375</c:v>
                </c:pt>
                <c:pt idx="7">
                  <c:v>52.27655986509275</c:v>
                </c:pt>
                <c:pt idx="8">
                  <c:v>78.414839797639118</c:v>
                </c:pt>
                <c:pt idx="9">
                  <c:v>86.25632377740304</c:v>
                </c:pt>
                <c:pt idx="10">
                  <c:v>91.483979763912302</c:v>
                </c:pt>
                <c:pt idx="11">
                  <c:v>96.711635750421578</c:v>
                </c:pt>
                <c:pt idx="12">
                  <c:v>101.93929173693085</c:v>
                </c:pt>
                <c:pt idx="13">
                  <c:v>104.5531197301855</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Projections!$A$69</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Projections!$G$70:$AF$70</c15:sqref>
                  </c15:fullRef>
                </c:ext>
              </c:extLst>
              <c:f>Projections!$G$70:$T$70</c:f>
              <c:numCache>
                <c:formatCode>#,##0</c:formatCode>
                <c:ptCount val="14"/>
                <c:pt idx="0">
                  <c:v>0.24153316469926925</c:v>
                </c:pt>
                <c:pt idx="1">
                  <c:v>0.4830663293985385</c:v>
                </c:pt>
                <c:pt idx="2">
                  <c:v>0.96613265879707699</c:v>
                </c:pt>
                <c:pt idx="3">
                  <c:v>1.932265317594154</c:v>
                </c:pt>
                <c:pt idx="4">
                  <c:v>3.864530635188308</c:v>
                </c:pt>
                <c:pt idx="5">
                  <c:v>7.7290612703766159</c:v>
                </c:pt>
                <c:pt idx="6">
                  <c:v>15.458122540753232</c:v>
                </c:pt>
                <c:pt idx="7">
                  <c:v>30.916245081506464</c:v>
                </c:pt>
                <c:pt idx="8">
                  <c:v>46.37436762225969</c:v>
                </c:pt>
                <c:pt idx="9">
                  <c:v>51.011804384485664</c:v>
                </c:pt>
                <c:pt idx="10">
                  <c:v>54.103428892636316</c:v>
                </c:pt>
                <c:pt idx="11">
                  <c:v>57.195053400786961</c:v>
                </c:pt>
                <c:pt idx="12">
                  <c:v>60.286677908937605</c:v>
                </c:pt>
                <c:pt idx="13">
                  <c:v>61.832490163012928</c:v>
                </c:pt>
              </c:numCache>
            </c:numRef>
          </c:val>
          <c:smooth val="0"/>
          <c:extLst>
            <c:ext xmlns:c16="http://schemas.microsoft.com/office/drawing/2014/chart" uri="{C3380CC4-5D6E-409C-BE32-E72D297353CC}">
              <c16:uniqueId val="{00000001-EBAD-48A5-9277-83F388186C0C}"/>
            </c:ext>
          </c:extLst>
        </c:ser>
        <c:ser>
          <c:idx val="3"/>
          <c:order val="1"/>
          <c:tx>
            <c:strRef>
              <c:f>Projections!$A$71</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Projections!$G$72:$AF$72</c15:sqref>
                  </c15:fullRef>
                </c:ext>
              </c:extLst>
              <c:f>Projections!$G$72:$T$72</c:f>
              <c:numCache>
                <c:formatCode>#,##0</c:formatCode>
                <c:ptCount val="14"/>
                <c:pt idx="0">
                  <c:v>0.1493114109050028</c:v>
                </c:pt>
                <c:pt idx="1">
                  <c:v>0.2986228218100056</c:v>
                </c:pt>
                <c:pt idx="2">
                  <c:v>0.5972456436200112</c:v>
                </c:pt>
                <c:pt idx="3">
                  <c:v>1.1944912872400224</c:v>
                </c:pt>
                <c:pt idx="4">
                  <c:v>2.3889825744800448</c:v>
                </c:pt>
                <c:pt idx="5">
                  <c:v>4.7779651489600896</c:v>
                </c:pt>
                <c:pt idx="6">
                  <c:v>9.5559302979201792</c:v>
                </c:pt>
                <c:pt idx="7">
                  <c:v>19.111860595840358</c:v>
                </c:pt>
                <c:pt idx="8">
                  <c:v>28.667790893760539</c:v>
                </c:pt>
                <c:pt idx="9">
                  <c:v>31.534569983136596</c:v>
                </c:pt>
                <c:pt idx="10">
                  <c:v>33.445756042720632</c:v>
                </c:pt>
                <c:pt idx="11">
                  <c:v>35.356942102304664</c:v>
                </c:pt>
                <c:pt idx="12">
                  <c:v>37.268128161888704</c:v>
                </c:pt>
                <c:pt idx="13">
                  <c:v>38.223721191680717</c:v>
                </c:pt>
              </c:numCache>
            </c:numRef>
          </c:val>
          <c:smooth val="0"/>
          <c:extLst>
            <c:ext xmlns:c16="http://schemas.microsoft.com/office/drawing/2014/chart" uri="{C3380CC4-5D6E-409C-BE32-E72D297353CC}">
              <c16:uniqueId val="{00000003-EBAD-48A5-9277-83F388186C0C}"/>
            </c:ext>
          </c:extLst>
        </c:ser>
        <c:ser>
          <c:idx val="5"/>
          <c:order val="2"/>
          <c:tx>
            <c:strRef>
              <c:f>Projections!$A$73</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Projections!$G$74:$AF$74</c15:sqref>
                  </c15:fullRef>
                </c:ext>
              </c:extLst>
              <c:f>Projections!$G$74:$T$74</c:f>
              <c:numCache>
                <c:formatCode>#,##0</c:formatCode>
                <c:ptCount val="14"/>
                <c:pt idx="0">
                  <c:v>4.3915120854412591E-2</c:v>
                </c:pt>
                <c:pt idx="1">
                  <c:v>8.7830241708825182E-2</c:v>
                </c:pt>
                <c:pt idx="2">
                  <c:v>0.17566048341765036</c:v>
                </c:pt>
                <c:pt idx="3">
                  <c:v>0.35132096683530073</c:v>
                </c:pt>
                <c:pt idx="4">
                  <c:v>0.70264193367060146</c:v>
                </c:pt>
                <c:pt idx="5">
                  <c:v>1.4052838673412029</c:v>
                </c:pt>
                <c:pt idx="6">
                  <c:v>2.8105677346824058</c:v>
                </c:pt>
                <c:pt idx="7">
                  <c:v>5.6211354693648117</c:v>
                </c:pt>
                <c:pt idx="8">
                  <c:v>8.4317032040472171</c:v>
                </c:pt>
                <c:pt idx="9">
                  <c:v>9.2748735244519391</c:v>
                </c:pt>
                <c:pt idx="10">
                  <c:v>9.8369870713884211</c:v>
                </c:pt>
                <c:pt idx="11">
                  <c:v>10.399100618324901</c:v>
                </c:pt>
                <c:pt idx="12">
                  <c:v>10.961214165261383</c:v>
                </c:pt>
                <c:pt idx="13">
                  <c:v>11.242270938729623</c:v>
                </c:pt>
              </c:numCache>
            </c:numRef>
          </c:val>
          <c:smooth val="0"/>
          <c:extLst>
            <c:ext xmlns:c16="http://schemas.microsoft.com/office/drawing/2014/chart" uri="{C3380CC4-5D6E-409C-BE32-E72D297353CC}">
              <c16:uniqueId val="{00000005-EBAD-48A5-9277-83F388186C0C}"/>
            </c:ext>
          </c:extLst>
        </c:ser>
        <c:ser>
          <c:idx val="7"/>
          <c:order val="3"/>
          <c:tx>
            <c:strRef>
              <c:f>Projections!$A$75</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Projections!$G$76:$AF$76</c15:sqref>
                  </c15:fullRef>
                </c:ext>
              </c:extLst>
              <c:f>Projections!$G$76:$T$76</c:f>
              <c:numCache>
                <c:formatCode>#,##0</c:formatCode>
                <c:ptCount val="14"/>
                <c:pt idx="0">
                  <c:v>8.7830241708825186E-3</c:v>
                </c:pt>
                <c:pt idx="1">
                  <c:v>1.7566048341765037E-2</c:v>
                </c:pt>
                <c:pt idx="2">
                  <c:v>3.5132096683530074E-2</c:v>
                </c:pt>
                <c:pt idx="3">
                  <c:v>7.0264193367060149E-2</c:v>
                </c:pt>
                <c:pt idx="4">
                  <c:v>0.1405283867341203</c:v>
                </c:pt>
                <c:pt idx="5">
                  <c:v>0.28105677346824059</c:v>
                </c:pt>
                <c:pt idx="6">
                  <c:v>0.56211354693648119</c:v>
                </c:pt>
                <c:pt idx="7">
                  <c:v>1.1242270938729624</c:v>
                </c:pt>
                <c:pt idx="8">
                  <c:v>1.6863406408094435</c:v>
                </c:pt>
                <c:pt idx="9">
                  <c:v>1.8549747048903877</c:v>
                </c:pt>
                <c:pt idx="10">
                  <c:v>1.9673974142776842</c:v>
                </c:pt>
                <c:pt idx="11">
                  <c:v>2.0798201236649803</c:v>
                </c:pt>
                <c:pt idx="12">
                  <c:v>2.1922428330522767</c:v>
                </c:pt>
                <c:pt idx="13">
                  <c:v>2.2484541877459248</c:v>
                </c:pt>
              </c:numCache>
            </c:numRef>
          </c:val>
          <c:smooth val="0"/>
          <c:extLst>
            <c:ext xmlns:c16="http://schemas.microsoft.com/office/drawing/2014/chart" uri="{C3380CC4-5D6E-409C-BE32-E72D297353CC}">
              <c16:uniqueId val="{00000007-EBAD-48A5-9277-83F388186C0C}"/>
            </c:ext>
          </c:extLst>
        </c:ser>
        <c:ser>
          <c:idx val="9"/>
          <c:order val="4"/>
          <c:tx>
            <c:strRef>
              <c:f>Projections!$A$77</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Projections!$G$78:$AF$78</c15:sqref>
                  </c15:fullRef>
                </c:ext>
              </c:extLst>
              <c:f>Projections!$G$78:$T$78</c:f>
              <c:numCache>
                <c:formatCode>#,##0</c:formatCode>
                <c:ptCount val="14"/>
                <c:pt idx="0">
                  <c:v>4.3915120854412584E-3</c:v>
                </c:pt>
                <c:pt idx="1">
                  <c:v>8.7830241708825169E-3</c:v>
                </c:pt>
                <c:pt idx="2">
                  <c:v>1.7566048341765034E-2</c:v>
                </c:pt>
                <c:pt idx="3">
                  <c:v>3.5132096683530067E-2</c:v>
                </c:pt>
                <c:pt idx="4">
                  <c:v>7.0264193367060135E-2</c:v>
                </c:pt>
                <c:pt idx="5">
                  <c:v>0.14052838673412027</c:v>
                </c:pt>
                <c:pt idx="6">
                  <c:v>0.28105677346824054</c:v>
                </c:pt>
                <c:pt idx="7">
                  <c:v>0.56211354693648108</c:v>
                </c:pt>
                <c:pt idx="8">
                  <c:v>0.84317032040472173</c:v>
                </c:pt>
                <c:pt idx="9">
                  <c:v>0.92748735244519387</c:v>
                </c:pt>
                <c:pt idx="10">
                  <c:v>0.983698707138842</c:v>
                </c:pt>
                <c:pt idx="11">
                  <c:v>1.0399100618324901</c:v>
                </c:pt>
                <c:pt idx="12">
                  <c:v>1.0961214165261381</c:v>
                </c:pt>
                <c:pt idx="13">
                  <c:v>1.1242270938729622</c:v>
                </c:pt>
              </c:numCache>
            </c:numRef>
          </c:val>
          <c:smooth val="0"/>
          <c:extLst>
            <c:ext xmlns:c16="http://schemas.microsoft.com/office/drawing/2014/chart" uri="{C3380CC4-5D6E-409C-BE32-E72D297353CC}">
              <c16:uniqueId val="{00000009-EBAD-48A5-9277-83F388186C0C}"/>
            </c:ext>
          </c:extLst>
        </c:ser>
        <c:ser>
          <c:idx val="11"/>
          <c:order val="5"/>
          <c:tx>
            <c:strRef>
              <c:f>Projections!$A$79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Projections!$G$80:$AF$80</c15:sqref>
                  </c15:fullRef>
                </c:ext>
              </c:extLst>
              <c:f>Projections!$G$80:$T$80</c:f>
              <c:numCache>
                <c:formatCode>#,##0</c:formatCode>
                <c:ptCount val="14"/>
                <c:pt idx="0">
                  <c:v>4.3915120854412593E-3</c:v>
                </c:pt>
                <c:pt idx="1">
                  <c:v>8.7830241708825186E-3</c:v>
                </c:pt>
                <c:pt idx="2">
                  <c:v>1.7566048341765037E-2</c:v>
                </c:pt>
                <c:pt idx="3">
                  <c:v>3.5132096683530074E-2</c:v>
                </c:pt>
                <c:pt idx="4">
                  <c:v>7.0264193367060149E-2</c:v>
                </c:pt>
                <c:pt idx="5">
                  <c:v>0.1405283867341203</c:v>
                </c:pt>
                <c:pt idx="6">
                  <c:v>0.28105677346824059</c:v>
                </c:pt>
                <c:pt idx="7">
                  <c:v>0.56211354693648119</c:v>
                </c:pt>
                <c:pt idx="8">
                  <c:v>0.84317032040472173</c:v>
                </c:pt>
                <c:pt idx="9">
                  <c:v>0.92748735244519387</c:v>
                </c:pt>
                <c:pt idx="10">
                  <c:v>0.98369870713884211</c:v>
                </c:pt>
                <c:pt idx="11">
                  <c:v>1.0399100618324901</c:v>
                </c:pt>
                <c:pt idx="12">
                  <c:v>1.0961214165261384</c:v>
                </c:pt>
                <c:pt idx="13">
                  <c:v>1.1242270938729624</c:v>
                </c:pt>
              </c:numCache>
            </c:numRef>
          </c:val>
          <c:smooth val="0"/>
          <c:extLst>
            <c:ext xmlns:c16="http://schemas.microsoft.com/office/drawing/2014/chart" uri="{C3380CC4-5D6E-409C-BE32-E72D297353CC}">
              <c16:uniqueId val="{0000000B-EBAD-48A5-9277-83F388186C0C}"/>
            </c:ext>
          </c:extLst>
        </c:ser>
        <c:ser>
          <c:idx val="13"/>
          <c:order val="6"/>
          <c:tx>
            <c:strRef>
              <c:f>Projections!$A$81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Projections!$G$82:$AF$82</c15:sqref>
                  </c15:fullRef>
                </c:ext>
              </c:extLst>
              <c:f>Projections!$G$82:$T$82</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D-EBAD-48A5-9277-83F388186C0C}"/>
            </c:ext>
          </c:extLst>
        </c:ser>
        <c:ser>
          <c:idx val="15"/>
          <c:order val="7"/>
          <c:tx>
            <c:strRef>
              <c:f>Projections!$A$83</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Projections!$G$84:$AF$84</c15:sqref>
                  </c15:fullRef>
                </c:ext>
              </c:extLst>
              <c:f>Projections!$G$84:$T$84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F-EBAD-48A5-9277-83F388186C0C}"/>
            </c:ext>
          </c:extLst>
        </c:ser>
        <c:ser>
          <c:idx val="17"/>
          <c:order val="8"/>
          <c:tx>
            <c:strRef>
              <c:f>Projections!$A$85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Projections!$G$86:$AF$86</c15:sqref>
                  </c15:fullRef>
                </c:ext>
              </c:extLst>
              <c:f>Projections!$G$86:$T$86</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Projections!$G$98:$AF$98</c15:sqref>
                  </c15:fullRef>
                </c:ext>
              </c:extLst>
              <c:f>Projections!$G$98:$T$98</c:f>
              <c:numCache>
                <c:formatCode>#,##0</c:formatCode>
                <c:ptCount val="14"/>
                <c:pt idx="0">
                  <c:v>3.3125</c:v>
                </c:pt>
                <c:pt idx="1">
                  <c:v>6.625</c:v>
                </c:pt>
                <c:pt idx="2">
                  <c:v>13.25</c:v>
                </c:pt>
                <c:pt idx="3">
                  <c:v>26.5</c:v>
                </c:pt>
                <c:pt idx="4">
                  <c:v>53</c:v>
                </c:pt>
                <c:pt idx="5">
                  <c:v>106</c:v>
                </c:pt>
                <c:pt idx="6">
                  <c:v>212</c:v>
                </c:pt>
                <c:pt idx="7">
                  <c:v>424</c:v>
                </c:pt>
                <c:pt idx="8">
                  <c:v>636</c:v>
                </c:pt>
                <c:pt idx="9">
                  <c:v>699.6</c:v>
                </c:pt>
                <c:pt idx="10">
                  <c:v>742</c:v>
                </c:pt>
                <c:pt idx="11">
                  <c:v>784.4</c:v>
                </c:pt>
                <c:pt idx="12">
                  <c:v>826.8</c:v>
                </c:pt>
                <c:pt idx="13">
                  <c:v>848</c:v>
                </c:pt>
              </c:numCache>
            </c:numRef>
          </c:val>
          <c:smooth val="0"/>
          <c:extLst>
            <c:ext xmlns:c16="http://schemas.microsoft.com/office/drawing/2014/chart" uri="{C3380CC4-5D6E-409C-BE32-E72D297353CC}">
              <c16:uniqueId val="{0000001E-05DD-4DD4-A5B5-12D162507280}"/>
            </c:ext>
          </c:extLst>
        </c:ser>
        <c:ser>
          <c:idx val="4"/>
          <c:order val="1"/>
          <c:tx>
            <c:strRef>
              <c:f>Projections!$A$96</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Projections!$G$96:$AF$96</c15:sqref>
                  </c15:fullRef>
                </c:ext>
              </c:extLst>
              <c:f>Projections!$G$96:$T$96</c:f>
              <c:numCache>
                <c:formatCode>#,##0</c:formatCode>
                <c:ptCount val="14"/>
                <c:pt idx="0">
                  <c:v>9.6875</c:v>
                </c:pt>
                <c:pt idx="1">
                  <c:v>19.375</c:v>
                </c:pt>
                <c:pt idx="2">
                  <c:v>38.75</c:v>
                </c:pt>
                <c:pt idx="3">
                  <c:v>77.5</c:v>
                </c:pt>
                <c:pt idx="4">
                  <c:v>155</c:v>
                </c:pt>
                <c:pt idx="5">
                  <c:v>310</c:v>
                </c:pt>
                <c:pt idx="6">
                  <c:v>620</c:v>
                </c:pt>
                <c:pt idx="7">
                  <c:v>1240</c:v>
                </c:pt>
                <c:pt idx="8">
                  <c:v>1860</c:v>
                </c:pt>
                <c:pt idx="9">
                  <c:v>2046</c:v>
                </c:pt>
                <c:pt idx="10">
                  <c:v>2170</c:v>
                </c:pt>
                <c:pt idx="11">
                  <c:v>2294</c:v>
                </c:pt>
                <c:pt idx="12">
                  <c:v>2418</c:v>
                </c:pt>
                <c:pt idx="13">
                  <c:v>2480</c:v>
                </c:pt>
              </c:numCache>
            </c:numRef>
          </c:val>
          <c:smooth val="0"/>
          <c:extLst>
            <c:ext xmlns:c16="http://schemas.microsoft.com/office/drawing/2014/chart" uri="{C3380CC4-5D6E-409C-BE32-E72D297353CC}">
              <c16:uniqueId val="{0000001C-05DD-4DD4-A5B5-12D162507280}"/>
            </c:ext>
          </c:extLst>
        </c:ser>
        <c:ser>
          <c:idx val="10"/>
          <c:order val="2"/>
          <c:tx>
            <c:strRef>
              <c:f>Projections!$A$102</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Projections!$G$102:$AF$102</c15:sqref>
                  </c15:fullRef>
                </c:ext>
              </c:extLst>
              <c:f>Projections!$G$102:$T$102</c:f>
              <c:numCache>
                <c:formatCode>#,##0</c:formatCode>
                <c:ptCount val="14"/>
                <c:pt idx="0">
                  <c:v>4.75</c:v>
                </c:pt>
                <c:pt idx="1">
                  <c:v>9.5</c:v>
                </c:pt>
                <c:pt idx="2">
                  <c:v>19</c:v>
                </c:pt>
                <c:pt idx="3">
                  <c:v>38</c:v>
                </c:pt>
                <c:pt idx="4">
                  <c:v>76</c:v>
                </c:pt>
                <c:pt idx="5">
                  <c:v>152</c:v>
                </c:pt>
                <c:pt idx="6">
                  <c:v>304</c:v>
                </c:pt>
                <c:pt idx="7">
                  <c:v>608</c:v>
                </c:pt>
                <c:pt idx="8">
                  <c:v>912</c:v>
                </c:pt>
                <c:pt idx="9">
                  <c:v>1003.1999999999999</c:v>
                </c:pt>
                <c:pt idx="10">
                  <c:v>1064</c:v>
                </c:pt>
                <c:pt idx="11">
                  <c:v>1124.8</c:v>
                </c:pt>
                <c:pt idx="12">
                  <c:v>1185.5999999999999</c:v>
                </c:pt>
                <c:pt idx="13">
                  <c:v>1216</c:v>
                </c:pt>
              </c:numCache>
            </c:numRef>
          </c:val>
          <c:smooth val="0"/>
          <c:extLst>
            <c:ext xmlns:c16="http://schemas.microsoft.com/office/drawing/2014/chart" uri="{C3380CC4-5D6E-409C-BE32-E72D297353CC}">
              <c16:uniqueId val="{00000022-05DD-4DD4-A5B5-12D162507280}"/>
            </c:ext>
          </c:extLst>
        </c:ser>
        <c:ser>
          <c:idx val="0"/>
          <c:order val="3"/>
          <c:tx>
            <c:strRef>
              <c:f>Projections!$A$92</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Projections!$G$92:$AF$92</c15:sqref>
                  </c15:fullRef>
                </c:ext>
              </c:extLst>
              <c:f>Projections!$G$92:$T$92</c:f>
              <c:numCache>
                <c:formatCode>#,##0</c:formatCode>
                <c:ptCount val="14"/>
                <c:pt idx="0">
                  <c:v>1.5625</c:v>
                </c:pt>
                <c:pt idx="1">
                  <c:v>3.125</c:v>
                </c:pt>
                <c:pt idx="2">
                  <c:v>6.25</c:v>
                </c:pt>
                <c:pt idx="3">
                  <c:v>12.5</c:v>
                </c:pt>
                <c:pt idx="4">
                  <c:v>25</c:v>
                </c:pt>
                <c:pt idx="5">
                  <c:v>50</c:v>
                </c:pt>
                <c:pt idx="6">
                  <c:v>100</c:v>
                </c:pt>
                <c:pt idx="7">
                  <c:v>200</c:v>
                </c:pt>
                <c:pt idx="8">
                  <c:v>300</c:v>
                </c:pt>
                <c:pt idx="9">
                  <c:v>330</c:v>
                </c:pt>
                <c:pt idx="10">
                  <c:v>350</c:v>
                </c:pt>
                <c:pt idx="11">
                  <c:v>370</c:v>
                </c:pt>
                <c:pt idx="12">
                  <c:v>390</c:v>
                </c:pt>
                <c:pt idx="13">
                  <c:v>400</c:v>
                </c:pt>
              </c:numCache>
            </c:numRef>
          </c:val>
          <c:smooth val="0"/>
          <c:extLst>
            <c:ext xmlns:c16="http://schemas.microsoft.com/office/drawing/2014/chart" uri="{C3380CC4-5D6E-409C-BE32-E72D297353CC}">
              <c16:uniqueId val="{00000018-05DD-4DD4-A5B5-12D162507280}"/>
            </c:ext>
          </c:extLst>
        </c:ser>
        <c:ser>
          <c:idx val="2"/>
          <c:order val="4"/>
          <c:tx>
            <c:strRef>
              <c:f>Projections!$A$94</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Projections!$G$94:$AF$94</c15:sqref>
                  </c15:fullRef>
                </c:ext>
              </c:extLst>
              <c:f>Projections!$G$94:$T$94</c:f>
              <c:numCache>
                <c:formatCode>#,##0</c:formatCode>
                <c:ptCount val="14"/>
                <c:pt idx="0">
                  <c:v>1.53125</c:v>
                </c:pt>
                <c:pt idx="1">
                  <c:v>3.0625</c:v>
                </c:pt>
                <c:pt idx="2">
                  <c:v>6.125</c:v>
                </c:pt>
                <c:pt idx="3">
                  <c:v>12.25</c:v>
                </c:pt>
                <c:pt idx="4">
                  <c:v>24.5</c:v>
                </c:pt>
                <c:pt idx="5">
                  <c:v>49</c:v>
                </c:pt>
                <c:pt idx="6">
                  <c:v>98</c:v>
                </c:pt>
                <c:pt idx="7">
                  <c:v>196</c:v>
                </c:pt>
                <c:pt idx="8">
                  <c:v>294</c:v>
                </c:pt>
                <c:pt idx="9">
                  <c:v>323.40000000000003</c:v>
                </c:pt>
                <c:pt idx="10">
                  <c:v>343</c:v>
                </c:pt>
                <c:pt idx="11">
                  <c:v>362.6</c:v>
                </c:pt>
                <c:pt idx="12">
                  <c:v>382.2</c:v>
                </c:pt>
                <c:pt idx="13">
                  <c:v>392</c:v>
                </c:pt>
              </c:numCache>
            </c:numRef>
          </c:val>
          <c:smooth val="0"/>
          <c:extLst>
            <c:ext xmlns:c16="http://schemas.microsoft.com/office/drawing/2014/chart" uri="{C3380CC4-5D6E-409C-BE32-E72D297353CC}">
              <c16:uniqueId val="{0000001A-05DD-4DD4-A5B5-12D162507280}"/>
            </c:ext>
          </c:extLst>
        </c:ser>
        <c:ser>
          <c:idx val="8"/>
          <c:order val="5"/>
          <c:tx>
            <c:strRef>
              <c:f>Projections!$A$100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Projections!$G$100:$AF$100</c15:sqref>
                  </c15:fullRef>
                </c:ext>
              </c:extLst>
              <c:f>Projections!$G$100:$T$100</c:f>
              <c:numCache>
                <c:formatCode>#,##0</c:formatCode>
                <c:ptCount val="14"/>
                <c:pt idx="0">
                  <c:v>0.5625</c:v>
                </c:pt>
                <c:pt idx="1">
                  <c:v>1.125</c:v>
                </c:pt>
                <c:pt idx="2">
                  <c:v>2.25</c:v>
                </c:pt>
                <c:pt idx="3">
                  <c:v>4.5</c:v>
                </c:pt>
                <c:pt idx="4">
                  <c:v>9</c:v>
                </c:pt>
                <c:pt idx="5">
                  <c:v>18</c:v>
                </c:pt>
                <c:pt idx="6">
                  <c:v>36</c:v>
                </c:pt>
                <c:pt idx="7">
                  <c:v>72</c:v>
                </c:pt>
                <c:pt idx="8">
                  <c:v>107.99999999999999</c:v>
                </c:pt>
                <c:pt idx="9">
                  <c:v>118.8</c:v>
                </c:pt>
                <c:pt idx="10">
                  <c:v>125.99999999999999</c:v>
                </c:pt>
                <c:pt idx="11">
                  <c:v>133.19999999999999</c:v>
                </c:pt>
                <c:pt idx="12">
                  <c:v>140.39999999999998</c:v>
                </c:pt>
                <c:pt idx="13">
                  <c:v>144</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Projections!$G$99:$AF$99</c15:sqref>
                  </c15:fullRef>
                </c:ext>
              </c:extLst>
              <c:f>Projections!$G$99:$T$99</c:f>
              <c:numCache>
                <c:formatCode>#,##0</c:formatCode>
                <c:ptCount val="14"/>
                <c:pt idx="0">
                  <c:v>0.19874999999999998</c:v>
                </c:pt>
                <c:pt idx="1">
                  <c:v>0.39749999999999996</c:v>
                </c:pt>
                <c:pt idx="2">
                  <c:v>0.79499999999999993</c:v>
                </c:pt>
                <c:pt idx="3">
                  <c:v>1.5899999999999999</c:v>
                </c:pt>
                <c:pt idx="4">
                  <c:v>3.1799999999999997</c:v>
                </c:pt>
                <c:pt idx="5">
                  <c:v>6.3599999999999994</c:v>
                </c:pt>
                <c:pt idx="6">
                  <c:v>12.719999999999999</c:v>
                </c:pt>
                <c:pt idx="7">
                  <c:v>25.439999999999998</c:v>
                </c:pt>
                <c:pt idx="8">
                  <c:v>38.159999999999997</c:v>
                </c:pt>
                <c:pt idx="9">
                  <c:v>41.975999999999999</c:v>
                </c:pt>
                <c:pt idx="10">
                  <c:v>44.519999999999996</c:v>
                </c:pt>
                <c:pt idx="11">
                  <c:v>47.064</c:v>
                </c:pt>
                <c:pt idx="12">
                  <c:v>49.607999999999997</c:v>
                </c:pt>
                <c:pt idx="13">
                  <c:v>50.879999999999995</c:v>
                </c:pt>
              </c:numCache>
            </c:numRef>
          </c:val>
          <c:smooth val="0"/>
          <c:extLst>
            <c:ext xmlns:c16="http://schemas.microsoft.com/office/drawing/2014/chart" uri="{C3380CC4-5D6E-409C-BE32-E72D297353CC}">
              <c16:uniqueId val="{00000007-65B4-47F9-9B97-64FB989C8893}"/>
            </c:ext>
          </c:extLst>
        </c:ser>
        <c:ser>
          <c:idx val="5"/>
          <c:order val="1"/>
          <c:tx>
            <c:strRef>
              <c:f>Projections!$A$96</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Projections!$G$97:$AF$97</c15:sqref>
                  </c15:fullRef>
                </c:ext>
              </c:extLst>
              <c:f>Projections!$G$97:$T$97</c:f>
              <c:numCache>
                <c:formatCode>#,##0</c:formatCode>
                <c:ptCount val="14"/>
                <c:pt idx="0">
                  <c:v>0.61031250000000004</c:v>
                </c:pt>
                <c:pt idx="1">
                  <c:v>1.2206250000000001</c:v>
                </c:pt>
                <c:pt idx="2">
                  <c:v>2.4412500000000001</c:v>
                </c:pt>
                <c:pt idx="3">
                  <c:v>4.8825000000000003</c:v>
                </c:pt>
                <c:pt idx="4">
                  <c:v>9.7650000000000006</c:v>
                </c:pt>
                <c:pt idx="5">
                  <c:v>19.53</c:v>
                </c:pt>
                <c:pt idx="6">
                  <c:v>39.06</c:v>
                </c:pt>
                <c:pt idx="7">
                  <c:v>78.12</c:v>
                </c:pt>
                <c:pt idx="8">
                  <c:v>117.18</c:v>
                </c:pt>
                <c:pt idx="9">
                  <c:v>128.898</c:v>
                </c:pt>
                <c:pt idx="10">
                  <c:v>136.71</c:v>
                </c:pt>
                <c:pt idx="11">
                  <c:v>144.52199999999999</c:v>
                </c:pt>
                <c:pt idx="12">
                  <c:v>152.334</c:v>
                </c:pt>
                <c:pt idx="13">
                  <c:v>156.24</c:v>
                </c:pt>
              </c:numCache>
            </c:numRef>
          </c:val>
          <c:smooth val="0"/>
          <c:extLst>
            <c:ext xmlns:c16="http://schemas.microsoft.com/office/drawing/2014/chart" uri="{C3380CC4-5D6E-409C-BE32-E72D297353CC}">
              <c16:uniqueId val="{00000005-65B4-47F9-9B97-64FB989C8893}"/>
            </c:ext>
          </c:extLst>
        </c:ser>
        <c:ser>
          <c:idx val="1"/>
          <c:order val="2"/>
          <c:tx>
            <c:strRef>
              <c:f>Projections!$A$92</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Projections!$G$93:$AF$93</c15:sqref>
                  </c15:fullRef>
                </c:ext>
              </c:extLst>
              <c:f>Projections!$G$93:$T$93</c:f>
              <c:numCache>
                <c:formatCode>#,##0</c:formatCode>
                <c:ptCount val="14"/>
                <c:pt idx="0">
                  <c:v>0.1640625</c:v>
                </c:pt>
                <c:pt idx="1">
                  <c:v>0.328125</c:v>
                </c:pt>
                <c:pt idx="2">
                  <c:v>0.65625</c:v>
                </c:pt>
                <c:pt idx="3">
                  <c:v>1.3125</c:v>
                </c:pt>
                <c:pt idx="4">
                  <c:v>2.625</c:v>
                </c:pt>
                <c:pt idx="5">
                  <c:v>5.25</c:v>
                </c:pt>
                <c:pt idx="6">
                  <c:v>10.5</c:v>
                </c:pt>
                <c:pt idx="7">
                  <c:v>21</c:v>
                </c:pt>
                <c:pt idx="8">
                  <c:v>31.5</c:v>
                </c:pt>
                <c:pt idx="9">
                  <c:v>34.65</c:v>
                </c:pt>
                <c:pt idx="10">
                  <c:v>36.75</c:v>
                </c:pt>
                <c:pt idx="11">
                  <c:v>38.85</c:v>
                </c:pt>
                <c:pt idx="12">
                  <c:v>40.949999999999996</c:v>
                </c:pt>
                <c:pt idx="13">
                  <c:v>42</c:v>
                </c:pt>
              </c:numCache>
            </c:numRef>
          </c:val>
          <c:smooth val="0"/>
          <c:extLst>
            <c:ext xmlns:c16="http://schemas.microsoft.com/office/drawing/2014/chart" uri="{C3380CC4-5D6E-409C-BE32-E72D297353CC}">
              <c16:uniqueId val="{00000001-65B4-47F9-9B97-64FB989C8893}"/>
            </c:ext>
          </c:extLst>
        </c:ser>
        <c:ser>
          <c:idx val="3"/>
          <c:order val="3"/>
          <c:tx>
            <c:strRef>
              <c:f>Projections!$A$94</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Projections!$G$95:$AF$95</c15:sqref>
                  </c15:fullRef>
                </c:ext>
              </c:extLst>
              <c:f>Projections!$G$95:$T$95</c:f>
              <c:numCache>
                <c:formatCode>#,##0</c:formatCode>
                <c:ptCount val="14"/>
                <c:pt idx="0">
                  <c:v>0.11178125</c:v>
                </c:pt>
                <c:pt idx="1">
                  <c:v>0.2235625</c:v>
                </c:pt>
                <c:pt idx="2">
                  <c:v>0.44712499999999999</c:v>
                </c:pt>
                <c:pt idx="3">
                  <c:v>0.89424999999999999</c:v>
                </c:pt>
                <c:pt idx="4">
                  <c:v>1.7885</c:v>
                </c:pt>
                <c:pt idx="5">
                  <c:v>3.577</c:v>
                </c:pt>
                <c:pt idx="6">
                  <c:v>7.1539999999999999</c:v>
                </c:pt>
                <c:pt idx="7">
                  <c:v>14.308</c:v>
                </c:pt>
                <c:pt idx="8">
                  <c:v>21.462</c:v>
                </c:pt>
                <c:pt idx="9">
                  <c:v>23.6082</c:v>
                </c:pt>
                <c:pt idx="10">
                  <c:v>25.038999999999998</c:v>
                </c:pt>
                <c:pt idx="11">
                  <c:v>26.469799999999999</c:v>
                </c:pt>
                <c:pt idx="12">
                  <c:v>27.900599999999997</c:v>
                </c:pt>
                <c:pt idx="13">
                  <c:v>28.616</c:v>
                </c:pt>
              </c:numCache>
            </c:numRef>
          </c:val>
          <c:smooth val="0"/>
          <c:extLst>
            <c:ext xmlns:c16="http://schemas.microsoft.com/office/drawing/2014/chart" uri="{C3380CC4-5D6E-409C-BE32-E72D297353CC}">
              <c16:uniqueId val="{00000003-65B4-47F9-9B97-64FB989C8893}"/>
            </c:ext>
          </c:extLst>
        </c:ser>
        <c:ser>
          <c:idx val="9"/>
          <c:order val="4"/>
          <c:tx>
            <c:strRef>
              <c:f>Projections!$A$100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Projections!$G$101:$AF$101</c15:sqref>
                  </c15:fullRef>
                </c:ext>
              </c:extLst>
              <c:f>Projections!$G$101:$T$101</c:f>
              <c:numCache>
                <c:formatCode>#,##0</c:formatCode>
                <c:ptCount val="14"/>
                <c:pt idx="0">
                  <c:v>3.15E-2</c:v>
                </c:pt>
                <c:pt idx="1">
                  <c:v>6.3E-2</c:v>
                </c:pt>
                <c:pt idx="2">
                  <c:v>0.126</c:v>
                </c:pt>
                <c:pt idx="3">
                  <c:v>0.252</c:v>
                </c:pt>
                <c:pt idx="4">
                  <c:v>0.504</c:v>
                </c:pt>
                <c:pt idx="5">
                  <c:v>1.008</c:v>
                </c:pt>
                <c:pt idx="6">
                  <c:v>2.016</c:v>
                </c:pt>
                <c:pt idx="7">
                  <c:v>4.032</c:v>
                </c:pt>
                <c:pt idx="8">
                  <c:v>6.0479999999999992</c:v>
                </c:pt>
                <c:pt idx="9">
                  <c:v>6.6528</c:v>
                </c:pt>
                <c:pt idx="10">
                  <c:v>7.0559999999999992</c:v>
                </c:pt>
                <c:pt idx="11">
                  <c:v>7.4591999999999992</c:v>
                </c:pt>
                <c:pt idx="12">
                  <c:v>7.8623999999999992</c:v>
                </c:pt>
                <c:pt idx="13">
                  <c:v>8.0640000000000001</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33</xdr:col>
      <xdr:colOff>581026</xdr:colOff>
      <xdr:row>35</xdr:row>
      <xdr:rowOff>66675</xdr:rowOff>
    </xdr:from>
    <xdr:to>
      <xdr:col>45</xdr:col>
      <xdr:colOff>409575</xdr:colOff>
      <xdr:row>67</xdr:row>
      <xdr:rowOff>66675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33</xdr:col>
      <xdr:colOff>545955</xdr:colOff>
      <xdr:row>107</xdr:row>
      <xdr:rowOff>82014</xdr:rowOff>
    </xdr:from>
    <xdr:to>
      <xdr:col>45</xdr:col>
      <xdr:colOff>438150</xdr:colOff>
      <xdr:row>130</xdr:row>
      <xdr:rowOff>91539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33</xdr:col>
      <xdr:colOff>574531</xdr:colOff>
      <xdr:row>131</xdr:row>
      <xdr:rowOff>86776</xdr:rowOff>
    </xdr:from>
    <xdr:to>
      <xdr:col>45</xdr:col>
      <xdr:colOff>447675</xdr:colOff>
      <xdr:row>148</xdr:row>
      <xdr:rowOff>62964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550717</xdr:colOff>
      <xdr:row>149</xdr:row>
      <xdr:rowOff>67725</xdr:rowOff>
    </xdr:from>
    <xdr:to>
      <xdr:col>45</xdr:col>
      <xdr:colOff>457199</xdr:colOff>
      <xdr:row>165</xdr:row>
      <xdr:rowOff>62964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550719</xdr:colOff>
      <xdr:row>166</xdr:row>
      <xdr:rowOff>86775</xdr:rowOff>
    </xdr:from>
    <xdr:to>
      <xdr:col>45</xdr:col>
      <xdr:colOff>438150</xdr:colOff>
      <xdr:row>185</xdr:row>
      <xdr:rowOff>82014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33</xdr:col>
      <xdr:colOff>547687</xdr:colOff>
      <xdr:row>69</xdr:row>
      <xdr:rowOff>80962</xdr:rowOff>
    </xdr:from>
    <xdr:to>
      <xdr:col>45</xdr:col>
      <xdr:colOff>438150</xdr:colOff>
      <xdr:row>89</xdr:row>
      <xdr:rowOff>80282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549728</xdr:colOff>
      <xdr:row>90</xdr:row>
      <xdr:rowOff>78921</xdr:rowOff>
    </xdr:from>
    <xdr:to>
      <xdr:col>45</xdr:col>
      <xdr:colOff>400050</xdr:colOff>
      <xdr:row>106</xdr:row>
      <xdr:rowOff>62592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46</xdr:col>
      <xdr:colOff>419101</xdr:colOff>
      <xdr:row>35</xdr:row>
      <xdr:rowOff>66675</xdr:rowOff>
    </xdr:from>
    <xdr:to>
      <xdr:col>58</xdr:col>
      <xdr:colOff>581025</xdr:colOff>
      <xdr:row>67</xdr:row>
      <xdr:rowOff>66675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46</xdr:col>
      <xdr:colOff>417367</xdr:colOff>
      <xdr:row>107</xdr:row>
      <xdr:rowOff>62964</xdr:rowOff>
    </xdr:from>
    <xdr:to>
      <xdr:col>59</xdr:col>
      <xdr:colOff>19050</xdr:colOff>
      <xdr:row>130</xdr:row>
      <xdr:rowOff>72489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46</xdr:col>
      <xdr:colOff>407843</xdr:colOff>
      <xdr:row>131</xdr:row>
      <xdr:rowOff>77251</xdr:rowOff>
    </xdr:from>
    <xdr:to>
      <xdr:col>59</xdr:col>
      <xdr:colOff>9525</xdr:colOff>
      <xdr:row>148</xdr:row>
      <xdr:rowOff>53439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46</xdr:col>
      <xdr:colOff>422129</xdr:colOff>
      <xdr:row>149</xdr:row>
      <xdr:rowOff>67725</xdr:rowOff>
    </xdr:from>
    <xdr:to>
      <xdr:col>59</xdr:col>
      <xdr:colOff>28574</xdr:colOff>
      <xdr:row>165</xdr:row>
      <xdr:rowOff>62964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46</xdr:col>
      <xdr:colOff>441181</xdr:colOff>
      <xdr:row>166</xdr:row>
      <xdr:rowOff>86775</xdr:rowOff>
    </xdr:from>
    <xdr:to>
      <xdr:col>59</xdr:col>
      <xdr:colOff>38100</xdr:colOff>
      <xdr:row>185</xdr:row>
      <xdr:rowOff>82014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46</xdr:col>
      <xdr:colOff>409574</xdr:colOff>
      <xdr:row>69</xdr:row>
      <xdr:rowOff>90487</xdr:rowOff>
    </xdr:from>
    <xdr:to>
      <xdr:col>59</xdr:col>
      <xdr:colOff>9525</xdr:colOff>
      <xdr:row>89</xdr:row>
      <xdr:rowOff>89807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46</xdr:col>
      <xdr:colOff>416378</xdr:colOff>
      <xdr:row>90</xdr:row>
      <xdr:rowOff>78921</xdr:rowOff>
    </xdr:from>
    <xdr:to>
      <xdr:col>58</xdr:col>
      <xdr:colOff>581025</xdr:colOff>
      <xdr:row>106</xdr:row>
      <xdr:rowOff>62592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ourworldindata.org/coronavirus" TargetMode="External"/><Relationship Id="rId7" Type="http://schemas.openxmlformats.org/officeDocument/2006/relationships/hyperlink" Target="https://cmmid.github.io/topics/covid19/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www.covid19data.com.au/people-affected"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abs.gov.au/AUSSTATS/abs@.nsf/DetailsPage/3101.0Sep%202019?OpenDocument" TargetMode="External"/><Relationship Id="rId4" Type="http://schemas.openxmlformats.org/officeDocument/2006/relationships/hyperlink" Target="https://www.abs.gov.au/ausstats/abs@.nsf/0/1647509ef7e25faaca2568a900154b63?opendocument" TargetMode="Externa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ourworldindata.org/coronavi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E44" sqref="E44"/>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162</v>
      </c>
    </row>
    <row r="3" spans="2:2" x14ac:dyDescent="0.25">
      <c r="B3" t="s">
        <v>146</v>
      </c>
    </row>
    <row r="4" spans="2:2" x14ac:dyDescent="0.25">
      <c r="B4" t="s">
        <v>159</v>
      </c>
    </row>
    <row r="5" spans="2:2" x14ac:dyDescent="0.25">
      <c r="B5" t="s">
        <v>163</v>
      </c>
    </row>
    <row r="6" spans="2:2" x14ac:dyDescent="0.25">
      <c r="B6" t="s">
        <v>164</v>
      </c>
    </row>
    <row r="7" spans="2:2" x14ac:dyDescent="0.25">
      <c r="B7" t="s">
        <v>149</v>
      </c>
    </row>
    <row r="11" spans="2:2" x14ac:dyDescent="0.25">
      <c r="B11" t="s">
        <v>171</v>
      </c>
    </row>
    <row r="12" spans="2:2" x14ac:dyDescent="0.25">
      <c r="B12" t="s">
        <v>184</v>
      </c>
    </row>
    <row r="13" spans="2:2" x14ac:dyDescent="0.25">
      <c r="B13" t="s">
        <v>186</v>
      </c>
    </row>
    <row r="14" spans="2:2" x14ac:dyDescent="0.25">
      <c r="B14" t="s">
        <v>185</v>
      </c>
    </row>
    <row r="15" spans="2:2" x14ac:dyDescent="0.25">
      <c r="B15" t="s">
        <v>192</v>
      </c>
    </row>
    <row r="17" spans="1:43" x14ac:dyDescent="0.25">
      <c r="A17" t="s">
        <v>190</v>
      </c>
      <c r="B17" s="115">
        <f>(AP25/E31) /Projections!B25</f>
        <v>71.428571428571431</v>
      </c>
      <c r="C17" s="116"/>
      <c r="D17" s="117"/>
      <c r="E17" s="111">
        <f>B17*2</f>
        <v>142.85714285714286</v>
      </c>
      <c r="F17" s="116"/>
      <c r="G17" s="111"/>
      <c r="H17" s="111">
        <f>E17*2</f>
        <v>285.71428571428572</v>
      </c>
      <c r="I17" s="116"/>
      <c r="J17" s="117"/>
      <c r="K17" s="108">
        <f>H17*2</f>
        <v>571.42857142857144</v>
      </c>
      <c r="L17" s="106"/>
      <c r="M17" s="107"/>
      <c r="N17" s="108">
        <f>K17*2</f>
        <v>1142.8571428571429</v>
      </c>
      <c r="O17" s="106"/>
      <c r="P17" s="107"/>
      <c r="Q17" s="108">
        <f>N17*2</f>
        <v>2285.7142857142858</v>
      </c>
      <c r="R17" s="106"/>
      <c r="S17" s="107"/>
      <c r="T17" s="108">
        <f>Q17*2</f>
        <v>4571.4285714285716</v>
      </c>
      <c r="U17" s="106"/>
      <c r="V17" s="107"/>
      <c r="W17" s="108">
        <f>T17*2</f>
        <v>9142.8571428571431</v>
      </c>
      <c r="X17" s="106"/>
      <c r="Y17" s="107"/>
      <c r="Z17" s="108">
        <f>W17*2</f>
        <v>18285.714285714286</v>
      </c>
      <c r="AA17" s="106"/>
      <c r="AB17" s="107"/>
      <c r="AC17" s="108">
        <f>Z17*2</f>
        <v>36571.428571428572</v>
      </c>
      <c r="AD17" s="106"/>
      <c r="AE17" s="107"/>
      <c r="AF17" s="108">
        <f>AC17*2</f>
        <v>73142.857142857145</v>
      </c>
      <c r="AG17" s="106"/>
      <c r="AH17" s="107"/>
      <c r="AI17" s="108">
        <f>AF17*2</f>
        <v>146285.71428571429</v>
      </c>
      <c r="AJ17" s="106"/>
      <c r="AK17" s="107"/>
      <c r="AL17" s="108">
        <f>AI17*2</f>
        <v>292571.42857142858</v>
      </c>
      <c r="AM17" s="106"/>
      <c r="AN17" s="107"/>
      <c r="AO17" s="108">
        <f>AL17*2</f>
        <v>585142.85714285716</v>
      </c>
      <c r="AP17" s="111"/>
      <c r="AQ17" t="s">
        <v>190</v>
      </c>
    </row>
    <row r="18" spans="1:43" s="81" customFormat="1" x14ac:dyDescent="0.25">
      <c r="A18" s="81" t="s">
        <v>275</v>
      </c>
      <c r="B18" s="100">
        <f>B17*$E$34</f>
        <v>0</v>
      </c>
      <c r="C18" s="118"/>
      <c r="D18" s="118"/>
      <c r="E18" s="118">
        <f>E17*$E$34</f>
        <v>0</v>
      </c>
      <c r="F18" s="118"/>
      <c r="G18" s="45"/>
      <c r="H18" s="118">
        <f>H17*$E$34</f>
        <v>0</v>
      </c>
      <c r="I18" s="118"/>
      <c r="J18" s="118"/>
      <c r="K18" s="118">
        <f>K17*$E$34</f>
        <v>0</v>
      </c>
      <c r="L18" s="118"/>
      <c r="M18" s="118"/>
      <c r="N18" s="118">
        <f>N17*$E$34</f>
        <v>0</v>
      </c>
      <c r="O18" s="118"/>
      <c r="P18" s="118"/>
      <c r="Q18" s="118">
        <f>Q17*$E$34</f>
        <v>0</v>
      </c>
      <c r="R18" s="118"/>
      <c r="S18" s="118"/>
      <c r="T18" s="118">
        <f>T17*$E$34</f>
        <v>0</v>
      </c>
      <c r="U18" s="118"/>
      <c r="V18" s="118"/>
      <c r="W18" s="118">
        <f>W17*$E$34</f>
        <v>0</v>
      </c>
      <c r="X18" s="118"/>
      <c r="Y18" s="118"/>
      <c r="Z18" s="118">
        <f>Z17*$E$34</f>
        <v>0</v>
      </c>
      <c r="AA18" s="118"/>
      <c r="AB18" s="118"/>
      <c r="AC18" s="118">
        <f>AC17*$E$34</f>
        <v>0</v>
      </c>
      <c r="AD18" s="118"/>
      <c r="AE18" s="118"/>
      <c r="AF18" s="118">
        <f>AF17*$E$34</f>
        <v>0</v>
      </c>
      <c r="AG18" s="118"/>
      <c r="AH18" s="118"/>
      <c r="AI18" s="118">
        <f>AI17*$E$34</f>
        <v>0</v>
      </c>
      <c r="AJ18" s="118"/>
      <c r="AK18" s="118"/>
      <c r="AL18" s="118">
        <f>AL17*$E$34</f>
        <v>0</v>
      </c>
      <c r="AM18" s="118"/>
      <c r="AN18" s="118"/>
      <c r="AO18" s="118">
        <f>AO17*$E$34</f>
        <v>0</v>
      </c>
      <c r="AP18" s="45"/>
      <c r="AQ18" s="81" t="s">
        <v>275</v>
      </c>
    </row>
    <row r="19" spans="1:43" s="81" customFormat="1" x14ac:dyDescent="0.25">
      <c r="A19" s="59" t="s">
        <v>277</v>
      </c>
      <c r="B19" s="98">
        <f>B18</f>
        <v>0</v>
      </c>
      <c r="C19" s="99"/>
      <c r="D19" s="99"/>
      <c r="E19" s="99">
        <f>E18</f>
        <v>0</v>
      </c>
      <c r="F19" s="99"/>
      <c r="G19" s="46"/>
      <c r="H19" s="99">
        <f>H18</f>
        <v>0</v>
      </c>
      <c r="I19" s="99"/>
      <c r="J19" s="99"/>
      <c r="K19" s="99">
        <f>K18</f>
        <v>0</v>
      </c>
      <c r="L19" s="99"/>
      <c r="M19" s="99"/>
      <c r="N19" s="99">
        <f>N18</f>
        <v>0</v>
      </c>
      <c r="O19" s="99"/>
      <c r="P19" s="99"/>
      <c r="Q19" s="99">
        <f>Q18</f>
        <v>0</v>
      </c>
      <c r="R19" s="99"/>
      <c r="S19" s="99"/>
      <c r="T19" s="99">
        <f>T18</f>
        <v>0</v>
      </c>
      <c r="U19" s="99"/>
      <c r="V19" s="99"/>
      <c r="W19" s="135">
        <f>W18-B18</f>
        <v>0</v>
      </c>
      <c r="X19" s="135"/>
      <c r="Y19" s="135"/>
      <c r="Z19" s="135">
        <f>Z18-E18</f>
        <v>0</v>
      </c>
      <c r="AA19" s="135"/>
      <c r="AB19" s="135"/>
      <c r="AC19" s="135">
        <f>AC18-H18</f>
        <v>0</v>
      </c>
      <c r="AD19" s="135"/>
      <c r="AE19" s="135"/>
      <c r="AF19" s="135">
        <f>AF18-K18</f>
        <v>0</v>
      </c>
      <c r="AG19" s="135"/>
      <c r="AH19" s="135"/>
      <c r="AI19" s="135">
        <f>AI18-N18</f>
        <v>0</v>
      </c>
      <c r="AJ19" s="135"/>
      <c r="AK19" s="135"/>
      <c r="AL19" s="135">
        <f>AL18-Q18</f>
        <v>0</v>
      </c>
      <c r="AM19" s="135"/>
      <c r="AN19" s="135"/>
      <c r="AO19" s="135">
        <f>AO18-T18</f>
        <v>0</v>
      </c>
      <c r="AP19" s="136"/>
      <c r="AQ19" s="59" t="s">
        <v>277</v>
      </c>
    </row>
    <row r="20" spans="1:43" s="81" customFormat="1" x14ac:dyDescent="0.25">
      <c r="A20" t="s">
        <v>191</v>
      </c>
      <c r="B20" s="100"/>
      <c r="C20" s="118"/>
      <c r="D20" s="118"/>
      <c r="E20" s="118"/>
      <c r="F20" s="118"/>
      <c r="G20" s="45"/>
      <c r="H20" s="119"/>
      <c r="I20" s="120"/>
      <c r="J20" s="121"/>
      <c r="K20" s="145">
        <f>B17*(1-E34)</f>
        <v>71.428571428571431</v>
      </c>
      <c r="L20" s="142"/>
      <c r="M20" s="143"/>
      <c r="N20" s="144">
        <f>E17*(1-E34)</f>
        <v>142.85714285714286</v>
      </c>
      <c r="O20" s="142"/>
      <c r="P20" s="143"/>
      <c r="Q20" s="144">
        <f>H17*(1-E34)</f>
        <v>285.71428571428572</v>
      </c>
      <c r="R20" s="142"/>
      <c r="S20" s="143"/>
      <c r="T20" s="144">
        <f>K17*(1-E34)</f>
        <v>571.42857142857144</v>
      </c>
      <c r="U20" s="142"/>
      <c r="V20" s="143"/>
      <c r="W20" s="144">
        <f>N17*(1-E34)</f>
        <v>1142.8571428571429</v>
      </c>
      <c r="X20" s="142"/>
      <c r="Y20" s="143"/>
      <c r="Z20" s="144">
        <f>Q17*(1-E34)</f>
        <v>2285.7142857142858</v>
      </c>
      <c r="AA20" s="142"/>
      <c r="AB20" s="143"/>
      <c r="AC20" s="144">
        <f>T17*(1-E34)</f>
        <v>4571.4285714285716</v>
      </c>
      <c r="AD20" s="142"/>
      <c r="AE20" s="143"/>
      <c r="AF20" s="144">
        <f>W17*(1-E34)</f>
        <v>9142.8571428571431</v>
      </c>
      <c r="AG20" s="142"/>
      <c r="AH20" s="143"/>
      <c r="AI20" s="144">
        <f>Z17*(1-E34)</f>
        <v>18285.714285714286</v>
      </c>
      <c r="AJ20" s="142"/>
      <c r="AK20" s="143"/>
      <c r="AL20" s="144">
        <f>AC17*(1-E34)</f>
        <v>36571.428571428572</v>
      </c>
      <c r="AM20" s="142"/>
      <c r="AN20" s="143"/>
      <c r="AO20" s="144">
        <f>AF17*(1-E34)</f>
        <v>73142.857142857145</v>
      </c>
      <c r="AP20" s="91"/>
      <c r="AQ20" t="s">
        <v>191</v>
      </c>
    </row>
    <row r="21" spans="1:43" s="81" customFormat="1" x14ac:dyDescent="0.25">
      <c r="A21" s="81" t="s">
        <v>172</v>
      </c>
      <c r="B21" s="92"/>
      <c r="C21" s="93"/>
      <c r="D21" s="93"/>
      <c r="E21" s="93"/>
      <c r="F21" s="93"/>
      <c r="G21" s="94"/>
      <c r="H21" s="137">
        <f>B17-B18</f>
        <v>71.428571428571431</v>
      </c>
      <c r="I21" s="137"/>
      <c r="J21" s="137"/>
      <c r="K21" s="137">
        <f>E17-E18</f>
        <v>142.85714285714286</v>
      </c>
      <c r="L21" s="137"/>
      <c r="M21" s="137"/>
      <c r="N21" s="137">
        <f>(H17-H18)*$E$35</f>
        <v>262.85714285714289</v>
      </c>
      <c r="O21" s="137"/>
      <c r="P21" s="137"/>
      <c r="Q21" s="137">
        <f>(K17-K18)*$E$35</f>
        <v>525.71428571428578</v>
      </c>
      <c r="R21" s="137"/>
      <c r="S21" s="137"/>
      <c r="T21" s="137">
        <f>(N17-N18)*$E$35</f>
        <v>1051.4285714285716</v>
      </c>
      <c r="U21" s="137"/>
      <c r="V21" s="137"/>
      <c r="W21" s="137">
        <f>((Q17-Q18)*$E$35)-(H21*$E$35)</f>
        <v>2037.1428571428573</v>
      </c>
      <c r="X21" s="137"/>
      <c r="Y21" s="137"/>
      <c r="Z21" s="137">
        <f>((T17-T18)*$E$35)-(K21*$E$35)</f>
        <v>4074.2857142857147</v>
      </c>
      <c r="AA21" s="137"/>
      <c r="AB21" s="137"/>
      <c r="AC21" s="137">
        <f>((W17-W18)*$E$35)-N21</f>
        <v>8148.5714285714294</v>
      </c>
      <c r="AD21" s="137"/>
      <c r="AE21" s="137"/>
      <c r="AF21" s="137">
        <f>((Z17-Z18)*$E$35)-Q21</f>
        <v>16297.142857142859</v>
      </c>
      <c r="AG21" s="137"/>
      <c r="AH21" s="137"/>
      <c r="AI21" s="137">
        <f>((AC17-AC18)*$E$35)-T21</f>
        <v>32594.285714285717</v>
      </c>
      <c r="AJ21" s="137"/>
      <c r="AK21" s="137"/>
      <c r="AL21" s="137">
        <f>((AF17-AF18)*$E$35)-W21</f>
        <v>65254.285714285725</v>
      </c>
      <c r="AM21" s="137"/>
      <c r="AN21" s="137"/>
      <c r="AO21" s="137">
        <f>((AI17-AI18)*$E$35)-Z21</f>
        <v>130508.57142857145</v>
      </c>
      <c r="AP21" s="138"/>
      <c r="AQ21" s="81" t="s">
        <v>172</v>
      </c>
    </row>
    <row r="22" spans="1:43" s="81" customFormat="1" x14ac:dyDescent="0.25">
      <c r="A22" s="81" t="s">
        <v>173</v>
      </c>
      <c r="B22" s="92"/>
      <c r="C22" s="93"/>
      <c r="D22" s="93"/>
      <c r="E22" s="93"/>
      <c r="F22" s="93"/>
      <c r="G22" s="94"/>
      <c r="H22" s="120"/>
      <c r="I22" s="120"/>
      <c r="J22" s="120"/>
      <c r="K22" s="120"/>
      <c r="L22" s="120"/>
      <c r="M22" s="121"/>
      <c r="N22" s="139">
        <f>(H17-H18)*($E$36+$E$37)</f>
        <v>22.857142857142858</v>
      </c>
      <c r="O22" s="139"/>
      <c r="P22" s="139"/>
      <c r="Q22" s="139">
        <f>(K17-K18)*($E$36+$E$37)</f>
        <v>45.714285714285715</v>
      </c>
      <c r="R22" s="139"/>
      <c r="S22" s="139"/>
      <c r="T22" s="139">
        <f>(N17-N18)*$E$36</f>
        <v>57.142857142857146</v>
      </c>
      <c r="U22" s="139"/>
      <c r="V22" s="139"/>
      <c r="W22" s="139">
        <f>(Q17-Q18)*$E$36</f>
        <v>114.28571428571429</v>
      </c>
      <c r="X22" s="139"/>
      <c r="Y22" s="139"/>
      <c r="Z22" s="139">
        <f>(T17-T18)*$E$36</f>
        <v>228.57142857142858</v>
      </c>
      <c r="AA22" s="139"/>
      <c r="AB22" s="139"/>
      <c r="AC22" s="139">
        <f>(W17-W18)*$E$36</f>
        <v>457.14285714285717</v>
      </c>
      <c r="AD22" s="139"/>
      <c r="AE22" s="139"/>
      <c r="AF22" s="139">
        <f>(Z17-Z18)*$E$36</f>
        <v>914.28571428571433</v>
      </c>
      <c r="AG22" s="139"/>
      <c r="AH22" s="139"/>
      <c r="AI22" s="139">
        <f>(AC17-AC18)*$E$36</f>
        <v>1828.5714285714287</v>
      </c>
      <c r="AJ22" s="139"/>
      <c r="AK22" s="139"/>
      <c r="AL22" s="139">
        <f>(AF17-AF18)*$E$36</f>
        <v>3657.1428571428573</v>
      </c>
      <c r="AM22" s="139"/>
      <c r="AN22" s="139"/>
      <c r="AO22" s="139">
        <f>(AI17-AI18)*$E$36</f>
        <v>7314.2857142857147</v>
      </c>
      <c r="AP22" s="140"/>
      <c r="AQ22" s="81" t="s">
        <v>173</v>
      </c>
    </row>
    <row r="23" spans="1:43" s="81" customFormat="1" x14ac:dyDescent="0.25">
      <c r="A23" s="59" t="s">
        <v>174</v>
      </c>
      <c r="B23" s="92"/>
      <c r="C23" s="93"/>
      <c r="D23" s="93"/>
      <c r="E23" s="93"/>
      <c r="F23" s="93"/>
      <c r="G23" s="94"/>
      <c r="H23" s="99"/>
      <c r="I23" s="99"/>
      <c r="J23" s="99"/>
      <c r="K23" s="99"/>
      <c r="L23" s="99"/>
      <c r="M23" s="99"/>
      <c r="N23" s="120"/>
      <c r="O23" s="120"/>
      <c r="P23" s="120"/>
      <c r="Q23" s="120"/>
      <c r="R23" s="120"/>
      <c r="S23" s="121"/>
      <c r="T23" s="52">
        <f>(N17-N18)*$E$37</f>
        <v>34.285714285714285</v>
      </c>
      <c r="U23" s="52"/>
      <c r="V23" s="52"/>
      <c r="W23" s="52">
        <f>(Q17-Q18)*$E$37</f>
        <v>68.571428571428569</v>
      </c>
      <c r="X23" s="52"/>
      <c r="Y23" s="52"/>
      <c r="Z23" s="52">
        <f>(T17-T18)*$E$37</f>
        <v>137.14285714285714</v>
      </c>
      <c r="AA23" s="52"/>
      <c r="AB23" s="52"/>
      <c r="AC23" s="52">
        <f>(W17-W18)*$E$37</f>
        <v>274.28571428571428</v>
      </c>
      <c r="AD23" s="52"/>
      <c r="AE23" s="52"/>
      <c r="AF23" s="52">
        <f>(Z17-Z18)*$E$37</f>
        <v>548.57142857142856</v>
      </c>
      <c r="AG23" s="52"/>
      <c r="AH23" s="52"/>
      <c r="AI23" s="52">
        <f>(AC17-AC18)*$E$37</f>
        <v>1097.1428571428571</v>
      </c>
      <c r="AJ23" s="52"/>
      <c r="AK23" s="52"/>
      <c r="AL23" s="52">
        <f>(AF17-AF18)*$E$37</f>
        <v>2194.2857142857142</v>
      </c>
      <c r="AM23" s="52"/>
      <c r="AN23" s="52"/>
      <c r="AO23" s="52">
        <f>(AI17-AI18)*$E$37</f>
        <v>4388.5714285714284</v>
      </c>
      <c r="AP23" s="141"/>
      <c r="AQ23" s="59" t="s">
        <v>174</v>
      </c>
    </row>
    <row r="24" spans="1:43" s="81" customFormat="1" x14ac:dyDescent="0.25">
      <c r="A24" s="59" t="s">
        <v>179</v>
      </c>
      <c r="B24" s="98"/>
      <c r="C24" s="99"/>
      <c r="D24" s="99"/>
      <c r="E24" s="99"/>
      <c r="F24" s="99"/>
      <c r="G24" s="46"/>
      <c r="H24" s="99"/>
      <c r="I24" s="99"/>
      <c r="J24" s="99"/>
      <c r="K24" s="99"/>
      <c r="L24" s="99"/>
      <c r="M24" s="99"/>
      <c r="N24" s="99"/>
      <c r="O24" s="99"/>
      <c r="P24" s="99"/>
      <c r="Q24" s="99"/>
      <c r="R24" s="99"/>
      <c r="S24" s="99"/>
      <c r="T24" s="120"/>
      <c r="U24" s="121"/>
      <c r="V24" s="122">
        <f>H21*$E$35</f>
        <v>65.714285714285722</v>
      </c>
      <c r="W24" s="122"/>
      <c r="X24" s="122"/>
      <c r="Y24" s="122">
        <f>K21*$E$35</f>
        <v>131.42857142857144</v>
      </c>
      <c r="Z24" s="122"/>
      <c r="AA24" s="122"/>
      <c r="AB24" s="122">
        <f>N21</f>
        <v>262.85714285714289</v>
      </c>
      <c r="AC24" s="122"/>
      <c r="AD24" s="122"/>
      <c r="AE24" s="122">
        <f>Q21</f>
        <v>525.71428571428578</v>
      </c>
      <c r="AF24" s="122"/>
      <c r="AG24" s="122"/>
      <c r="AH24" s="122">
        <f>T21</f>
        <v>1051.4285714285716</v>
      </c>
      <c r="AI24" s="122"/>
      <c r="AJ24" s="122"/>
      <c r="AK24" s="122">
        <f>W21</f>
        <v>2037.1428571428573</v>
      </c>
      <c r="AL24" s="122"/>
      <c r="AM24" s="122"/>
      <c r="AN24" s="122">
        <f>Z21</f>
        <v>4074.2857142857147</v>
      </c>
      <c r="AO24" s="122"/>
      <c r="AP24" s="123"/>
      <c r="AQ24" s="59" t="s">
        <v>179</v>
      </c>
    </row>
    <row r="25" spans="1:43" x14ac:dyDescent="0.25">
      <c r="A25" s="59" t="s">
        <v>168</v>
      </c>
      <c r="B25" s="112"/>
      <c r="C25" s="113"/>
      <c r="D25" s="113"/>
      <c r="E25" s="113"/>
      <c r="F25" s="113"/>
      <c r="G25" s="114"/>
      <c r="H25" s="105"/>
      <c r="I25" s="105"/>
      <c r="J25" s="105"/>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c r="AN25" s="105"/>
      <c r="AO25" s="105"/>
      <c r="AP25" s="146">
        <f>E32</f>
        <v>1</v>
      </c>
      <c r="AQ25" s="59" t="s">
        <v>168</v>
      </c>
    </row>
    <row r="26" spans="1:43" x14ac:dyDescent="0.25">
      <c r="A26" s="147" t="s">
        <v>196</v>
      </c>
      <c r="B26" s="102">
        <f t="shared" ref="B26:G26" ca="1" si="0">C26-1</f>
        <v>43941.634584259256</v>
      </c>
      <c r="C26" s="103">
        <f t="shared" ca="1" si="0"/>
        <v>43942.634584259256</v>
      </c>
      <c r="D26" s="103">
        <f t="shared" ca="1" si="0"/>
        <v>43943.634584259256</v>
      </c>
      <c r="E26" s="103">
        <f t="shared" ca="1" si="0"/>
        <v>43944.634584259256</v>
      </c>
      <c r="F26" s="103">
        <f t="shared" ca="1" si="0"/>
        <v>43945.634584259256</v>
      </c>
      <c r="G26" s="104">
        <f t="shared" ca="1" si="0"/>
        <v>43946.634584259256</v>
      </c>
      <c r="H26" s="103">
        <f t="shared" ref="H26:U26" ca="1" si="1">I26-1</f>
        <v>43947.634584259256</v>
      </c>
      <c r="I26" s="103">
        <f t="shared" ca="1" si="1"/>
        <v>43948.634584259256</v>
      </c>
      <c r="J26" s="103">
        <f t="shared" ca="1" si="1"/>
        <v>43949.634584259256</v>
      </c>
      <c r="K26" s="103">
        <f t="shared" ca="1" si="1"/>
        <v>43950.634584259256</v>
      </c>
      <c r="L26" s="103">
        <f t="shared" ca="1" si="1"/>
        <v>43951.634584259256</v>
      </c>
      <c r="M26" s="103">
        <f t="shared" ca="1" si="1"/>
        <v>43952.634584259256</v>
      </c>
      <c r="N26" s="104">
        <f t="shared" ca="1" si="1"/>
        <v>43953.634584259256</v>
      </c>
      <c r="O26" s="102">
        <f t="shared" ca="1" si="1"/>
        <v>43954.634584259256</v>
      </c>
      <c r="P26" s="103">
        <f t="shared" ca="1" si="1"/>
        <v>43955.634584259256</v>
      </c>
      <c r="Q26" s="103">
        <f t="shared" ca="1" si="1"/>
        <v>43956.634584259256</v>
      </c>
      <c r="R26" s="103">
        <f t="shared" ca="1" si="1"/>
        <v>43957.634584259256</v>
      </c>
      <c r="S26" s="103">
        <f t="shared" ca="1" si="1"/>
        <v>43958.634584259256</v>
      </c>
      <c r="T26" s="103">
        <f t="shared" ca="1" si="1"/>
        <v>43959.634584259256</v>
      </c>
      <c r="U26" s="104">
        <f t="shared" ca="1" si="1"/>
        <v>43960.634584259256</v>
      </c>
      <c r="V26" s="102">
        <f t="shared" ref="V26:AN26" ca="1" si="2">W26-1</f>
        <v>43961.634584259256</v>
      </c>
      <c r="W26" s="103">
        <f t="shared" ca="1" si="2"/>
        <v>43962.634584259256</v>
      </c>
      <c r="X26" s="103">
        <f t="shared" ca="1" si="2"/>
        <v>43963.634584259256</v>
      </c>
      <c r="Y26" s="103">
        <f t="shared" ca="1" si="2"/>
        <v>43964.634584259256</v>
      </c>
      <c r="Z26" s="103">
        <f t="shared" ca="1" si="2"/>
        <v>43965.634584259256</v>
      </c>
      <c r="AA26" s="103">
        <f t="shared" ca="1" si="2"/>
        <v>43966.634584259256</v>
      </c>
      <c r="AB26" s="104">
        <f t="shared" ca="1" si="2"/>
        <v>43967.634584259256</v>
      </c>
      <c r="AC26" s="102">
        <f t="shared" ca="1" si="2"/>
        <v>43968.634584259256</v>
      </c>
      <c r="AD26" s="103">
        <f t="shared" ca="1" si="2"/>
        <v>43969.634584259256</v>
      </c>
      <c r="AE26" s="103">
        <f t="shared" ca="1" si="2"/>
        <v>43970.634584259256</v>
      </c>
      <c r="AF26" s="103">
        <f t="shared" ca="1" si="2"/>
        <v>43971.634584259256</v>
      </c>
      <c r="AG26" s="103">
        <f t="shared" ca="1" si="2"/>
        <v>43972.634584259256</v>
      </c>
      <c r="AH26" s="103">
        <f t="shared" ca="1" si="2"/>
        <v>43973.634584259256</v>
      </c>
      <c r="AI26" s="104">
        <f t="shared" ca="1" si="2"/>
        <v>43974.634584259256</v>
      </c>
      <c r="AJ26" s="102">
        <f t="shared" ca="1" si="2"/>
        <v>43975.634584259256</v>
      </c>
      <c r="AK26" s="103">
        <f t="shared" ca="1" si="2"/>
        <v>43976.634584259256</v>
      </c>
      <c r="AL26" s="103">
        <f t="shared" ca="1" si="2"/>
        <v>43977.634584259256</v>
      </c>
      <c r="AM26" s="103">
        <f t="shared" ca="1" si="2"/>
        <v>43978.634584259256</v>
      </c>
      <c r="AN26" s="103">
        <f t="shared" ca="1" si="2"/>
        <v>43979.634584259256</v>
      </c>
      <c r="AO26" s="103">
        <f ca="1">AP26-1</f>
        <v>43980.634584259256</v>
      </c>
      <c r="AP26" s="124">
        <f ca="1">NOW()</f>
        <v>43981.634584259256</v>
      </c>
    </row>
    <row r="27" spans="1:43" x14ac:dyDescent="0.25">
      <c r="A27" s="148" t="s">
        <v>197</v>
      </c>
      <c r="B27" s="131">
        <v>1</v>
      </c>
      <c r="C27" s="132">
        <v>2</v>
      </c>
      <c r="D27" s="131">
        <v>3</v>
      </c>
      <c r="E27" s="132">
        <v>4</v>
      </c>
      <c r="F27" s="131">
        <v>5</v>
      </c>
      <c r="G27" s="133">
        <v>6</v>
      </c>
      <c r="H27" s="132">
        <v>7</v>
      </c>
      <c r="I27" s="132">
        <v>8</v>
      </c>
      <c r="J27" s="132">
        <v>9</v>
      </c>
      <c r="K27" s="132">
        <v>10</v>
      </c>
      <c r="L27" s="132">
        <v>11</v>
      </c>
      <c r="M27" s="132">
        <v>12</v>
      </c>
      <c r="N27" s="133">
        <v>13</v>
      </c>
      <c r="O27" s="131">
        <v>14</v>
      </c>
      <c r="P27" s="132">
        <v>15</v>
      </c>
      <c r="Q27" s="132">
        <v>16</v>
      </c>
      <c r="R27" s="132">
        <v>17</v>
      </c>
      <c r="S27" s="132">
        <v>18</v>
      </c>
      <c r="T27" s="132">
        <v>19</v>
      </c>
      <c r="U27" s="133">
        <v>20</v>
      </c>
      <c r="V27" s="131">
        <v>21</v>
      </c>
      <c r="W27" s="132">
        <v>22</v>
      </c>
      <c r="X27" s="132">
        <v>23</v>
      </c>
      <c r="Y27" s="132">
        <v>24</v>
      </c>
      <c r="Z27" s="132">
        <v>25</v>
      </c>
      <c r="AA27" s="132">
        <v>26</v>
      </c>
      <c r="AB27" s="133">
        <v>27</v>
      </c>
      <c r="AC27" s="131">
        <v>28</v>
      </c>
      <c r="AD27" s="132">
        <v>29</v>
      </c>
      <c r="AE27" s="132">
        <v>30</v>
      </c>
      <c r="AF27" s="132">
        <v>31</v>
      </c>
      <c r="AG27" s="132">
        <v>32</v>
      </c>
      <c r="AH27" s="132">
        <v>33</v>
      </c>
      <c r="AI27" s="133">
        <v>34</v>
      </c>
      <c r="AJ27" s="131">
        <v>35</v>
      </c>
      <c r="AK27" s="132">
        <v>36</v>
      </c>
      <c r="AL27" s="132">
        <v>37</v>
      </c>
      <c r="AM27" s="132">
        <v>38</v>
      </c>
      <c r="AN27" s="132">
        <v>39</v>
      </c>
      <c r="AO27" s="132">
        <v>40</v>
      </c>
      <c r="AP27" s="133">
        <v>41</v>
      </c>
    </row>
    <row r="28" spans="1:43" x14ac:dyDescent="0.25">
      <c r="A28" s="149" t="s">
        <v>198</v>
      </c>
      <c r="B28" s="299" t="s">
        <v>166</v>
      </c>
      <c r="C28" s="300"/>
      <c r="D28" s="300"/>
      <c r="E28" s="300"/>
      <c r="F28" s="300"/>
      <c r="G28" s="301"/>
      <c r="H28" s="305" t="s">
        <v>154</v>
      </c>
      <c r="I28" s="305"/>
      <c r="J28" s="305"/>
      <c r="K28" s="305"/>
      <c r="L28" s="305"/>
      <c r="M28" s="305"/>
      <c r="N28" s="306"/>
      <c r="O28" s="304" t="s">
        <v>155</v>
      </c>
      <c r="P28" s="305"/>
      <c r="Q28" s="305"/>
      <c r="R28" s="305"/>
      <c r="S28" s="305"/>
      <c r="T28" s="305"/>
      <c r="U28" s="306"/>
      <c r="V28" s="304" t="s">
        <v>156</v>
      </c>
      <c r="W28" s="305"/>
      <c r="X28" s="305"/>
      <c r="Y28" s="305"/>
      <c r="Z28" s="305"/>
      <c r="AA28" s="305"/>
      <c r="AB28" s="306"/>
      <c r="AC28" s="304" t="s">
        <v>157</v>
      </c>
      <c r="AD28" s="305"/>
      <c r="AE28" s="305"/>
      <c r="AF28" s="305"/>
      <c r="AG28" s="305"/>
      <c r="AH28" s="305"/>
      <c r="AI28" s="306"/>
      <c r="AJ28" s="304" t="s">
        <v>158</v>
      </c>
      <c r="AK28" s="305"/>
      <c r="AL28" s="305"/>
      <c r="AM28" s="305"/>
      <c r="AN28" s="305"/>
      <c r="AO28" s="305"/>
      <c r="AP28" s="306"/>
    </row>
    <row r="29" spans="1:43" x14ac:dyDescent="0.25">
      <c r="B29" s="63" t="s">
        <v>178</v>
      </c>
      <c r="C29" s="109"/>
      <c r="D29" s="109"/>
      <c r="E29" s="109"/>
      <c r="F29" s="109"/>
      <c r="G29" s="110"/>
      <c r="H29" s="302" t="s">
        <v>165</v>
      </c>
      <c r="I29" s="302"/>
      <c r="J29" s="302"/>
      <c r="K29" s="302"/>
      <c r="L29" s="302"/>
      <c r="M29" s="302"/>
      <c r="N29" s="302"/>
      <c r="O29" s="302"/>
      <c r="P29" s="302"/>
      <c r="Q29" s="302"/>
      <c r="R29" s="302"/>
      <c r="S29" s="302"/>
      <c r="T29" s="302"/>
      <c r="U29" s="302"/>
      <c r="V29" s="302"/>
      <c r="W29" s="302"/>
      <c r="X29" s="302"/>
      <c r="Y29" s="302"/>
      <c r="Z29" s="302"/>
      <c r="AA29" s="302"/>
      <c r="AB29" s="302"/>
      <c r="AC29" s="302"/>
      <c r="AD29" s="302"/>
      <c r="AE29" s="302"/>
      <c r="AF29" s="302"/>
      <c r="AG29" s="302"/>
      <c r="AH29" s="302"/>
      <c r="AI29" s="302"/>
      <c r="AJ29" s="302"/>
      <c r="AK29" s="302"/>
      <c r="AL29" s="302"/>
      <c r="AM29" s="302"/>
      <c r="AN29" s="302"/>
      <c r="AO29" s="302"/>
      <c r="AP29" s="303"/>
    </row>
    <row r="31" spans="1:43" x14ac:dyDescent="0.25">
      <c r="B31" s="69" t="s">
        <v>167</v>
      </c>
      <c r="C31" s="152" t="s">
        <v>289</v>
      </c>
      <c r="D31" s="21"/>
      <c r="E31" s="97">
        <f>VLOOKUP(C31,B43:C54,2,FALSE)</f>
        <v>1.4E-2</v>
      </c>
      <c r="F31" s="21"/>
      <c r="G31" s="21"/>
      <c r="H31" s="21"/>
      <c r="I31" s="17"/>
    </row>
    <row r="32" spans="1:43" x14ac:dyDescent="0.25">
      <c r="B32" s="53" t="s">
        <v>195</v>
      </c>
      <c r="C32" s="28"/>
      <c r="D32" s="28"/>
      <c r="E32" s="153">
        <v>1</v>
      </c>
      <c r="F32" s="28"/>
      <c r="G32" s="28"/>
      <c r="H32" s="28"/>
      <c r="I32" s="29"/>
    </row>
    <row r="33" spans="2:9" x14ac:dyDescent="0.25">
      <c r="B33" s="53" t="s">
        <v>169</v>
      </c>
      <c r="C33" s="28"/>
      <c r="D33" s="28"/>
      <c r="E33" s="28">
        <v>3</v>
      </c>
      <c r="F33" s="28" t="s">
        <v>170</v>
      </c>
      <c r="G33" s="28"/>
      <c r="H33" s="28"/>
      <c r="I33" s="29"/>
    </row>
    <row r="34" spans="2:9" x14ac:dyDescent="0.25">
      <c r="B34" s="53" t="s">
        <v>288</v>
      </c>
      <c r="C34" s="28"/>
      <c r="D34" s="28"/>
      <c r="E34" s="154">
        <f>1-Projections!B25</f>
        <v>0</v>
      </c>
      <c r="F34" s="28" t="s">
        <v>193</v>
      </c>
      <c r="G34" s="28"/>
      <c r="H34" s="28"/>
      <c r="I34" s="29"/>
    </row>
    <row r="35" spans="2:9" x14ac:dyDescent="0.25">
      <c r="B35" s="53" t="s">
        <v>175</v>
      </c>
      <c r="C35" s="28"/>
      <c r="D35" s="28"/>
      <c r="E35" s="154">
        <v>0.92</v>
      </c>
      <c r="F35" s="28" t="s">
        <v>194</v>
      </c>
      <c r="G35" s="28"/>
      <c r="H35" s="28"/>
      <c r="I35" s="29"/>
    </row>
    <row r="36" spans="2:9" x14ac:dyDescent="0.25">
      <c r="B36" s="53" t="s">
        <v>176</v>
      </c>
      <c r="C36" s="28"/>
      <c r="D36" s="28"/>
      <c r="E36" s="154">
        <v>0.05</v>
      </c>
      <c r="F36" s="28" t="s">
        <v>194</v>
      </c>
      <c r="G36" s="28"/>
      <c r="H36" s="28"/>
      <c r="I36" s="29"/>
    </row>
    <row r="37" spans="2:9" x14ac:dyDescent="0.25">
      <c r="B37" s="53" t="s">
        <v>177</v>
      </c>
      <c r="C37" s="28"/>
      <c r="D37" s="28"/>
      <c r="E37" s="154">
        <v>0.03</v>
      </c>
      <c r="F37" s="28" t="s">
        <v>194</v>
      </c>
      <c r="G37" s="28"/>
      <c r="H37" s="28"/>
      <c r="I37" s="29"/>
    </row>
    <row r="38" spans="2:9" x14ac:dyDescent="0.25">
      <c r="B38" s="53" t="s">
        <v>180</v>
      </c>
      <c r="C38" s="28"/>
      <c r="D38" s="28"/>
      <c r="E38" s="150">
        <v>2</v>
      </c>
      <c r="F38" s="28" t="s">
        <v>181</v>
      </c>
      <c r="G38" s="28"/>
      <c r="H38" s="28"/>
      <c r="I38" s="29"/>
    </row>
    <row r="39" spans="2:9" x14ac:dyDescent="0.25">
      <c r="B39" s="49" t="s">
        <v>182</v>
      </c>
      <c r="C39" s="151"/>
      <c r="D39" s="51"/>
      <c r="E39" s="130">
        <v>4</v>
      </c>
      <c r="F39" s="51" t="s">
        <v>181</v>
      </c>
      <c r="G39" s="51" t="s">
        <v>183</v>
      </c>
      <c r="H39" s="51"/>
      <c r="I39" s="75"/>
    </row>
    <row r="42" spans="2:9" x14ac:dyDescent="0.25">
      <c r="B42" t="s">
        <v>189</v>
      </c>
    </row>
    <row r="43" spans="2:9" x14ac:dyDescent="0.25">
      <c r="B43" s="16" t="s">
        <v>188</v>
      </c>
      <c r="C43" s="129">
        <v>3.5000000000000003E-2</v>
      </c>
    </row>
    <row r="44" spans="2:9" x14ac:dyDescent="0.25">
      <c r="B44" s="53" t="s">
        <v>187</v>
      </c>
      <c r="C44" s="39">
        <v>2.3E-2</v>
      </c>
    </row>
    <row r="45" spans="2:9" x14ac:dyDescent="0.25">
      <c r="B45" s="53" t="s">
        <v>289</v>
      </c>
      <c r="C45" s="39">
        <f>Projections!B32</f>
        <v>1.4E-2</v>
      </c>
    </row>
    <row r="46" spans="2:9" x14ac:dyDescent="0.25">
      <c r="B46" s="53" t="s">
        <v>13</v>
      </c>
      <c r="C46" s="39">
        <v>0.14799999999999999</v>
      </c>
    </row>
    <row r="47" spans="2:9" x14ac:dyDescent="0.25">
      <c r="B47" s="53" t="s">
        <v>14</v>
      </c>
      <c r="C47" s="39">
        <v>0.08</v>
      </c>
    </row>
    <row r="48" spans="2:9" x14ac:dyDescent="0.25">
      <c r="B48" s="53" t="s">
        <v>15</v>
      </c>
      <c r="C48" s="39">
        <v>3.5999999999999997E-2</v>
      </c>
    </row>
    <row r="49" spans="2:22" x14ac:dyDescent="0.25">
      <c r="B49" s="53" t="s">
        <v>16</v>
      </c>
      <c r="C49" s="39">
        <v>1.2999999999999999E-2</v>
      </c>
      <c r="V49" s="134"/>
    </row>
    <row r="50" spans="2:22" x14ac:dyDescent="0.25">
      <c r="B50" s="53" t="s">
        <v>17</v>
      </c>
      <c r="C50" s="39">
        <v>4.0000000000000001E-3</v>
      </c>
    </row>
    <row r="51" spans="2:22" x14ac:dyDescent="0.25">
      <c r="B51" s="53" t="s">
        <v>18</v>
      </c>
      <c r="C51" s="39">
        <v>2E-3</v>
      </c>
    </row>
    <row r="52" spans="2:22" x14ac:dyDescent="0.25">
      <c r="B52" s="53" t="s">
        <v>19</v>
      </c>
      <c r="C52" s="39">
        <v>2E-3</v>
      </c>
    </row>
    <row r="53" spans="2:22" x14ac:dyDescent="0.25">
      <c r="B53" s="54" t="s">
        <v>20</v>
      </c>
      <c r="C53" s="39">
        <v>2E-3</v>
      </c>
    </row>
    <row r="54" spans="2:22" x14ac:dyDescent="0.25">
      <c r="B54" s="55" t="s">
        <v>21</v>
      </c>
      <c r="C54" s="40">
        <v>0</v>
      </c>
    </row>
    <row r="56" spans="2:22" x14ac:dyDescent="0.25">
      <c r="B56" t="s">
        <v>199</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J105"/>
  <sheetViews>
    <sheetView tabSelected="1" zoomScale="85" zoomScaleNormal="85" workbookViewId="0">
      <selection activeCell="O25" sqref="O25"/>
    </sheetView>
  </sheetViews>
  <sheetFormatPr defaultRowHeight="15" x14ac:dyDescent="0.25"/>
  <cols>
    <col min="1" max="1" width="44.28515625" customWidth="1"/>
    <col min="2" max="2" width="16.7109375" bestFit="1" customWidth="1"/>
    <col min="3" max="3" width="10.7109375" bestFit="1" customWidth="1"/>
    <col min="4" max="4" width="13.5703125" bestFit="1" customWidth="1"/>
    <col min="5" max="5" width="10.7109375" bestFit="1" customWidth="1"/>
    <col min="6" max="6" width="11.28515625" customWidth="1"/>
    <col min="7" max="7" width="10.7109375" customWidth="1"/>
    <col min="8" max="8" width="10.85546875" bestFit="1" customWidth="1"/>
    <col min="9" max="9" width="10.7109375" bestFit="1" customWidth="1"/>
    <col min="10" max="11" width="10.85546875" bestFit="1" customWidth="1"/>
    <col min="12" max="12" width="10.5703125" customWidth="1"/>
    <col min="13" max="13" width="11.28515625" bestFit="1" customWidth="1"/>
    <col min="14" max="19" width="11" customWidth="1"/>
    <col min="20" max="20" width="10.7109375" customWidth="1"/>
    <col min="21" max="22" width="10.85546875" bestFit="1" customWidth="1"/>
    <col min="23" max="23" width="10.85546875" customWidth="1"/>
    <col min="24" max="24" width="10.7109375" bestFit="1" customWidth="1"/>
    <col min="25" max="25" width="10.85546875" bestFit="1" customWidth="1"/>
    <col min="26" max="26" width="11.28515625" customWidth="1"/>
    <col min="27" max="28" width="10.7109375" bestFit="1" customWidth="1"/>
    <col min="29" max="29" width="10.7109375" customWidth="1"/>
    <col min="30" max="30" width="11.28515625" customWidth="1"/>
    <col min="31" max="31" width="10.85546875" bestFit="1" customWidth="1"/>
    <col min="32" max="32" width="11.28515625" bestFit="1" customWidth="1"/>
    <col min="33" max="33" width="10.5703125" style="81" bestFit="1" customWidth="1"/>
    <col min="34" max="34" width="11.140625" bestFit="1" customWidth="1"/>
    <col min="35" max="35" width="12.140625" bestFit="1" customWidth="1"/>
  </cols>
  <sheetData>
    <row r="1" spans="4:19" x14ac:dyDescent="0.25">
      <c r="D1" t="s">
        <v>219</v>
      </c>
    </row>
    <row r="2" spans="4:19" x14ac:dyDescent="0.25">
      <c r="D2" s="173">
        <v>43862</v>
      </c>
      <c r="E2" s="174" t="s">
        <v>266</v>
      </c>
      <c r="F2" s="173">
        <f>D2+14</f>
        <v>43876</v>
      </c>
    </row>
    <row r="3" spans="4:19" x14ac:dyDescent="0.25">
      <c r="F3" s="173">
        <v>43891</v>
      </c>
      <c r="G3" s="174" t="s">
        <v>267</v>
      </c>
      <c r="H3" s="174"/>
      <c r="I3" s="174"/>
      <c r="J3" s="173">
        <f>F3+14</f>
        <v>43905</v>
      </c>
    </row>
    <row r="4" spans="4:19" x14ac:dyDescent="0.25">
      <c r="G4" s="173">
        <v>43895</v>
      </c>
      <c r="H4" s="174" t="s">
        <v>268</v>
      </c>
      <c r="I4" s="174"/>
      <c r="J4" s="174"/>
      <c r="K4" s="173">
        <f>G4+14</f>
        <v>43909</v>
      </c>
    </row>
    <row r="5" spans="4:19" x14ac:dyDescent="0.25">
      <c r="I5" s="173">
        <v>43901</v>
      </c>
      <c r="J5" s="174" t="s">
        <v>271</v>
      </c>
      <c r="K5" s="174"/>
      <c r="L5" s="174"/>
      <c r="M5" s="173">
        <f>I5+14</f>
        <v>43915</v>
      </c>
    </row>
    <row r="6" spans="4:19" x14ac:dyDescent="0.25">
      <c r="J6" s="173">
        <v>43906</v>
      </c>
      <c r="K6" s="174" t="s">
        <v>269</v>
      </c>
      <c r="L6" s="174"/>
      <c r="M6" s="174"/>
      <c r="N6" s="173">
        <f>J6+14</f>
        <v>43920</v>
      </c>
      <c r="O6" s="181"/>
    </row>
    <row r="7" spans="4:19" x14ac:dyDescent="0.25">
      <c r="K7" s="173">
        <v>43908</v>
      </c>
      <c r="L7" s="207" t="s">
        <v>270</v>
      </c>
      <c r="M7" s="207"/>
      <c r="N7" s="173">
        <f>K7+14</f>
        <v>43922</v>
      </c>
      <c r="O7" s="181"/>
    </row>
    <row r="8" spans="4:19" x14ac:dyDescent="0.25">
      <c r="K8" s="173">
        <v>43909</v>
      </c>
      <c r="L8" s="174" t="s">
        <v>291</v>
      </c>
      <c r="M8" s="174"/>
      <c r="N8" s="173">
        <v>43923</v>
      </c>
    </row>
    <row r="9" spans="4:19" x14ac:dyDescent="0.25">
      <c r="L9" s="173">
        <v>43911</v>
      </c>
      <c r="M9" s="174" t="s">
        <v>294</v>
      </c>
      <c r="N9" s="173">
        <f>L9+14</f>
        <v>43925</v>
      </c>
      <c r="O9" s="181"/>
      <c r="P9" s="181"/>
      <c r="Q9" s="181"/>
    </row>
    <row r="10" spans="4:19" x14ac:dyDescent="0.25">
      <c r="L10" s="173">
        <v>43913</v>
      </c>
      <c r="M10" s="174" t="s">
        <v>216</v>
      </c>
      <c r="N10" s="173">
        <f>L10+14</f>
        <v>43927</v>
      </c>
      <c r="O10" s="181"/>
      <c r="P10" s="181"/>
      <c r="Q10" s="181"/>
    </row>
    <row r="11" spans="4:19" x14ac:dyDescent="0.25">
      <c r="M11" s="175">
        <v>43914</v>
      </c>
      <c r="N11" s="207" t="s">
        <v>292</v>
      </c>
      <c r="O11" s="175">
        <v>43928</v>
      </c>
    </row>
    <row r="12" spans="4:19" x14ac:dyDescent="0.25">
      <c r="L12" s="28"/>
      <c r="M12" s="175">
        <v>43915</v>
      </c>
      <c r="N12" s="207" t="s">
        <v>293</v>
      </c>
      <c r="O12" s="175">
        <v>43929</v>
      </c>
    </row>
    <row r="13" spans="4:19" x14ac:dyDescent="0.25">
      <c r="M13" s="175">
        <v>43915</v>
      </c>
      <c r="N13" s="207" t="s">
        <v>217</v>
      </c>
      <c r="O13" s="175">
        <f>M13+14</f>
        <v>43929</v>
      </c>
      <c r="P13" s="81"/>
      <c r="Q13" s="81"/>
      <c r="R13" s="81"/>
    </row>
    <row r="14" spans="4:19" x14ac:dyDescent="0.25">
      <c r="N14" s="173">
        <v>43920</v>
      </c>
      <c r="O14" s="174" t="s">
        <v>218</v>
      </c>
      <c r="P14" s="173">
        <f>N14+14</f>
        <v>43934</v>
      </c>
      <c r="Q14" s="181"/>
      <c r="R14" s="181"/>
    </row>
    <row r="15" spans="4:19" x14ac:dyDescent="0.25">
      <c r="P15" s="278">
        <v>43948</v>
      </c>
      <c r="Q15" t="s">
        <v>298</v>
      </c>
    </row>
    <row r="16" spans="4:19" x14ac:dyDescent="0.25">
      <c r="M16" s="59"/>
      <c r="N16" s="59"/>
      <c r="O16" s="59"/>
      <c r="P16" s="164">
        <v>43949</v>
      </c>
      <c r="Q16" s="59" t="s">
        <v>299</v>
      </c>
      <c r="R16" s="59"/>
      <c r="S16" s="181"/>
    </row>
    <row r="17" spans="1:31" x14ac:dyDescent="0.25">
      <c r="P17" s="278">
        <v>43959</v>
      </c>
      <c r="Q17" t="s">
        <v>306</v>
      </c>
      <c r="S17" s="181"/>
    </row>
    <row r="18" spans="1:31" x14ac:dyDescent="0.25">
      <c r="O18" s="278"/>
      <c r="P18" s="278">
        <v>43961</v>
      </c>
      <c r="Q18" t="s">
        <v>307</v>
      </c>
      <c r="S18" s="181"/>
    </row>
    <row r="19" spans="1:31" x14ac:dyDescent="0.25">
      <c r="P19" s="278">
        <v>43964</v>
      </c>
      <c r="Q19" t="s">
        <v>308</v>
      </c>
    </row>
    <row r="20" spans="1:31" x14ac:dyDescent="0.25">
      <c r="Q20" s="278">
        <v>43968</v>
      </c>
      <c r="R20" t="s">
        <v>309</v>
      </c>
    </row>
    <row r="21" spans="1:31" x14ac:dyDescent="0.25">
      <c r="Q21" s="278">
        <v>43969</v>
      </c>
      <c r="R21" t="s">
        <v>310</v>
      </c>
    </row>
    <row r="22" spans="1:31" x14ac:dyDescent="0.25">
      <c r="Q22" s="278">
        <v>43969</v>
      </c>
      <c r="R22" t="s">
        <v>311</v>
      </c>
    </row>
    <row r="23" spans="1:31" x14ac:dyDescent="0.25">
      <c r="A23" s="16" t="s">
        <v>0</v>
      </c>
      <c r="B23" s="169">
        <v>25634000</v>
      </c>
      <c r="C23" t="s">
        <v>151</v>
      </c>
      <c r="Q23" s="278">
        <v>43970</v>
      </c>
      <c r="R23" t="s">
        <v>312</v>
      </c>
      <c r="S23" s="181"/>
    </row>
    <row r="24" spans="1:31" x14ac:dyDescent="0.25">
      <c r="A24" s="69" t="s">
        <v>313</v>
      </c>
      <c r="B24" s="291">
        <v>1.4E-2</v>
      </c>
      <c r="Q24" s="278">
        <v>43972</v>
      </c>
      <c r="R24" t="s">
        <v>315</v>
      </c>
      <c r="S24" s="181"/>
    </row>
    <row r="25" spans="1:31" x14ac:dyDescent="0.25">
      <c r="A25" s="16" t="s">
        <v>213</v>
      </c>
      <c r="B25" s="170">
        <f>B24/B32</f>
        <v>1</v>
      </c>
      <c r="C25" t="s">
        <v>314</v>
      </c>
      <c r="Q25" s="278">
        <v>43979</v>
      </c>
      <c r="R25" t="s">
        <v>317</v>
      </c>
      <c r="S25" s="81"/>
    </row>
    <row r="26" spans="1:31" x14ac:dyDescent="0.25">
      <c r="A26" s="49" t="s">
        <v>215</v>
      </c>
      <c r="B26" s="128">
        <v>0.2</v>
      </c>
      <c r="Q26" s="278">
        <v>43980</v>
      </c>
      <c r="R26" t="s">
        <v>316</v>
      </c>
      <c r="S26" s="181"/>
    </row>
    <row r="27" spans="1:31" x14ac:dyDescent="0.25">
      <c r="A27" s="53" t="s">
        <v>144</v>
      </c>
      <c r="B27" s="125">
        <v>2.6</v>
      </c>
      <c r="C27" s="76">
        <f>(B23/1000)*B27</f>
        <v>66648.400000000009</v>
      </c>
      <c r="L27" s="164"/>
      <c r="Q27" s="278">
        <v>43983</v>
      </c>
      <c r="R27" t="s">
        <v>318</v>
      </c>
    </row>
    <row r="28" spans="1:31" x14ac:dyDescent="0.25">
      <c r="A28" s="53" t="s">
        <v>145</v>
      </c>
      <c r="B28" s="125">
        <v>7.4</v>
      </c>
      <c r="C28" s="73">
        <f>(B23/100000)*B28</f>
        <v>1896.9159999999999</v>
      </c>
      <c r="X28" s="134"/>
      <c r="Y28" s="278"/>
    </row>
    <row r="29" spans="1:31" x14ac:dyDescent="0.25">
      <c r="A29" s="16" t="s">
        <v>172</v>
      </c>
      <c r="B29" s="126">
        <v>0.92</v>
      </c>
      <c r="C29" s="2" t="s">
        <v>286</v>
      </c>
      <c r="W29" s="278"/>
      <c r="X29" s="134"/>
      <c r="AA29" s="278"/>
    </row>
    <row r="30" spans="1:31" x14ac:dyDescent="0.25">
      <c r="A30" s="53" t="s">
        <v>173</v>
      </c>
      <c r="B30" s="127">
        <v>0.05</v>
      </c>
      <c r="C30" s="2" t="s">
        <v>285</v>
      </c>
      <c r="X30" s="134"/>
      <c r="Y30" s="278"/>
      <c r="Z30" s="278"/>
    </row>
    <row r="31" spans="1:31" x14ac:dyDescent="0.25">
      <c r="A31" s="49" t="s">
        <v>209</v>
      </c>
      <c r="B31" s="128">
        <v>0.03</v>
      </c>
      <c r="C31" s="2" t="s">
        <v>284</v>
      </c>
      <c r="D31" s="233" t="s">
        <v>279</v>
      </c>
      <c r="K31" s="164"/>
      <c r="O31" s="191"/>
      <c r="P31" s="191"/>
      <c r="Q31" s="191"/>
      <c r="S31" s="59"/>
      <c r="T31" s="81"/>
      <c r="U31" s="81"/>
      <c r="AE31" s="191"/>
    </row>
    <row r="32" spans="1:31" x14ac:dyDescent="0.25">
      <c r="A32" s="49" t="s">
        <v>214</v>
      </c>
      <c r="B32" s="77">
        <v>1.4E-2</v>
      </c>
      <c r="C32" s="2"/>
      <c r="D32" s="194" t="s">
        <v>265</v>
      </c>
      <c r="K32" s="164"/>
      <c r="L32" s="59"/>
      <c r="M32" s="59"/>
      <c r="N32" s="59"/>
      <c r="P32" s="59"/>
      <c r="Q32" s="59"/>
      <c r="R32" s="59"/>
      <c r="S32" s="164"/>
      <c r="T32" s="81"/>
      <c r="U32" s="81"/>
      <c r="AD32" s="192"/>
    </row>
    <row r="33" spans="1:36" x14ac:dyDescent="0.25">
      <c r="A33" s="167" t="s">
        <v>202</v>
      </c>
      <c r="B33" s="168">
        <v>43855</v>
      </c>
      <c r="C33" s="2"/>
      <c r="D33" s="251">
        <f>(AD36-G36)/(LOG(AD37/G37)/LOG(2))</f>
        <v>71.777777777777771</v>
      </c>
      <c r="E33" s="191"/>
      <c r="J33" s="28"/>
      <c r="K33" s="59"/>
      <c r="L33" s="59"/>
      <c r="M33" s="59"/>
      <c r="N33" s="59"/>
      <c r="O33" s="59" t="s">
        <v>280</v>
      </c>
      <c r="P33" s="59"/>
      <c r="Q33" s="59"/>
      <c r="R33" s="59"/>
      <c r="S33" s="59"/>
      <c r="T33" s="81"/>
      <c r="U33" s="81"/>
    </row>
    <row r="34" spans="1:36" x14ac:dyDescent="0.25">
      <c r="A34" s="28"/>
      <c r="B34" s="62" t="s">
        <v>150</v>
      </c>
      <c r="C34" s="22"/>
      <c r="D34" s="28"/>
      <c r="E34" s="28"/>
      <c r="F34" s="28"/>
      <c r="G34" s="28"/>
      <c r="H34" s="28"/>
      <c r="I34" s="28"/>
      <c r="J34" s="28"/>
      <c r="K34" s="59"/>
      <c r="L34" s="59"/>
      <c r="M34" t="s">
        <v>296</v>
      </c>
      <c r="N34" s="59"/>
      <c r="P34" s="59"/>
      <c r="Q34" s="59" t="s">
        <v>297</v>
      </c>
      <c r="R34" s="59"/>
      <c r="S34" s="59"/>
      <c r="T34" s="59"/>
      <c r="U34" s="59"/>
      <c r="V34" s="28"/>
      <c r="W34" s="28"/>
      <c r="X34" s="28"/>
      <c r="Y34" s="28"/>
      <c r="Z34" s="28"/>
      <c r="AA34" s="28"/>
      <c r="AB34" s="28"/>
      <c r="AC34" s="28"/>
      <c r="AD34" s="233" t="s">
        <v>281</v>
      </c>
      <c r="AG34" s="166"/>
    </row>
    <row r="35" spans="1:36" x14ac:dyDescent="0.25">
      <c r="A35" s="65" t="s">
        <v>133</v>
      </c>
      <c r="B35" s="206">
        <v>43892</v>
      </c>
      <c r="C35" s="206">
        <v>43908</v>
      </c>
      <c r="D35" s="206">
        <v>43914</v>
      </c>
      <c r="E35" s="206">
        <v>43919</v>
      </c>
      <c r="F35" s="206"/>
      <c r="G35" s="147" t="s">
        <v>161</v>
      </c>
      <c r="H35" s="28"/>
      <c r="I35" s="28"/>
      <c r="J35" s="28"/>
      <c r="K35" s="59"/>
      <c r="L35" s="59"/>
      <c r="M35" s="59"/>
      <c r="N35" s="292"/>
      <c r="O35" s="194" t="s">
        <v>295</v>
      </c>
      <c r="P35" s="197"/>
      <c r="Q35" s="197"/>
      <c r="R35" s="197"/>
      <c r="S35" s="28"/>
      <c r="T35" s="28"/>
      <c r="U35" s="28"/>
      <c r="W35" s="28"/>
      <c r="AA35" s="28"/>
      <c r="AB35" s="28"/>
      <c r="AC35" s="28"/>
      <c r="AG35" s="247" t="s">
        <v>287</v>
      </c>
    </row>
    <row r="36" spans="1:36" x14ac:dyDescent="0.25">
      <c r="A36" s="16" t="s">
        <v>12</v>
      </c>
      <c r="B36" s="171">
        <v>4</v>
      </c>
      <c r="C36" s="172">
        <v>3</v>
      </c>
      <c r="D36" s="96">
        <v>5</v>
      </c>
      <c r="E36" s="21">
        <v>115</v>
      </c>
      <c r="F36" s="21"/>
      <c r="G36" s="293">
        <v>43892</v>
      </c>
      <c r="H36" s="294">
        <f>G36+HLOOKUP(G36+1, $B$35:$F$36,2,TRUE)</f>
        <v>43896</v>
      </c>
      <c r="I36" s="294">
        <f t="shared" ref="I36:AC36" si="0">H36+HLOOKUP(H36+1, $B$35:$F$36,2,TRUE)</f>
        <v>43900</v>
      </c>
      <c r="J36" s="294">
        <f t="shared" si="0"/>
        <v>43904</v>
      </c>
      <c r="K36" s="294">
        <f t="shared" si="0"/>
        <v>43908</v>
      </c>
      <c r="L36" s="295">
        <f t="shared" si="0"/>
        <v>43911</v>
      </c>
      <c r="M36" s="295">
        <f t="shared" si="0"/>
        <v>43914</v>
      </c>
      <c r="N36" s="296">
        <f t="shared" si="0"/>
        <v>43919</v>
      </c>
      <c r="O36" s="297">
        <f>$N$36+(($T$36-$N$36)*(0.09))</f>
        <v>43929.35</v>
      </c>
      <c r="P36" s="297">
        <f>$N$36+(($T$36-$N$36)*0.19)</f>
        <v>43940.85</v>
      </c>
      <c r="Q36" s="298">
        <f>$N$36+(($T$36-$N$36)*0.41)</f>
        <v>43966.15</v>
      </c>
      <c r="R36" s="279">
        <f>$N$36+(($T$36-$N$36)*0.75)</f>
        <v>44005.25</v>
      </c>
      <c r="S36" s="279">
        <f>$N$36+(($T$36-$N$36)*0.9)</f>
        <v>44022.5</v>
      </c>
      <c r="T36" s="280">
        <f>N36+HLOOKUP(N36+1, $B$35:$F$36,2,TRUE)</f>
        <v>44034</v>
      </c>
      <c r="U36" s="280">
        <f t="shared" si="0"/>
        <v>44149</v>
      </c>
      <c r="V36" s="280">
        <f t="shared" si="0"/>
        <v>44264</v>
      </c>
      <c r="W36" s="280">
        <f t="shared" si="0"/>
        <v>44379</v>
      </c>
      <c r="X36" s="280">
        <f t="shared" si="0"/>
        <v>44494</v>
      </c>
      <c r="Y36" s="280">
        <f t="shared" si="0"/>
        <v>44609</v>
      </c>
      <c r="Z36" s="280">
        <f t="shared" si="0"/>
        <v>44724</v>
      </c>
      <c r="AA36" s="280">
        <f t="shared" si="0"/>
        <v>44839</v>
      </c>
      <c r="AB36" s="280">
        <f t="shared" si="0"/>
        <v>44954</v>
      </c>
      <c r="AC36" s="280">
        <f t="shared" si="0"/>
        <v>45069</v>
      </c>
      <c r="AD36" s="281">
        <f>AC36+HLOOKUP(AC36+1, $B$35:$F$36,2,TRUE)</f>
        <v>45184</v>
      </c>
      <c r="AE36" s="282">
        <f>AD36+HLOOKUP(AD36+1, $B$35:$F$36,2,TRUE)</f>
        <v>45299</v>
      </c>
      <c r="AF36" s="283">
        <f>AE36+HLOOKUP(AE36+1, $B$35:$F$36,2,TRUE)</f>
        <v>45414</v>
      </c>
      <c r="AG36" s="248">
        <f>AF36+(7*8)</f>
        <v>45470</v>
      </c>
      <c r="AH36" s="82"/>
      <c r="AI36" s="82"/>
      <c r="AJ36" s="81"/>
    </row>
    <row r="37" spans="1:36" x14ac:dyDescent="0.25">
      <c r="A37" s="53" t="s">
        <v>207</v>
      </c>
      <c r="B37" s="28"/>
      <c r="C37" s="28"/>
      <c r="D37" s="28"/>
      <c r="E37" s="28"/>
      <c r="F37" s="28"/>
      <c r="G37" s="274">
        <v>31.25</v>
      </c>
      <c r="H37" s="275">
        <f>G37*2</f>
        <v>62.5</v>
      </c>
      <c r="I37" s="275">
        <f t="shared" ref="I37:AB37" si="1">H37*2</f>
        <v>125</v>
      </c>
      <c r="J37" s="275">
        <f t="shared" si="1"/>
        <v>250</v>
      </c>
      <c r="K37" s="276">
        <f t="shared" si="1"/>
        <v>500</v>
      </c>
      <c r="L37" s="277">
        <f t="shared" si="1"/>
        <v>1000</v>
      </c>
      <c r="M37" s="275">
        <f t="shared" si="1"/>
        <v>2000</v>
      </c>
      <c r="N37" s="275">
        <f t="shared" si="1"/>
        <v>4000</v>
      </c>
      <c r="O37" s="277">
        <f>$N$37+(($T$37-$N$37)*0.5)</f>
        <v>6000</v>
      </c>
      <c r="P37" s="275">
        <f>$N$37+(($T$37-$N$37)*0.65)</f>
        <v>6600</v>
      </c>
      <c r="Q37" s="275">
        <f>$N$37+(($T$37-$N$37)*0.75)</f>
        <v>7000</v>
      </c>
      <c r="R37" s="275">
        <f>$N$37+(($T$37-$N$37)*0.85)</f>
        <v>7400</v>
      </c>
      <c r="S37" s="275">
        <f>$N$37+(($T$37-$N$37)*0.95)</f>
        <v>7800</v>
      </c>
      <c r="T37" s="277">
        <f>N37*2</f>
        <v>8000</v>
      </c>
      <c r="U37" s="275">
        <f>T37*2</f>
        <v>16000</v>
      </c>
      <c r="V37" s="275">
        <f>U37*2</f>
        <v>32000</v>
      </c>
      <c r="W37" s="275">
        <f>V37*2</f>
        <v>64000</v>
      </c>
      <c r="X37" s="275">
        <f>W37*2</f>
        <v>128000</v>
      </c>
      <c r="Y37" s="275">
        <f t="shared" si="1"/>
        <v>256000</v>
      </c>
      <c r="Z37" s="275">
        <f t="shared" si="1"/>
        <v>512000</v>
      </c>
      <c r="AA37" s="275">
        <f t="shared" si="1"/>
        <v>1024000</v>
      </c>
      <c r="AB37" s="275">
        <f t="shared" si="1"/>
        <v>2048000</v>
      </c>
      <c r="AC37" s="275">
        <f>AB37*2</f>
        <v>4096000</v>
      </c>
      <c r="AD37" s="276">
        <f>AC37*2</f>
        <v>8192000</v>
      </c>
      <c r="AE37" s="265">
        <f>AD37*2</f>
        <v>16384000</v>
      </c>
      <c r="AF37" s="222">
        <f>B23</f>
        <v>25634000</v>
      </c>
      <c r="AG37" s="241">
        <f>B23*AG38</f>
        <v>5126800</v>
      </c>
      <c r="AH37" s="57"/>
      <c r="AI37" s="57"/>
      <c r="AJ37" s="81"/>
    </row>
    <row r="38" spans="1:36" x14ac:dyDescent="0.25">
      <c r="A38" s="53" t="s">
        <v>208</v>
      </c>
      <c r="B38" s="28"/>
      <c r="C38" s="28"/>
      <c r="D38" s="28"/>
      <c r="E38" s="28"/>
      <c r="F38" s="28"/>
      <c r="G38" s="210">
        <f t="shared" ref="G38:AB38" si="2">G37/$B$23</f>
        <v>1.2190840290239525E-6</v>
      </c>
      <c r="H38" s="211">
        <f t="shared" si="2"/>
        <v>2.438168058047905E-6</v>
      </c>
      <c r="I38" s="78">
        <f t="shared" si="2"/>
        <v>4.87633611609581E-6</v>
      </c>
      <c r="J38" s="48">
        <f t="shared" si="2"/>
        <v>9.7526722321916199E-6</v>
      </c>
      <c r="K38" s="209">
        <f t="shared" si="2"/>
        <v>1.950534446438324E-5</v>
      </c>
      <c r="L38" s="101">
        <f t="shared" si="2"/>
        <v>3.901068892876648E-5</v>
      </c>
      <c r="M38" s="48">
        <f t="shared" si="2"/>
        <v>7.8021377857532959E-5</v>
      </c>
      <c r="N38" s="48">
        <f t="shared" si="2"/>
        <v>1.5604275571506592E-4</v>
      </c>
      <c r="O38" s="101">
        <f t="shared" ref="O38:S38" si="3">O37/$B$23</f>
        <v>2.3406413357259889E-4</v>
      </c>
      <c r="P38" s="48">
        <f t="shared" si="3"/>
        <v>2.5747054692985876E-4</v>
      </c>
      <c r="Q38" s="48">
        <f t="shared" ref="Q38:R38" si="4">Q37/$B$23</f>
        <v>2.7307482250136535E-4</v>
      </c>
      <c r="R38" s="48">
        <f t="shared" si="4"/>
        <v>2.8867909807287195E-4</v>
      </c>
      <c r="S38" s="48">
        <f t="shared" si="3"/>
        <v>3.0428337364437854E-4</v>
      </c>
      <c r="T38" s="18">
        <f t="shared" si="2"/>
        <v>3.1208551143013184E-4</v>
      </c>
      <c r="U38" s="26">
        <f>U37/$B$23</f>
        <v>6.2417102286026367E-4</v>
      </c>
      <c r="V38" s="26">
        <f>V37/$B$23</f>
        <v>1.2483420457205273E-3</v>
      </c>
      <c r="W38" s="26">
        <f>W37/$B$23</f>
        <v>2.4966840914410547E-3</v>
      </c>
      <c r="X38" s="27">
        <f>X37/$B$23</f>
        <v>4.9933681828821094E-3</v>
      </c>
      <c r="Y38" s="87">
        <f t="shared" si="2"/>
        <v>9.9867363657642188E-3</v>
      </c>
      <c r="Z38" s="87">
        <f t="shared" si="2"/>
        <v>1.9973472731528438E-2</v>
      </c>
      <c r="AA38" s="87">
        <f t="shared" si="2"/>
        <v>3.9946945463056875E-2</v>
      </c>
      <c r="AB38" s="87">
        <f t="shared" si="2"/>
        <v>7.989389092611375E-2</v>
      </c>
      <c r="AC38" s="87">
        <f>AC37/$B$23</f>
        <v>0.1597877818522275</v>
      </c>
      <c r="AD38" s="269">
        <f>AD37/$B$23</f>
        <v>0.319575563704455</v>
      </c>
      <c r="AE38" s="266">
        <f>AE37/$B$23</f>
        <v>0.63915112740891</v>
      </c>
      <c r="AF38" s="193">
        <f>AF37/$B$23</f>
        <v>1</v>
      </c>
      <c r="AG38" s="242">
        <f>B26</f>
        <v>0.2</v>
      </c>
      <c r="AH38" s="37"/>
      <c r="AI38" s="37"/>
      <c r="AJ38" s="81"/>
    </row>
    <row r="39" spans="1:36" x14ac:dyDescent="0.25">
      <c r="A39" s="53" t="s">
        <v>261</v>
      </c>
      <c r="B39" s="28"/>
      <c r="C39" s="28"/>
      <c r="D39" s="28"/>
      <c r="E39" s="28"/>
      <c r="F39" s="28"/>
      <c r="G39" s="252">
        <f t="shared" ref="G39:U39" si="5">MAX(G37-(G45-G46)-(G47-G48)-(G49-G50),0)</f>
        <v>23.164089590657923</v>
      </c>
      <c r="H39" s="253">
        <f t="shared" si="5"/>
        <v>50.699712342982444</v>
      </c>
      <c r="I39" s="253">
        <f t="shared" si="5"/>
        <v>107.77908340074089</v>
      </c>
      <c r="J39" s="253">
        <f t="shared" si="5"/>
        <v>224.86841192873166</v>
      </c>
      <c r="K39" s="254">
        <f t="shared" si="5"/>
        <v>464.13626956465896</v>
      </c>
      <c r="L39" s="252">
        <f t="shared" si="5"/>
        <v>933.37965322963009</v>
      </c>
      <c r="M39" s="253">
        <f t="shared" si="5"/>
        <v>1895.6439393939395</v>
      </c>
      <c r="N39" s="253">
        <f t="shared" si="5"/>
        <v>3736.0594121267809</v>
      </c>
      <c r="O39" s="252">
        <f t="shared" ref="O39:S39" si="6">MAX(O37-(O45-O46)-(O47-O48)-(O49-O50),0)</f>
        <v>3294.2461742046949</v>
      </c>
      <c r="P39" s="253">
        <f t="shared" si="6"/>
        <v>45.298353008297113</v>
      </c>
      <c r="Q39" s="253">
        <f t="shared" ref="Q39:R39" si="7">MAX(Q37-(Q45-Q46)-(Q47-Q48)-(Q49-Q50),0)</f>
        <v>0</v>
      </c>
      <c r="R39" s="253">
        <f t="shared" si="7"/>
        <v>0</v>
      </c>
      <c r="S39" s="253">
        <f t="shared" si="6"/>
        <v>378.44490573917221</v>
      </c>
      <c r="T39" s="252">
        <f>MAX(T37-(T45-T46)-(T47-T48)-(T49-T50),0)</f>
        <v>0</v>
      </c>
      <c r="U39" s="253">
        <f t="shared" si="5"/>
        <v>0</v>
      </c>
      <c r="V39" s="253">
        <f>MAX(V37-(V45-V46)-(V47-V48)-(V49-V50),0)</f>
        <v>0</v>
      </c>
      <c r="W39" s="253">
        <f t="shared" ref="W39:AF39" si="8">MAX(W37-(W45-W46)-(W47-W48)-(W49-W50),0)</f>
        <v>0</v>
      </c>
      <c r="X39" s="253">
        <f t="shared" si="8"/>
        <v>0</v>
      </c>
      <c r="Y39" s="253">
        <f t="shared" si="8"/>
        <v>0</v>
      </c>
      <c r="Z39" s="253">
        <f t="shared" si="8"/>
        <v>0</v>
      </c>
      <c r="AA39" s="253">
        <f t="shared" si="8"/>
        <v>0</v>
      </c>
      <c r="AB39" s="253">
        <f t="shared" si="8"/>
        <v>0</v>
      </c>
      <c r="AC39" s="253">
        <f t="shared" si="8"/>
        <v>0</v>
      </c>
      <c r="AD39" s="254">
        <f t="shared" si="8"/>
        <v>0</v>
      </c>
      <c r="AE39" s="267">
        <f t="shared" si="8"/>
        <v>0</v>
      </c>
      <c r="AF39" s="215">
        <f t="shared" si="8"/>
        <v>0</v>
      </c>
      <c r="AG39" s="243"/>
      <c r="AH39" s="57"/>
      <c r="AI39" s="57"/>
      <c r="AJ39" s="81"/>
    </row>
    <row r="40" spans="1:36" x14ac:dyDescent="0.25">
      <c r="A40" s="53" t="s">
        <v>282</v>
      </c>
      <c r="B40" s="28"/>
      <c r="C40" s="28"/>
      <c r="D40" s="28"/>
      <c r="E40" s="28"/>
      <c r="F40" s="28"/>
      <c r="G40" s="98">
        <f>G37-G39</f>
        <v>8.0859104093420768</v>
      </c>
      <c r="H40" s="99">
        <f t="shared" ref="H40:AF40" si="9">H37-H39</f>
        <v>11.800287657017556</v>
      </c>
      <c r="I40" s="99">
        <f t="shared" si="9"/>
        <v>17.220916599259112</v>
      </c>
      <c r="J40" s="99">
        <f t="shared" si="9"/>
        <v>25.131588071268339</v>
      </c>
      <c r="K40" s="136">
        <f t="shared" si="9"/>
        <v>35.86373043534104</v>
      </c>
      <c r="L40" s="270">
        <f t="shared" si="9"/>
        <v>66.620346770369906</v>
      </c>
      <c r="M40" s="135">
        <f t="shared" si="9"/>
        <v>104.35606060606051</v>
      </c>
      <c r="N40" s="135">
        <f t="shared" si="9"/>
        <v>263.9405878732191</v>
      </c>
      <c r="O40" s="270">
        <f t="shared" ref="O40:S40" si="10">O37-O39</f>
        <v>2705.7538257953051</v>
      </c>
      <c r="P40" s="135">
        <f t="shared" si="10"/>
        <v>6554.7016469917025</v>
      </c>
      <c r="Q40" s="135">
        <f t="shared" ref="Q40:R40" si="11">Q37-Q39</f>
        <v>7000</v>
      </c>
      <c r="R40" s="135">
        <f t="shared" si="11"/>
        <v>7400</v>
      </c>
      <c r="S40" s="135">
        <f t="shared" si="10"/>
        <v>7421.5550942608279</v>
      </c>
      <c r="T40" s="270">
        <f>T37-T39</f>
        <v>8000</v>
      </c>
      <c r="U40" s="135">
        <f t="shared" si="9"/>
        <v>16000</v>
      </c>
      <c r="V40" s="135">
        <f t="shared" si="9"/>
        <v>32000</v>
      </c>
      <c r="W40" s="135">
        <f t="shared" si="9"/>
        <v>64000</v>
      </c>
      <c r="X40" s="135">
        <f t="shared" si="9"/>
        <v>128000</v>
      </c>
      <c r="Y40" s="135">
        <f t="shared" si="9"/>
        <v>256000</v>
      </c>
      <c r="Z40" s="135">
        <f t="shared" si="9"/>
        <v>512000</v>
      </c>
      <c r="AA40" s="135">
        <f t="shared" si="9"/>
        <v>1024000</v>
      </c>
      <c r="AB40" s="135">
        <f t="shared" si="9"/>
        <v>2048000</v>
      </c>
      <c r="AC40" s="135">
        <f t="shared" si="9"/>
        <v>4096000</v>
      </c>
      <c r="AD40" s="136">
        <f t="shared" si="9"/>
        <v>8192000</v>
      </c>
      <c r="AE40" s="235">
        <f t="shared" si="9"/>
        <v>16384000</v>
      </c>
      <c r="AF40" s="234">
        <f t="shared" si="9"/>
        <v>25634000</v>
      </c>
      <c r="AG40" s="244"/>
      <c r="AH40" s="37"/>
      <c r="AI40" s="37"/>
      <c r="AJ40" s="81"/>
    </row>
    <row r="41" spans="1:36" x14ac:dyDescent="0.25">
      <c r="A41" s="16" t="s">
        <v>274</v>
      </c>
      <c r="B41" s="21"/>
      <c r="C41" s="21"/>
      <c r="D41" s="21"/>
      <c r="E41" s="21"/>
      <c r="F41" s="21"/>
      <c r="G41" s="231">
        <f t="shared" ref="G41:AD41" si="12">G37/$B$25</f>
        <v>31.25</v>
      </c>
      <c r="H41" s="232">
        <f t="shared" si="12"/>
        <v>62.5</v>
      </c>
      <c r="I41" s="232">
        <f t="shared" si="12"/>
        <v>125</v>
      </c>
      <c r="J41" s="232">
        <f t="shared" si="12"/>
        <v>250</v>
      </c>
      <c r="K41" s="232">
        <f t="shared" si="12"/>
        <v>500</v>
      </c>
      <c r="L41" s="231">
        <f t="shared" si="12"/>
        <v>1000</v>
      </c>
      <c r="M41" s="232">
        <f t="shared" si="12"/>
        <v>2000</v>
      </c>
      <c r="N41" s="232">
        <f t="shared" si="12"/>
        <v>4000</v>
      </c>
      <c r="O41" s="231">
        <f t="shared" ref="O41:S41" si="13">O37/$B$25</f>
        <v>6000</v>
      </c>
      <c r="P41" s="232">
        <f t="shared" si="13"/>
        <v>6600</v>
      </c>
      <c r="Q41" s="232">
        <f t="shared" ref="Q41:R41" si="14">Q37/$B$25</f>
        <v>7000</v>
      </c>
      <c r="R41" s="232">
        <f t="shared" si="14"/>
        <v>7400</v>
      </c>
      <c r="S41" s="232">
        <f t="shared" si="13"/>
        <v>7800</v>
      </c>
      <c r="T41" s="231">
        <f t="shared" si="12"/>
        <v>8000</v>
      </c>
      <c r="U41" s="232">
        <f t="shared" si="12"/>
        <v>16000</v>
      </c>
      <c r="V41" s="232">
        <f t="shared" si="12"/>
        <v>32000</v>
      </c>
      <c r="W41" s="232">
        <f t="shared" si="12"/>
        <v>64000</v>
      </c>
      <c r="X41" s="232">
        <f t="shared" si="12"/>
        <v>128000</v>
      </c>
      <c r="Y41" s="232">
        <f t="shared" si="12"/>
        <v>256000</v>
      </c>
      <c r="Z41" s="232">
        <f t="shared" si="12"/>
        <v>512000</v>
      </c>
      <c r="AA41" s="232">
        <f t="shared" si="12"/>
        <v>1024000</v>
      </c>
      <c r="AB41" s="232">
        <f t="shared" si="12"/>
        <v>2048000</v>
      </c>
      <c r="AC41" s="232">
        <f t="shared" si="12"/>
        <v>4096000</v>
      </c>
      <c r="AD41" s="240">
        <f t="shared" si="12"/>
        <v>8192000</v>
      </c>
      <c r="AE41" s="267">
        <f>AE37/$B$25</f>
        <v>16384000</v>
      </c>
      <c r="AF41" s="215">
        <f>AF37</f>
        <v>25634000</v>
      </c>
      <c r="AG41" s="243">
        <f>($B$23*$B$26)/$B$25</f>
        <v>5126800</v>
      </c>
      <c r="AH41" s="37"/>
      <c r="AI41" s="37"/>
      <c r="AJ41" s="81"/>
    </row>
    <row r="42" spans="1:36" x14ac:dyDescent="0.25">
      <c r="A42" s="53" t="s">
        <v>212</v>
      </c>
      <c r="B42" s="28"/>
      <c r="C42" s="28"/>
      <c r="D42" s="28"/>
      <c r="E42" s="28"/>
      <c r="F42" s="28"/>
      <c r="G42" s="210">
        <f>G41/$B$23</f>
        <v>1.2190840290239525E-6</v>
      </c>
      <c r="H42" s="78">
        <f t="shared" ref="H42:AD42" si="15">H41/$B$23</f>
        <v>2.438168058047905E-6</v>
      </c>
      <c r="I42" s="78">
        <f t="shared" si="15"/>
        <v>4.87633611609581E-6</v>
      </c>
      <c r="J42" s="48">
        <f t="shared" si="15"/>
        <v>9.7526722321916199E-6</v>
      </c>
      <c r="K42" s="48">
        <f t="shared" si="15"/>
        <v>1.950534446438324E-5</v>
      </c>
      <c r="L42" s="101">
        <f t="shared" si="15"/>
        <v>3.901068892876648E-5</v>
      </c>
      <c r="M42" s="48">
        <f t="shared" si="15"/>
        <v>7.8021377857532959E-5</v>
      </c>
      <c r="N42" s="26">
        <f t="shared" si="15"/>
        <v>1.5604275571506592E-4</v>
      </c>
      <c r="O42" s="18">
        <f t="shared" ref="O42:S42" si="16">O41/$B$23</f>
        <v>2.3406413357259889E-4</v>
      </c>
      <c r="P42" s="26">
        <f t="shared" si="16"/>
        <v>2.5747054692985876E-4</v>
      </c>
      <c r="Q42" s="26">
        <f t="shared" ref="Q42:R42" si="17">Q41/$B$23</f>
        <v>2.7307482250136535E-4</v>
      </c>
      <c r="R42" s="26">
        <f t="shared" si="17"/>
        <v>2.8867909807287195E-4</v>
      </c>
      <c r="S42" s="26">
        <f t="shared" si="16"/>
        <v>3.0428337364437854E-4</v>
      </c>
      <c r="T42" s="20">
        <f t="shared" si="15"/>
        <v>3.1208551143013184E-4</v>
      </c>
      <c r="U42" s="27">
        <f t="shared" si="15"/>
        <v>6.2417102286026367E-4</v>
      </c>
      <c r="V42" s="27">
        <f t="shared" si="15"/>
        <v>1.2483420457205273E-3</v>
      </c>
      <c r="W42" s="27">
        <f t="shared" si="15"/>
        <v>2.4966840914410547E-3</v>
      </c>
      <c r="X42" s="27">
        <f t="shared" si="15"/>
        <v>4.9933681828821094E-3</v>
      </c>
      <c r="Y42" s="87">
        <f t="shared" si="15"/>
        <v>9.9867363657642188E-3</v>
      </c>
      <c r="Z42" s="87">
        <f t="shared" si="15"/>
        <v>1.9973472731528438E-2</v>
      </c>
      <c r="AA42" s="87">
        <f t="shared" si="15"/>
        <v>3.9946945463056875E-2</v>
      </c>
      <c r="AB42" s="87">
        <f t="shared" si="15"/>
        <v>7.989389092611375E-2</v>
      </c>
      <c r="AC42" s="87">
        <f t="shared" si="15"/>
        <v>0.1597877818522275</v>
      </c>
      <c r="AD42" s="269">
        <f t="shared" si="15"/>
        <v>0.319575563704455</v>
      </c>
      <c r="AE42" s="266">
        <f>AE41/$B$23</f>
        <v>0.63915112740891</v>
      </c>
      <c r="AF42" s="193">
        <v>1</v>
      </c>
      <c r="AG42" s="242">
        <f>AG41/B23</f>
        <v>0.2</v>
      </c>
      <c r="AH42" s="37"/>
      <c r="AI42" s="37"/>
      <c r="AJ42" s="81"/>
    </row>
    <row r="43" spans="1:36" x14ac:dyDescent="0.25">
      <c r="A43" s="53" t="s">
        <v>272</v>
      </c>
      <c r="B43" s="28"/>
      <c r="C43" s="28"/>
      <c r="D43" s="28"/>
      <c r="E43" s="28"/>
      <c r="F43" s="28"/>
      <c r="G43" s="212">
        <f t="shared" ref="G43:AD43" si="18">G41-G37</f>
        <v>0</v>
      </c>
      <c r="H43" s="213">
        <f t="shared" si="18"/>
        <v>0</v>
      </c>
      <c r="I43" s="213">
        <f t="shared" si="18"/>
        <v>0</v>
      </c>
      <c r="J43" s="213">
        <f t="shared" si="18"/>
        <v>0</v>
      </c>
      <c r="K43" s="213">
        <f t="shared" si="18"/>
        <v>0</v>
      </c>
      <c r="L43" s="212">
        <f t="shared" si="18"/>
        <v>0</v>
      </c>
      <c r="M43" s="213">
        <f t="shared" si="18"/>
        <v>0</v>
      </c>
      <c r="N43" s="213">
        <f t="shared" si="18"/>
        <v>0</v>
      </c>
      <c r="O43" s="212">
        <f t="shared" ref="O43:S43" si="19">O41-O37</f>
        <v>0</v>
      </c>
      <c r="P43" s="213">
        <f t="shared" si="19"/>
        <v>0</v>
      </c>
      <c r="Q43" s="213">
        <f t="shared" ref="Q43:R43" si="20">Q41-Q37</f>
        <v>0</v>
      </c>
      <c r="R43" s="213">
        <f t="shared" si="20"/>
        <v>0</v>
      </c>
      <c r="S43" s="213">
        <f t="shared" si="19"/>
        <v>0</v>
      </c>
      <c r="T43" s="212">
        <f t="shared" si="18"/>
        <v>0</v>
      </c>
      <c r="U43" s="213">
        <f t="shared" si="18"/>
        <v>0</v>
      </c>
      <c r="V43" s="213">
        <f t="shared" si="18"/>
        <v>0</v>
      </c>
      <c r="W43" s="213">
        <f t="shared" si="18"/>
        <v>0</v>
      </c>
      <c r="X43" s="213">
        <f>X41-X37</f>
        <v>0</v>
      </c>
      <c r="Y43" s="213">
        <f t="shared" si="18"/>
        <v>0</v>
      </c>
      <c r="Z43" s="213">
        <f t="shared" si="18"/>
        <v>0</v>
      </c>
      <c r="AA43" s="213">
        <f t="shared" si="18"/>
        <v>0</v>
      </c>
      <c r="AB43" s="213">
        <f t="shared" si="18"/>
        <v>0</v>
      </c>
      <c r="AC43" s="213">
        <f t="shared" si="18"/>
        <v>0</v>
      </c>
      <c r="AD43" s="214">
        <f t="shared" si="18"/>
        <v>0</v>
      </c>
      <c r="AE43" s="267">
        <f>AE41</f>
        <v>16384000</v>
      </c>
      <c r="AF43" s="215">
        <f>AF41</f>
        <v>25634000</v>
      </c>
      <c r="AG43" s="245">
        <f>AG41-AG37</f>
        <v>0</v>
      </c>
      <c r="AH43" s="37"/>
      <c r="AI43" s="37"/>
      <c r="AJ43" s="81"/>
    </row>
    <row r="44" spans="1:36" x14ac:dyDescent="0.25">
      <c r="A44" s="49" t="s">
        <v>273</v>
      </c>
      <c r="B44" s="51"/>
      <c r="C44" s="51"/>
      <c r="D44" s="51"/>
      <c r="E44" s="51"/>
      <c r="F44" s="51"/>
      <c r="G44" s="216">
        <f>MIN((1/$B$25)*(2^(((G36 - 14) - $B$33)/$G$62)),G43)</f>
        <v>0</v>
      </c>
      <c r="H44" s="217">
        <f>MIN((1/$B$25)*(2^(((H36 - 14) - $B$33)/$G$62)),H43)</f>
        <v>0</v>
      </c>
      <c r="I44" s="217">
        <f t="shared" ref="I44:J44" si="21">MIN((1/$B$25)*(2^(((I36 - 14) - $B$33)/$G$62)),I43)</f>
        <v>0</v>
      </c>
      <c r="J44" s="217">
        <f t="shared" si="21"/>
        <v>0</v>
      </c>
      <c r="K44" s="219">
        <f t="shared" ref="K44:AF44" si="22">MIN(($G$37/$B$25)*(2^(((K36 - 14) - $G$36)/HLOOKUP((K36-14)-$B$33,$G$60:$AG$62,3,TRUE))),K43)</f>
        <v>0</v>
      </c>
      <c r="L44" s="220">
        <f t="shared" si="22"/>
        <v>0</v>
      </c>
      <c r="M44" s="219">
        <f t="shared" si="22"/>
        <v>0</v>
      </c>
      <c r="N44" s="219">
        <f t="shared" si="22"/>
        <v>0</v>
      </c>
      <c r="O44" s="220">
        <f t="shared" si="22"/>
        <v>0</v>
      </c>
      <c r="P44" s="219">
        <f t="shared" si="22"/>
        <v>0</v>
      </c>
      <c r="Q44" s="219">
        <f t="shared" si="22"/>
        <v>0</v>
      </c>
      <c r="R44" s="219">
        <f t="shared" si="22"/>
        <v>0</v>
      </c>
      <c r="S44" s="219">
        <f t="shared" si="22"/>
        <v>0</v>
      </c>
      <c r="T44" s="220">
        <f t="shared" si="22"/>
        <v>0</v>
      </c>
      <c r="U44" s="219">
        <f t="shared" si="22"/>
        <v>0</v>
      </c>
      <c r="V44" s="219">
        <f t="shared" si="22"/>
        <v>0</v>
      </c>
      <c r="W44" s="219">
        <f t="shared" si="22"/>
        <v>0</v>
      </c>
      <c r="X44" s="219">
        <f t="shared" si="22"/>
        <v>0</v>
      </c>
      <c r="Y44" s="219">
        <f t="shared" si="22"/>
        <v>0</v>
      </c>
      <c r="Z44" s="219">
        <f t="shared" si="22"/>
        <v>0</v>
      </c>
      <c r="AA44" s="219">
        <f t="shared" si="22"/>
        <v>0</v>
      </c>
      <c r="AB44" s="219">
        <f t="shared" si="22"/>
        <v>0</v>
      </c>
      <c r="AC44" s="219">
        <f t="shared" si="22"/>
        <v>0</v>
      </c>
      <c r="AD44" s="218">
        <f t="shared" si="22"/>
        <v>0</v>
      </c>
      <c r="AE44" s="267">
        <f t="shared" si="22"/>
        <v>16384000</v>
      </c>
      <c r="AF44" s="221">
        <f t="shared" si="22"/>
        <v>25634000</v>
      </c>
      <c r="AG44" s="245"/>
      <c r="AH44" s="37"/>
      <c r="AI44" s="37"/>
      <c r="AJ44" s="81"/>
    </row>
    <row r="45" spans="1:36" x14ac:dyDescent="0.25">
      <c r="A45" s="53" t="s">
        <v>264</v>
      </c>
      <c r="B45" s="28"/>
      <c r="C45" s="28"/>
      <c r="D45" s="28"/>
      <c r="E45" s="28"/>
      <c r="F45" s="28"/>
      <c r="G45" s="236">
        <f t="shared" ref="G45:AF45" si="23">G37*$B$29</f>
        <v>28.75</v>
      </c>
      <c r="H45" s="237">
        <f t="shared" si="23"/>
        <v>57.5</v>
      </c>
      <c r="I45" s="237">
        <f t="shared" si="23"/>
        <v>115</v>
      </c>
      <c r="J45" s="237">
        <f t="shared" si="23"/>
        <v>230</v>
      </c>
      <c r="K45" s="237">
        <f t="shared" si="23"/>
        <v>460</v>
      </c>
      <c r="L45" s="236">
        <f t="shared" si="23"/>
        <v>920</v>
      </c>
      <c r="M45" s="237">
        <f t="shared" si="23"/>
        <v>1840</v>
      </c>
      <c r="N45" s="237">
        <f t="shared" si="23"/>
        <v>3680</v>
      </c>
      <c r="O45" s="236">
        <f t="shared" ref="O45:S45" si="24">O37*$B$29</f>
        <v>5520</v>
      </c>
      <c r="P45" s="237">
        <f t="shared" si="24"/>
        <v>6072</v>
      </c>
      <c r="Q45" s="237">
        <f t="shared" ref="Q45:R45" si="25">Q37*$B$29</f>
        <v>6440</v>
      </c>
      <c r="R45" s="237">
        <f t="shared" si="25"/>
        <v>6808</v>
      </c>
      <c r="S45" s="237">
        <f t="shared" si="24"/>
        <v>7176</v>
      </c>
      <c r="T45" s="236">
        <f t="shared" si="23"/>
        <v>7360</v>
      </c>
      <c r="U45" s="237">
        <f t="shared" si="23"/>
        <v>14720</v>
      </c>
      <c r="V45" s="237">
        <f t="shared" si="23"/>
        <v>29440</v>
      </c>
      <c r="W45" s="237">
        <f t="shared" si="23"/>
        <v>58880</v>
      </c>
      <c r="X45" s="237">
        <f t="shared" si="23"/>
        <v>117760</v>
      </c>
      <c r="Y45" s="237">
        <f t="shared" si="23"/>
        <v>235520</v>
      </c>
      <c r="Z45" s="237">
        <f t="shared" si="23"/>
        <v>471040</v>
      </c>
      <c r="AA45" s="237">
        <f t="shared" si="23"/>
        <v>942080</v>
      </c>
      <c r="AB45" s="237">
        <f t="shared" si="23"/>
        <v>1884160</v>
      </c>
      <c r="AC45" s="237">
        <f t="shared" si="23"/>
        <v>3768320</v>
      </c>
      <c r="AD45" s="271">
        <f t="shared" si="23"/>
        <v>7536640</v>
      </c>
      <c r="AE45" s="265">
        <f t="shared" si="23"/>
        <v>15073280</v>
      </c>
      <c r="AF45" s="215">
        <f t="shared" si="23"/>
        <v>23583280</v>
      </c>
      <c r="AG45" s="245">
        <f>AG37*B29</f>
        <v>4716656</v>
      </c>
      <c r="AH45" s="37"/>
      <c r="AI45" s="37"/>
      <c r="AJ45" s="81"/>
    </row>
    <row r="46" spans="1:36" x14ac:dyDescent="0.25">
      <c r="A46" s="53" t="s">
        <v>283</v>
      </c>
      <c r="B46" s="28"/>
      <c r="C46" s="28"/>
      <c r="D46" s="28"/>
      <c r="E46" s="28"/>
      <c r="F46" s="28"/>
      <c r="G46" s="216">
        <f>G45-(1*$B$29)*(2^(((G36 - 14) - $B$33)/$G$62))</f>
        <v>20.664089590657923</v>
      </c>
      <c r="H46" s="217">
        <f>H45-(1*$B$29)*(2^(((H36 - 14) - $B$33)/$G$62))</f>
        <v>45.699712342982444</v>
      </c>
      <c r="I46" s="217">
        <f>I45-(1*$B$29)*(2^(((I36 - 14) - $B$33)/$G$62))</f>
        <v>97.779083400740888</v>
      </c>
      <c r="J46" s="217">
        <f>J45-(1*$B$29)*(2^(((J36 - 14) - $B$33)/$G$62))</f>
        <v>204.86841192873166</v>
      </c>
      <c r="K46" s="223">
        <f t="shared" ref="K46:AF46" si="26">MAX(K45-(($G$37*$B$29)*(2^(((K36 -14) - $G$36)/HLOOKUP((K36-14)-$B$33,$G$60:$AG$62,3,TRUE)))),0)</f>
        <v>425.26880842051185</v>
      </c>
      <c r="L46" s="224">
        <f t="shared" si="26"/>
        <v>855.48345365395755</v>
      </c>
      <c r="M46" s="223">
        <f t="shared" si="26"/>
        <v>1738.939393939394</v>
      </c>
      <c r="N46" s="223">
        <f t="shared" si="26"/>
        <v>3424.3943780596196</v>
      </c>
      <c r="O46" s="224">
        <f t="shared" si="26"/>
        <v>2899.6910318613886</v>
      </c>
      <c r="P46" s="223">
        <f t="shared" si="26"/>
        <v>0</v>
      </c>
      <c r="Q46" s="223">
        <f t="shared" si="26"/>
        <v>0</v>
      </c>
      <c r="R46" s="223">
        <f t="shared" si="26"/>
        <v>0</v>
      </c>
      <c r="S46" s="223">
        <f t="shared" si="26"/>
        <v>0</v>
      </c>
      <c r="T46" s="224">
        <f t="shared" si="26"/>
        <v>0</v>
      </c>
      <c r="U46" s="223">
        <f t="shared" si="26"/>
        <v>0</v>
      </c>
      <c r="V46" s="223">
        <f t="shared" si="26"/>
        <v>0</v>
      </c>
      <c r="W46" s="223">
        <f t="shared" si="26"/>
        <v>0</v>
      </c>
      <c r="X46" s="223">
        <f t="shared" si="26"/>
        <v>0</v>
      </c>
      <c r="Y46" s="223">
        <f t="shared" si="26"/>
        <v>0</v>
      </c>
      <c r="Z46" s="223">
        <f t="shared" si="26"/>
        <v>0</v>
      </c>
      <c r="AA46" s="223">
        <f t="shared" si="26"/>
        <v>0</v>
      </c>
      <c r="AB46" s="223">
        <f t="shared" si="26"/>
        <v>0</v>
      </c>
      <c r="AC46" s="223">
        <f t="shared" si="26"/>
        <v>0</v>
      </c>
      <c r="AD46" s="238">
        <f t="shared" si="26"/>
        <v>0</v>
      </c>
      <c r="AE46" s="268">
        <f t="shared" si="26"/>
        <v>0</v>
      </c>
      <c r="AF46" s="221">
        <f t="shared" si="26"/>
        <v>0</v>
      </c>
      <c r="AG46" s="243"/>
      <c r="AH46" s="37"/>
      <c r="AI46" s="37"/>
      <c r="AJ46" s="81"/>
    </row>
    <row r="47" spans="1:36" x14ac:dyDescent="0.25">
      <c r="A47" s="74" t="s">
        <v>210</v>
      </c>
      <c r="B47" s="21"/>
      <c r="C47" s="21"/>
      <c r="D47" s="21"/>
      <c r="E47" s="21"/>
      <c r="F47" s="21"/>
      <c r="G47" s="272">
        <f>(1*($B$30+$B$31))*(2^(((G36 - 7) - $B$33)/$G$62))</f>
        <v>1.3624403770173663</v>
      </c>
      <c r="H47" s="273">
        <f>(1*($B$30+$B$31))*(2^(((H36 - 7) - $B$33)/$G$62))</f>
        <v>1.9882966234408881</v>
      </c>
      <c r="I47" s="232">
        <f t="shared" ref="I47:AE47" si="27">($G$37*($B$30+$B$31))*(2^(((I36-7)-$G$36)/HLOOKUP((I36-7)-$B$33,$G$60:$AG$62,3,TRUE)))</f>
        <v>2.7477734693782825</v>
      </c>
      <c r="J47" s="232">
        <f t="shared" si="27"/>
        <v>5.6101344648732603</v>
      </c>
      <c r="K47" s="232">
        <f t="shared" si="27"/>
        <v>10.283171151388096</v>
      </c>
      <c r="L47" s="231">
        <f t="shared" si="27"/>
        <v>18.787878787878775</v>
      </c>
      <c r="M47" s="232">
        <f t="shared" si="27"/>
        <v>31.107290494170176</v>
      </c>
      <c r="N47" s="232">
        <f t="shared" si="27"/>
        <v>97.540056745390302</v>
      </c>
      <c r="O47" s="231">
        <f t="shared" si="27"/>
        <v>574.77618799654329</v>
      </c>
      <c r="P47" s="232">
        <f t="shared" si="27"/>
        <v>859.05698537255921</v>
      </c>
      <c r="Q47" s="232">
        <f t="shared" si="27"/>
        <v>3648.0224340846935</v>
      </c>
      <c r="R47" s="284">
        <f t="shared" si="27"/>
        <v>5412.5731227783745</v>
      </c>
      <c r="S47" s="284">
        <f t="shared" si="27"/>
        <v>914.98907768335982</v>
      </c>
      <c r="T47" s="285">
        <f t="shared" si="27"/>
        <v>713.45778394840875</v>
      </c>
      <c r="U47" s="232">
        <f t="shared" si="27"/>
        <v>39458.200449707045</v>
      </c>
      <c r="V47" s="232">
        <f t="shared" si="27"/>
        <v>16297.747279793073</v>
      </c>
      <c r="W47" s="232">
        <f t="shared" si="27"/>
        <v>17851.056692125047</v>
      </c>
      <c r="X47" s="232">
        <f t="shared" si="27"/>
        <v>25983.5391547082</v>
      </c>
      <c r="Y47" s="232">
        <f t="shared" si="27"/>
        <v>42702.692559550225</v>
      </c>
      <c r="Z47" s="232">
        <f t="shared" si="27"/>
        <v>74742.253629535087</v>
      </c>
      <c r="AA47" s="232">
        <f t="shared" si="27"/>
        <v>135733.92193164912</v>
      </c>
      <c r="AB47" s="232">
        <f t="shared" si="27"/>
        <v>252341.59549039422</v>
      </c>
      <c r="AC47" s="232">
        <f t="shared" si="27"/>
        <v>476607.68337329559</v>
      </c>
      <c r="AD47" s="240">
        <f t="shared" si="27"/>
        <v>910313.00697220734</v>
      </c>
      <c r="AE47" s="265">
        <f t="shared" si="27"/>
        <v>1752995.8163201262</v>
      </c>
      <c r="AF47" s="222">
        <f>($G$37*($B$30+$B$31))*(2^(((AF36 - 7) - $G$36)/AF62))</f>
        <v>1824532.9113552801</v>
      </c>
      <c r="AG47" s="243">
        <f>AG37*(B30+B31)</f>
        <v>410144</v>
      </c>
      <c r="AH47" s="57"/>
      <c r="AI47" s="57"/>
      <c r="AJ47" s="81"/>
    </row>
    <row r="48" spans="1:36" x14ac:dyDescent="0.25">
      <c r="A48" s="49" t="s">
        <v>262</v>
      </c>
      <c r="B48" s="50"/>
      <c r="C48" s="51"/>
      <c r="D48" s="51"/>
      <c r="E48" s="51"/>
      <c r="F48" s="51"/>
      <c r="G48" s="216">
        <f t="shared" ref="G48:J48" si="28">G47</f>
        <v>1.3624403770173663</v>
      </c>
      <c r="H48" s="217">
        <f t="shared" si="28"/>
        <v>1.9882966234408881</v>
      </c>
      <c r="I48" s="219">
        <f t="shared" si="28"/>
        <v>2.7477734693782825</v>
      </c>
      <c r="J48" s="219">
        <f t="shared" si="28"/>
        <v>5.6101344648732603</v>
      </c>
      <c r="K48" s="219">
        <f>K47-K50</f>
        <v>9.1506322955352211</v>
      </c>
      <c r="L48" s="220">
        <f t="shared" ref="L48:M48" si="29">L47-L50</f>
        <v>16.684078363551301</v>
      </c>
      <c r="M48" s="219">
        <f t="shared" si="29"/>
        <v>27.811835948715633</v>
      </c>
      <c r="N48" s="219">
        <f>N47-N50</f>
        <v>89.205090812551802</v>
      </c>
      <c r="O48" s="220">
        <f t="shared" ref="O48:S48" si="30">O47-O50</f>
        <v>489.33133033984944</v>
      </c>
      <c r="P48" s="219">
        <f t="shared" si="30"/>
        <v>376.35533838085632</v>
      </c>
      <c r="Q48" s="219">
        <f t="shared" ref="Q48:R48" si="31">Q47-Q50</f>
        <v>3007.9225055713932</v>
      </c>
      <c r="R48" s="219">
        <f t="shared" si="31"/>
        <v>4188.839639512581</v>
      </c>
      <c r="S48" s="219">
        <f t="shared" si="30"/>
        <v>669.43398342253204</v>
      </c>
      <c r="T48" s="220">
        <f t="shared" ref="T48:AF48" si="32">MAX(T47-($G$37*$B$30)*(2^(((T36 - 42) - $G$36)/HLOOKUP((T36-42)-$B$33,$G$60:$AG$62,3,TRUE)))-T50,0)</f>
        <v>0</v>
      </c>
      <c r="U48" s="219">
        <f t="shared" si="32"/>
        <v>26809.768695834013</v>
      </c>
      <c r="V48" s="219">
        <f t="shared" si="32"/>
        <v>9861.2522323300564</v>
      </c>
      <c r="W48" s="219">
        <f t="shared" si="32"/>
        <v>10116.989835975111</v>
      </c>
      <c r="X48" s="219">
        <f t="shared" si="32"/>
        <v>14124.228835357189</v>
      </c>
      <c r="Y48" s="219">
        <f t="shared" si="32"/>
        <v>22552.002900960761</v>
      </c>
      <c r="Z48" s="219">
        <f t="shared" si="32"/>
        <v>38646.847571134436</v>
      </c>
      <c r="AA48" s="219">
        <f t="shared" si="32"/>
        <v>69059.548535159891</v>
      </c>
      <c r="AB48" s="219">
        <f t="shared" si="32"/>
        <v>126763.55066033515</v>
      </c>
      <c r="AC48" s="219">
        <f t="shared" si="32"/>
        <v>236970.71705533084</v>
      </c>
      <c r="AD48" s="218">
        <f t="shared" si="32"/>
        <v>448780.01884909661</v>
      </c>
      <c r="AE48" s="268">
        <f t="shared" si="32"/>
        <v>858075.94553999463</v>
      </c>
      <c r="AF48" s="221">
        <f t="shared" si="32"/>
        <v>80417.106373888673</v>
      </c>
      <c r="AG48" s="245"/>
      <c r="AH48" s="57"/>
      <c r="AI48" s="57"/>
      <c r="AJ48" s="81"/>
    </row>
    <row r="49" spans="1:36" x14ac:dyDescent="0.25">
      <c r="A49" s="60" t="s">
        <v>211</v>
      </c>
      <c r="C49" s="21"/>
      <c r="D49" s="21"/>
      <c r="E49" s="21"/>
      <c r="F49" s="21"/>
      <c r="G49" s="272">
        <f>(1*$B$31)*(2^(((G36 - 14) -$B$33)/$G$62))</f>
        <v>0.26367099160898083</v>
      </c>
      <c r="H49" s="273">
        <f>(1*$B$31)*(2^(((H36 - 14) -$B$33)/$G$62))</f>
        <v>0.38479198881578991</v>
      </c>
      <c r="I49" s="273">
        <f>(1*$B$31)*(2^(((I36 - 14) -$B$33)/$G$62))</f>
        <v>0.5615516282367099</v>
      </c>
      <c r="J49" s="273">
        <f>(1*$B$31)*(2^(((J36 - 14) -$B$33)/$G$62))</f>
        <v>0.81950830667179397</v>
      </c>
      <c r="K49" s="240">
        <f t="shared" ref="K49:AF49" si="33">($G$37*$B$31)*(2^(((K36 - 14) - $G$36)/HLOOKUP((K36-14)-$B$33,$G$60:$AG$62,3,TRUE)))</f>
        <v>1.1325388558528744</v>
      </c>
      <c r="L49" s="232">
        <f t="shared" si="33"/>
        <v>2.1038004243274724</v>
      </c>
      <c r="M49" s="232">
        <f t="shared" si="33"/>
        <v>3.295454545454545</v>
      </c>
      <c r="N49" s="232">
        <f t="shared" si="33"/>
        <v>8.3349659328384966</v>
      </c>
      <c r="O49" s="231">
        <f t="shared" si="33"/>
        <v>85.444857656693841</v>
      </c>
      <c r="P49" s="232">
        <f t="shared" si="33"/>
        <v>482.70164699170289</v>
      </c>
      <c r="Q49" s="232">
        <f t="shared" si="33"/>
        <v>640.09992851330003</v>
      </c>
      <c r="R49" s="284">
        <f t="shared" si="33"/>
        <v>1223.7334832657932</v>
      </c>
      <c r="S49" s="284">
        <f t="shared" si="33"/>
        <v>245.55509426082781</v>
      </c>
      <c r="T49" s="285">
        <f t="shared" si="33"/>
        <v>425.45455935549376</v>
      </c>
      <c r="U49" s="232">
        <f t="shared" si="33"/>
        <v>11288.052457630698</v>
      </c>
      <c r="V49" s="232">
        <f t="shared" si="33"/>
        <v>5164.2831284756667</v>
      </c>
      <c r="W49" s="232">
        <f t="shared" si="33"/>
        <v>5881.5941913484785</v>
      </c>
      <c r="X49" s="232">
        <f t="shared" si="33"/>
        <v>8739.2385205338833</v>
      </c>
      <c r="Y49" s="232">
        <f t="shared" si="33"/>
        <v>14546.466256404297</v>
      </c>
      <c r="Z49" s="232">
        <f t="shared" si="33"/>
        <v>25681.621813447426</v>
      </c>
      <c r="AA49" s="232">
        <f t="shared" si="33"/>
        <v>46931.118092676472</v>
      </c>
      <c r="AB49" s="232">
        <f t="shared" si="33"/>
        <v>87663.315624486786</v>
      </c>
      <c r="AC49" s="232">
        <f t="shared" si="33"/>
        <v>166188.60450355953</v>
      </c>
      <c r="AD49" s="240">
        <f t="shared" si="33"/>
        <v>318366.42801534396</v>
      </c>
      <c r="AE49" s="265">
        <f t="shared" si="33"/>
        <v>614586.39622547769</v>
      </c>
      <c r="AF49" s="222">
        <f t="shared" si="33"/>
        <v>1193306.0317347823</v>
      </c>
      <c r="AG49" s="243">
        <f>AG37*B31</f>
        <v>153804</v>
      </c>
      <c r="AH49" s="57"/>
      <c r="AI49" s="57"/>
      <c r="AJ49" s="81"/>
    </row>
    <row r="50" spans="1:36" x14ac:dyDescent="0.25">
      <c r="A50" s="53" t="s">
        <v>263</v>
      </c>
      <c r="B50" s="27"/>
      <c r="C50" s="28"/>
      <c r="D50" s="28"/>
      <c r="E50" s="28"/>
      <c r="F50" s="28"/>
      <c r="G50" s="216">
        <f t="shared" ref="G50:J50" si="34">G49</f>
        <v>0.26367099160898083</v>
      </c>
      <c r="H50" s="217">
        <f t="shared" si="34"/>
        <v>0.38479198881578991</v>
      </c>
      <c r="I50" s="217">
        <f t="shared" si="34"/>
        <v>0.5615516282367099</v>
      </c>
      <c r="J50" s="217">
        <f t="shared" si="34"/>
        <v>0.81950830667179397</v>
      </c>
      <c r="K50" s="218">
        <f>K49</f>
        <v>1.1325388558528744</v>
      </c>
      <c r="L50" s="219">
        <f t="shared" ref="L50:N50" si="35">L49</f>
        <v>2.1038004243274724</v>
      </c>
      <c r="M50" s="219">
        <f t="shared" si="35"/>
        <v>3.295454545454545</v>
      </c>
      <c r="N50" s="219">
        <f t="shared" si="35"/>
        <v>8.3349659328384966</v>
      </c>
      <c r="O50" s="220">
        <f t="shared" ref="O50:S50" si="36">O49</f>
        <v>85.444857656693841</v>
      </c>
      <c r="P50" s="219">
        <f t="shared" si="36"/>
        <v>482.70164699170289</v>
      </c>
      <c r="Q50" s="219">
        <f t="shared" ref="Q50:R50" si="37">Q49</f>
        <v>640.09992851330003</v>
      </c>
      <c r="R50" s="219">
        <f t="shared" si="37"/>
        <v>1223.7334832657932</v>
      </c>
      <c r="S50" s="219">
        <f t="shared" si="36"/>
        <v>245.55509426082781</v>
      </c>
      <c r="T50" s="224">
        <f t="shared" ref="T50:AF50" si="38">MAX(T49-($G$37*$B$31)*(2^(((T36 - 35) - $G$36)/HLOOKUP((T36-35)-$B$33,$G$60:$AG$62,3,TRUE))),0)</f>
        <v>0</v>
      </c>
      <c r="U50" s="223">
        <f t="shared" si="38"/>
        <v>6276.5211401101242</v>
      </c>
      <c r="V50" s="223">
        <f t="shared" si="38"/>
        <v>2048.5257224423499</v>
      </c>
      <c r="W50" s="223">
        <f t="shared" si="38"/>
        <v>1892.3131326933162</v>
      </c>
      <c r="X50" s="223">
        <f t="shared" si="38"/>
        <v>2433.9399991381315</v>
      </c>
      <c r="Y50" s="223">
        <f t="shared" si="38"/>
        <v>3642.8531487919372</v>
      </c>
      <c r="Z50" s="223">
        <f t="shared" si="38"/>
        <v>5925.6946536035503</v>
      </c>
      <c r="AA50" s="223">
        <f t="shared" si="38"/>
        <v>10144.945238413246</v>
      </c>
      <c r="AB50" s="223">
        <f t="shared" si="38"/>
        <v>17966.773262175047</v>
      </c>
      <c r="AC50" s="223">
        <f t="shared" si="38"/>
        <v>32581.964270243683</v>
      </c>
      <c r="AD50" s="238">
        <f t="shared" si="38"/>
        <v>60114.833612486487</v>
      </c>
      <c r="AE50" s="268">
        <f t="shared" si="38"/>
        <v>112364.86258721427</v>
      </c>
      <c r="AF50" s="221">
        <f t="shared" si="38"/>
        <v>212149.46819079644</v>
      </c>
      <c r="AG50" s="243"/>
      <c r="AH50" s="57"/>
      <c r="AI50" s="57"/>
      <c r="AJ50" s="81"/>
    </row>
    <row r="51" spans="1:36" x14ac:dyDescent="0.25">
      <c r="A51" s="16" t="s">
        <v>153</v>
      </c>
      <c r="B51" s="97"/>
      <c r="C51" s="21"/>
      <c r="D51" s="21"/>
      <c r="E51" s="21"/>
      <c r="F51" s="21"/>
      <c r="G51" s="225">
        <f t="shared" ref="G51:AF51" si="39">G37*$B$32</f>
        <v>0.4375</v>
      </c>
      <c r="H51" s="226">
        <f t="shared" si="39"/>
        <v>0.875</v>
      </c>
      <c r="I51" s="226">
        <f t="shared" si="39"/>
        <v>1.75</v>
      </c>
      <c r="J51" s="226">
        <f t="shared" si="39"/>
        <v>3.5</v>
      </c>
      <c r="K51" s="226">
        <f t="shared" si="39"/>
        <v>7</v>
      </c>
      <c r="L51" s="225">
        <f t="shared" si="39"/>
        <v>14</v>
      </c>
      <c r="M51" s="226">
        <f t="shared" si="39"/>
        <v>28</v>
      </c>
      <c r="N51" s="226">
        <f t="shared" si="39"/>
        <v>56</v>
      </c>
      <c r="O51" s="225">
        <f t="shared" ref="O51:S51" si="40">O37*$B$32</f>
        <v>84</v>
      </c>
      <c r="P51" s="226">
        <f t="shared" si="40"/>
        <v>92.4</v>
      </c>
      <c r="Q51" s="226">
        <f t="shared" ref="Q51:R51" si="41">Q37*$B$32</f>
        <v>98</v>
      </c>
      <c r="R51" s="226">
        <f t="shared" si="41"/>
        <v>103.60000000000001</v>
      </c>
      <c r="S51" s="226">
        <f t="shared" si="40"/>
        <v>109.2</v>
      </c>
      <c r="T51" s="225">
        <f t="shared" si="39"/>
        <v>112</v>
      </c>
      <c r="U51" s="226">
        <f t="shared" si="39"/>
        <v>224</v>
      </c>
      <c r="V51" s="226">
        <f t="shared" si="39"/>
        <v>448</v>
      </c>
      <c r="W51" s="226">
        <f t="shared" si="39"/>
        <v>896</v>
      </c>
      <c r="X51" s="226">
        <f t="shared" si="39"/>
        <v>1792</v>
      </c>
      <c r="Y51" s="226">
        <f t="shared" si="39"/>
        <v>3584</v>
      </c>
      <c r="Z51" s="226">
        <f t="shared" si="39"/>
        <v>7168</v>
      </c>
      <c r="AA51" s="226">
        <f t="shared" si="39"/>
        <v>14336</v>
      </c>
      <c r="AB51" s="226">
        <f t="shared" si="39"/>
        <v>28672</v>
      </c>
      <c r="AC51" s="226">
        <f t="shared" si="39"/>
        <v>57344</v>
      </c>
      <c r="AD51" s="227">
        <f t="shared" si="39"/>
        <v>114688</v>
      </c>
      <c r="AE51" s="267">
        <f t="shared" si="39"/>
        <v>229376</v>
      </c>
      <c r="AF51" s="222">
        <f t="shared" si="39"/>
        <v>358876</v>
      </c>
      <c r="AG51" s="243">
        <f>AG37*B32</f>
        <v>71775.199999999997</v>
      </c>
      <c r="AH51" s="57"/>
      <c r="AI51" s="57"/>
      <c r="AJ51" s="81"/>
    </row>
    <row r="52" spans="1:36" x14ac:dyDescent="0.25">
      <c r="A52" s="49" t="s">
        <v>152</v>
      </c>
      <c r="B52" s="50"/>
      <c r="C52" s="51"/>
      <c r="D52" s="51"/>
      <c r="E52" s="51"/>
      <c r="F52" s="51"/>
      <c r="G52" s="216"/>
      <c r="H52" s="217"/>
      <c r="I52" s="217"/>
      <c r="J52" s="217"/>
      <c r="K52" s="217"/>
      <c r="L52" s="216"/>
      <c r="M52" s="217"/>
      <c r="N52" s="229">
        <f>($G$37*$B$32)*(2^(((N36-35)-$G$36)/$G$62))</f>
        <v>0.2054237812312126</v>
      </c>
      <c r="O52" s="230">
        <f t="shared" ref="O52:S52" si="42">($G$37*$B$32)*(2^(((O36-35)-$G$36)/$G$62))</f>
        <v>0.54629121045943951</v>
      </c>
      <c r="P52" s="229">
        <f t="shared" si="42"/>
        <v>1.6195514970756304</v>
      </c>
      <c r="Q52" s="229">
        <f t="shared" ref="Q52:R52" si="43">($G$37*$B$32)*(2^(((Q36-35)-$G$36)/$G$62))</f>
        <v>17.690087026044658</v>
      </c>
      <c r="R52" s="229">
        <f t="shared" si="43"/>
        <v>711.91777364932</v>
      </c>
      <c r="S52" s="229">
        <f t="shared" si="42"/>
        <v>3634.0061582451863</v>
      </c>
      <c r="T52" s="230">
        <f t="shared" ref="T52:AF52" si="44">($G$37*$B$32)*(2^(((T36-35)-$G$36)/HLOOKUP((T36-35)-$B$33,$G$60:$AG$62,3,TRUE)))</f>
        <v>999.9683985448753</v>
      </c>
      <c r="U52" s="229">
        <f t="shared" si="44"/>
        <v>2338.7146148429342</v>
      </c>
      <c r="V52" s="229">
        <f t="shared" si="44"/>
        <v>1454.0201228155479</v>
      </c>
      <c r="W52" s="229">
        <f t="shared" si="44"/>
        <v>1861.6644940390759</v>
      </c>
      <c r="X52" s="229">
        <f t="shared" si="44"/>
        <v>2942.4726433180176</v>
      </c>
      <c r="Y52" s="229">
        <f t="shared" si="44"/>
        <v>5088.3527835524346</v>
      </c>
      <c r="Z52" s="229">
        <f t="shared" si="44"/>
        <v>9219.4326745938088</v>
      </c>
      <c r="AA52" s="229">
        <f t="shared" si="44"/>
        <v>17166.880665322838</v>
      </c>
      <c r="AB52" s="229">
        <f t="shared" si="44"/>
        <v>32525.053102412145</v>
      </c>
      <c r="AC52" s="229">
        <f t="shared" si="44"/>
        <v>62349.765442214062</v>
      </c>
      <c r="AD52" s="228">
        <f t="shared" si="44"/>
        <v>120517.41072133348</v>
      </c>
      <c r="AE52" s="268">
        <f t="shared" si="44"/>
        <v>234370.04903118958</v>
      </c>
      <c r="AF52" s="221">
        <f t="shared" si="44"/>
        <v>457873.06298719335</v>
      </c>
      <c r="AG52" s="246">
        <f>($G$37*$B$32)*(2^(((AG36 - 35) - $G$36)/AG62))</f>
        <v>251555.45452232275</v>
      </c>
      <c r="AH52" s="57"/>
      <c r="AI52" s="57"/>
      <c r="AJ52" s="81"/>
    </row>
    <row r="53" spans="1:36" s="81" customFormat="1" hidden="1" x14ac:dyDescent="0.25">
      <c r="A53" s="60" t="s">
        <v>205</v>
      </c>
      <c r="B53" s="37"/>
      <c r="C53" s="59"/>
      <c r="D53" s="59"/>
      <c r="E53" s="59"/>
      <c r="F53" s="59"/>
      <c r="G53" s="164">
        <f t="shared" ref="G53:AF53" si="45">G36-7</f>
        <v>43885</v>
      </c>
      <c r="H53" s="164">
        <f t="shared" si="45"/>
        <v>43889</v>
      </c>
      <c r="I53" s="164">
        <f t="shared" si="45"/>
        <v>43893</v>
      </c>
      <c r="J53" s="164">
        <f t="shared" si="45"/>
        <v>43897</v>
      </c>
      <c r="K53" s="164">
        <f t="shared" si="45"/>
        <v>43901</v>
      </c>
      <c r="L53" s="164">
        <f t="shared" si="45"/>
        <v>43904</v>
      </c>
      <c r="M53" s="164">
        <f t="shared" si="45"/>
        <v>43907</v>
      </c>
      <c r="N53" s="164">
        <f t="shared" si="45"/>
        <v>43912</v>
      </c>
      <c r="O53" s="164"/>
      <c r="P53" s="164"/>
      <c r="Q53" s="164"/>
      <c r="R53" s="164"/>
      <c r="S53" s="164"/>
      <c r="T53" s="164">
        <f t="shared" si="45"/>
        <v>44027</v>
      </c>
      <c r="U53" s="164">
        <f t="shared" si="45"/>
        <v>44142</v>
      </c>
      <c r="V53" s="164">
        <f t="shared" si="45"/>
        <v>44257</v>
      </c>
      <c r="W53" s="164">
        <f t="shared" si="45"/>
        <v>44372</v>
      </c>
      <c r="X53" s="164">
        <f t="shared" si="45"/>
        <v>44487</v>
      </c>
      <c r="Y53" s="164">
        <f t="shared" si="45"/>
        <v>44602</v>
      </c>
      <c r="Z53" s="164">
        <f t="shared" si="45"/>
        <v>44717</v>
      </c>
      <c r="AA53" s="164">
        <f t="shared" si="45"/>
        <v>44832</v>
      </c>
      <c r="AB53" s="164">
        <f t="shared" si="45"/>
        <v>44947</v>
      </c>
      <c r="AC53" s="164">
        <f t="shared" si="45"/>
        <v>45062</v>
      </c>
      <c r="AD53" s="164">
        <f t="shared" si="45"/>
        <v>45177</v>
      </c>
      <c r="AE53" s="164">
        <f t="shared" si="45"/>
        <v>45292</v>
      </c>
      <c r="AF53" s="164">
        <f t="shared" si="45"/>
        <v>45407</v>
      </c>
      <c r="AG53" s="164"/>
      <c r="AH53" s="57"/>
      <c r="AI53" s="57"/>
    </row>
    <row r="54" spans="1:36" s="81" customFormat="1" hidden="1" x14ac:dyDescent="0.25">
      <c r="A54" s="60" t="s">
        <v>203</v>
      </c>
      <c r="B54" s="37"/>
      <c r="C54" s="59"/>
      <c r="D54" s="59"/>
      <c r="E54" s="59"/>
      <c r="F54" s="59"/>
      <c r="G54" s="164">
        <f t="shared" ref="G54:AF54" si="46">G36-14</f>
        <v>43878</v>
      </c>
      <c r="H54" s="164">
        <f t="shared" si="46"/>
        <v>43882</v>
      </c>
      <c r="I54" s="164">
        <f t="shared" si="46"/>
        <v>43886</v>
      </c>
      <c r="J54" s="164">
        <f t="shared" si="46"/>
        <v>43890</v>
      </c>
      <c r="K54" s="164">
        <f t="shared" si="46"/>
        <v>43894</v>
      </c>
      <c r="L54" s="164">
        <f t="shared" si="46"/>
        <v>43897</v>
      </c>
      <c r="M54" s="164">
        <f t="shared" si="46"/>
        <v>43900</v>
      </c>
      <c r="N54" s="164">
        <f t="shared" si="46"/>
        <v>43905</v>
      </c>
      <c r="O54" s="164"/>
      <c r="P54" s="164"/>
      <c r="Q54" s="164"/>
      <c r="R54" s="164"/>
      <c r="S54" s="164"/>
      <c r="T54" s="164">
        <f t="shared" si="46"/>
        <v>44020</v>
      </c>
      <c r="U54" s="164">
        <f t="shared" si="46"/>
        <v>44135</v>
      </c>
      <c r="V54" s="164">
        <f t="shared" si="46"/>
        <v>44250</v>
      </c>
      <c r="W54" s="164">
        <f t="shared" si="46"/>
        <v>44365</v>
      </c>
      <c r="X54" s="164">
        <f t="shared" si="46"/>
        <v>44480</v>
      </c>
      <c r="Y54" s="164">
        <f t="shared" si="46"/>
        <v>44595</v>
      </c>
      <c r="Z54" s="164">
        <f t="shared" si="46"/>
        <v>44710</v>
      </c>
      <c r="AA54" s="164">
        <f t="shared" si="46"/>
        <v>44825</v>
      </c>
      <c r="AB54" s="164">
        <f t="shared" si="46"/>
        <v>44940</v>
      </c>
      <c r="AC54" s="164">
        <f t="shared" si="46"/>
        <v>45055</v>
      </c>
      <c r="AD54" s="164">
        <f t="shared" si="46"/>
        <v>45170</v>
      </c>
      <c r="AE54" s="164">
        <f t="shared" si="46"/>
        <v>45285</v>
      </c>
      <c r="AF54" s="164">
        <f t="shared" si="46"/>
        <v>45400</v>
      </c>
      <c r="AG54" s="164"/>
      <c r="AH54" s="57"/>
      <c r="AI54" s="57"/>
    </row>
    <row r="55" spans="1:36" s="81" customFormat="1" hidden="1" x14ac:dyDescent="0.25">
      <c r="A55" s="60" t="s">
        <v>206</v>
      </c>
      <c r="B55" s="37"/>
      <c r="C55" s="59"/>
      <c r="D55" s="59"/>
      <c r="E55" s="59"/>
      <c r="F55" s="59"/>
      <c r="G55" s="164">
        <f t="shared" ref="G55:AF55" si="47">G36-(7*5)</f>
        <v>43857</v>
      </c>
      <c r="H55" s="164">
        <f t="shared" si="47"/>
        <v>43861</v>
      </c>
      <c r="I55" s="164">
        <f t="shared" si="47"/>
        <v>43865</v>
      </c>
      <c r="J55" s="164">
        <f t="shared" si="47"/>
        <v>43869</v>
      </c>
      <c r="K55" s="164">
        <f t="shared" si="47"/>
        <v>43873</v>
      </c>
      <c r="L55" s="164">
        <f t="shared" si="47"/>
        <v>43876</v>
      </c>
      <c r="M55" s="164">
        <f t="shared" si="47"/>
        <v>43879</v>
      </c>
      <c r="N55" s="164">
        <f t="shared" si="47"/>
        <v>43884</v>
      </c>
      <c r="O55" s="164"/>
      <c r="P55" s="164"/>
      <c r="Q55" s="164"/>
      <c r="R55" s="164"/>
      <c r="S55" s="164"/>
      <c r="T55" s="164">
        <f t="shared" si="47"/>
        <v>43999</v>
      </c>
      <c r="U55" s="164">
        <f t="shared" si="47"/>
        <v>44114</v>
      </c>
      <c r="V55" s="164">
        <f t="shared" si="47"/>
        <v>44229</v>
      </c>
      <c r="W55" s="164">
        <f t="shared" si="47"/>
        <v>44344</v>
      </c>
      <c r="X55" s="164">
        <f t="shared" si="47"/>
        <v>44459</v>
      </c>
      <c r="Y55" s="164">
        <f t="shared" si="47"/>
        <v>44574</v>
      </c>
      <c r="Z55" s="164">
        <f t="shared" si="47"/>
        <v>44689</v>
      </c>
      <c r="AA55" s="164">
        <f t="shared" si="47"/>
        <v>44804</v>
      </c>
      <c r="AB55" s="164">
        <f t="shared" si="47"/>
        <v>44919</v>
      </c>
      <c r="AC55" s="164">
        <f t="shared" si="47"/>
        <v>45034</v>
      </c>
      <c r="AD55" s="164">
        <f t="shared" si="47"/>
        <v>45149</v>
      </c>
      <c r="AE55" s="164">
        <f t="shared" si="47"/>
        <v>45264</v>
      </c>
      <c r="AF55" s="164">
        <f t="shared" si="47"/>
        <v>45379</v>
      </c>
      <c r="AG55" s="164"/>
      <c r="AH55" s="57"/>
      <c r="AI55" s="57"/>
    </row>
    <row r="56" spans="1:36" s="81" customFormat="1" hidden="1" x14ac:dyDescent="0.25">
      <c r="A56" s="60" t="s">
        <v>204</v>
      </c>
      <c r="B56" s="37"/>
      <c r="C56" s="59"/>
      <c r="D56" s="59"/>
      <c r="E56" s="59"/>
      <c r="F56" s="59"/>
      <c r="G56" s="164">
        <f t="shared" ref="G56:AF56" si="48">G36-(6*7)</f>
        <v>43850</v>
      </c>
      <c r="H56" s="164">
        <f t="shared" si="48"/>
        <v>43854</v>
      </c>
      <c r="I56" s="164">
        <f t="shared" si="48"/>
        <v>43858</v>
      </c>
      <c r="J56" s="164">
        <f t="shared" si="48"/>
        <v>43862</v>
      </c>
      <c r="K56" s="164">
        <f t="shared" si="48"/>
        <v>43866</v>
      </c>
      <c r="L56" s="164">
        <f t="shared" si="48"/>
        <v>43869</v>
      </c>
      <c r="M56" s="164">
        <f t="shared" si="48"/>
        <v>43872</v>
      </c>
      <c r="N56" s="164">
        <f t="shared" si="48"/>
        <v>43877</v>
      </c>
      <c r="O56" s="164"/>
      <c r="P56" s="164"/>
      <c r="Q56" s="164"/>
      <c r="R56" s="164"/>
      <c r="S56" s="164"/>
      <c r="T56" s="164">
        <f t="shared" si="48"/>
        <v>43992</v>
      </c>
      <c r="U56" s="164">
        <f t="shared" si="48"/>
        <v>44107</v>
      </c>
      <c r="V56" s="164">
        <f t="shared" si="48"/>
        <v>44222</v>
      </c>
      <c r="W56" s="164">
        <f t="shared" si="48"/>
        <v>44337</v>
      </c>
      <c r="X56" s="164">
        <f t="shared" si="48"/>
        <v>44452</v>
      </c>
      <c r="Y56" s="164">
        <f t="shared" si="48"/>
        <v>44567</v>
      </c>
      <c r="Z56" s="164">
        <f t="shared" si="48"/>
        <v>44682</v>
      </c>
      <c r="AA56" s="164">
        <f t="shared" si="48"/>
        <v>44797</v>
      </c>
      <c r="AB56" s="164">
        <f t="shared" si="48"/>
        <v>44912</v>
      </c>
      <c r="AC56" s="164">
        <f t="shared" si="48"/>
        <v>45027</v>
      </c>
      <c r="AD56" s="164">
        <f t="shared" si="48"/>
        <v>45142</v>
      </c>
      <c r="AE56" s="164">
        <f t="shared" si="48"/>
        <v>45257</v>
      </c>
      <c r="AF56" s="164">
        <f t="shared" si="48"/>
        <v>45372</v>
      </c>
      <c r="AG56" s="164"/>
      <c r="AH56" s="57"/>
      <c r="AI56" s="57"/>
    </row>
    <row r="58" spans="1:36" x14ac:dyDescent="0.25">
      <c r="A58" s="65" t="s">
        <v>140</v>
      </c>
      <c r="B58" s="27"/>
      <c r="C58" s="28"/>
      <c r="D58" s="28"/>
      <c r="E58" s="28"/>
      <c r="F58" s="28"/>
    </row>
    <row r="59" spans="1:36" s="81" customFormat="1" x14ac:dyDescent="0.25">
      <c r="A59" s="157" t="s">
        <v>201</v>
      </c>
      <c r="B59" s="37"/>
      <c r="C59" s="59"/>
      <c r="D59" s="59"/>
      <c r="E59" s="59"/>
      <c r="F59" s="59"/>
      <c r="G59" s="158">
        <f t="shared" ref="G59:AG59" si="49">(G36-$B$33)/7</f>
        <v>5.2857142857142856</v>
      </c>
      <c r="H59" s="155">
        <f t="shared" si="49"/>
        <v>5.8571428571428568</v>
      </c>
      <c r="I59" s="156">
        <f t="shared" si="49"/>
        <v>6.4285714285714288</v>
      </c>
      <c r="J59" s="158">
        <f t="shared" si="49"/>
        <v>7</v>
      </c>
      <c r="K59" s="155">
        <f t="shared" si="49"/>
        <v>7.5714285714285712</v>
      </c>
      <c r="L59" s="159">
        <f t="shared" si="49"/>
        <v>8</v>
      </c>
      <c r="M59" s="156">
        <f t="shared" si="49"/>
        <v>8.4285714285714288</v>
      </c>
      <c r="N59" s="158">
        <f t="shared" si="49"/>
        <v>9.1428571428571423</v>
      </c>
      <c r="O59" s="158">
        <f t="shared" ref="O59:S59" si="50">(O36-$B$33)/7</f>
        <v>10.621428571428364</v>
      </c>
      <c r="P59" s="155">
        <f t="shared" si="50"/>
        <v>12.264285714285506</v>
      </c>
      <c r="Q59" s="155">
        <f t="shared" ref="Q59:R59" si="51">(Q36-$B$33)/7</f>
        <v>15.878571428571636</v>
      </c>
      <c r="R59" s="155">
        <f t="shared" si="51"/>
        <v>21.464285714285715</v>
      </c>
      <c r="S59" s="155">
        <f t="shared" si="50"/>
        <v>23.928571428571427</v>
      </c>
      <c r="T59" s="155">
        <f t="shared" si="49"/>
        <v>25.571428571428573</v>
      </c>
      <c r="U59" s="158">
        <f t="shared" si="49"/>
        <v>42</v>
      </c>
      <c r="V59" s="156">
        <f t="shared" si="49"/>
        <v>58.428571428571431</v>
      </c>
      <c r="W59" s="158">
        <f t="shared" si="49"/>
        <v>74.857142857142861</v>
      </c>
      <c r="X59" s="158">
        <f t="shared" si="49"/>
        <v>91.285714285714292</v>
      </c>
      <c r="Y59" s="156">
        <f t="shared" si="49"/>
        <v>107.71428571428571</v>
      </c>
      <c r="Z59" s="158">
        <f t="shared" si="49"/>
        <v>124.14285714285714</v>
      </c>
      <c r="AA59" s="158">
        <f t="shared" si="49"/>
        <v>140.57142857142858</v>
      </c>
      <c r="AB59" s="158">
        <f t="shared" si="49"/>
        <v>157</v>
      </c>
      <c r="AC59" s="156">
        <f t="shared" si="49"/>
        <v>173.42857142857142</v>
      </c>
      <c r="AD59" s="155">
        <f t="shared" si="49"/>
        <v>189.85714285714286</v>
      </c>
      <c r="AE59" s="158">
        <f t="shared" si="49"/>
        <v>206.28571428571428</v>
      </c>
      <c r="AF59" s="158">
        <f t="shared" si="49"/>
        <v>222.71428571428572</v>
      </c>
      <c r="AG59" s="158">
        <f t="shared" si="49"/>
        <v>230.71428571428572</v>
      </c>
    </row>
    <row r="60" spans="1:36" s="81" customFormat="1" x14ac:dyDescent="0.25">
      <c r="A60" s="157" t="s">
        <v>200</v>
      </c>
      <c r="B60" s="37"/>
      <c r="C60" s="59"/>
      <c r="D60" s="59"/>
      <c r="E60" s="59"/>
      <c r="F60" s="59"/>
      <c r="G60" s="258">
        <f>G36-B33</f>
        <v>37</v>
      </c>
      <c r="H60" s="259">
        <f t="shared" ref="H60:AG60" si="52">H36-$B$33</f>
        <v>41</v>
      </c>
      <c r="I60" s="259">
        <f t="shared" si="52"/>
        <v>45</v>
      </c>
      <c r="J60" s="259">
        <f t="shared" si="52"/>
        <v>49</v>
      </c>
      <c r="K60" s="259">
        <f t="shared" si="52"/>
        <v>53</v>
      </c>
      <c r="L60" s="259">
        <f t="shared" si="52"/>
        <v>56</v>
      </c>
      <c r="M60" s="259">
        <f t="shared" si="52"/>
        <v>59</v>
      </c>
      <c r="N60" s="259">
        <f t="shared" si="52"/>
        <v>64</v>
      </c>
      <c r="O60" s="259">
        <f t="shared" ref="O60:S60" si="53">O36-$B$33</f>
        <v>74.349999999998545</v>
      </c>
      <c r="P60" s="259">
        <f t="shared" si="53"/>
        <v>85.849999999998545</v>
      </c>
      <c r="Q60" s="259">
        <f t="shared" ref="Q60:R60" si="54">Q36-$B$33</f>
        <v>111.15000000000146</v>
      </c>
      <c r="R60" s="259">
        <f t="shared" si="54"/>
        <v>150.25</v>
      </c>
      <c r="S60" s="259">
        <f t="shared" si="53"/>
        <v>167.5</v>
      </c>
      <c r="T60" s="259">
        <f t="shared" si="52"/>
        <v>179</v>
      </c>
      <c r="U60" s="259">
        <f t="shared" si="52"/>
        <v>294</v>
      </c>
      <c r="V60" s="259">
        <f t="shared" si="52"/>
        <v>409</v>
      </c>
      <c r="W60" s="259">
        <f t="shared" si="52"/>
        <v>524</v>
      </c>
      <c r="X60" s="259">
        <f t="shared" si="52"/>
        <v>639</v>
      </c>
      <c r="Y60" s="259">
        <f t="shared" si="52"/>
        <v>754</v>
      </c>
      <c r="Z60" s="259">
        <f t="shared" si="52"/>
        <v>869</v>
      </c>
      <c r="AA60" s="259">
        <f t="shared" si="52"/>
        <v>984</v>
      </c>
      <c r="AB60" s="259">
        <f t="shared" si="52"/>
        <v>1099</v>
      </c>
      <c r="AC60" s="260">
        <f t="shared" si="52"/>
        <v>1214</v>
      </c>
      <c r="AD60" s="259">
        <f t="shared" si="52"/>
        <v>1329</v>
      </c>
      <c r="AE60" s="264">
        <f t="shared" si="52"/>
        <v>1444</v>
      </c>
      <c r="AF60" s="257">
        <f t="shared" si="52"/>
        <v>1559</v>
      </c>
      <c r="AG60" s="257">
        <f t="shared" si="52"/>
        <v>1615</v>
      </c>
    </row>
    <row r="61" spans="1:36" x14ac:dyDescent="0.25">
      <c r="A61" s="53" t="s">
        <v>134</v>
      </c>
      <c r="B61" s="28"/>
      <c r="C61" s="28"/>
      <c r="D61" s="28"/>
      <c r="E61" s="28"/>
      <c r="F61" s="28"/>
      <c r="G61" s="160">
        <v>33</v>
      </c>
      <c r="H61" s="161">
        <v>63</v>
      </c>
      <c r="I61" s="162">
        <v>116</v>
      </c>
      <c r="J61" s="162">
        <v>248</v>
      </c>
      <c r="K61" s="162">
        <v>596</v>
      </c>
      <c r="L61" s="162">
        <v>1072</v>
      </c>
      <c r="M61" s="162">
        <v>2317</v>
      </c>
      <c r="N61" s="162">
        <v>4163</v>
      </c>
      <c r="O61" s="162">
        <v>6052</v>
      </c>
      <c r="P61" s="162">
        <v>6612</v>
      </c>
      <c r="Q61" s="162">
        <v>7019</v>
      </c>
      <c r="R61" s="198">
        <f>R37</f>
        <v>7400</v>
      </c>
      <c r="S61" s="198">
        <f>S37</f>
        <v>7800</v>
      </c>
      <c r="T61" s="198">
        <f>T37</f>
        <v>8000</v>
      </c>
      <c r="U61" s="198">
        <f t="shared" ref="U61:AD61" si="55">U37</f>
        <v>16000</v>
      </c>
      <c r="V61" s="198">
        <f t="shared" si="55"/>
        <v>32000</v>
      </c>
      <c r="W61" s="198">
        <f t="shared" si="55"/>
        <v>64000</v>
      </c>
      <c r="X61" s="198">
        <f t="shared" si="55"/>
        <v>128000</v>
      </c>
      <c r="Y61" s="198">
        <f t="shared" si="55"/>
        <v>256000</v>
      </c>
      <c r="Z61" s="198">
        <f t="shared" si="55"/>
        <v>512000</v>
      </c>
      <c r="AA61" s="198">
        <f t="shared" si="55"/>
        <v>1024000</v>
      </c>
      <c r="AB61" s="198">
        <f t="shared" si="55"/>
        <v>2048000</v>
      </c>
      <c r="AC61" s="198">
        <f t="shared" si="55"/>
        <v>4096000</v>
      </c>
      <c r="AD61" s="198">
        <f t="shared" si="55"/>
        <v>8192000</v>
      </c>
      <c r="AE61" s="255">
        <f t="shared" ref="AE61" si="56">AD61*2</f>
        <v>16384000</v>
      </c>
      <c r="AF61" s="202">
        <f>AF37</f>
        <v>25634000</v>
      </c>
      <c r="AG61" s="203">
        <f>AF61</f>
        <v>25634000</v>
      </c>
    </row>
    <row r="62" spans="1:36" x14ac:dyDescent="0.25">
      <c r="A62" s="53" t="s">
        <v>260</v>
      </c>
      <c r="B62" s="28"/>
      <c r="C62" s="28"/>
      <c r="D62" s="28"/>
      <c r="E62" s="28"/>
      <c r="F62" s="28"/>
      <c r="G62" s="208">
        <f>(G36-B33)/(LOG(G61/1)/LOG(2))</f>
        <v>7.3348749373107394</v>
      </c>
      <c r="H62" s="190">
        <f t="shared" ref="H62:AG62" si="57">(H36-$G$36)/(LOG(H61/$G$61)/LOG(2))</f>
        <v>4.287770252524326</v>
      </c>
      <c r="I62" s="190">
        <f t="shared" si="57"/>
        <v>4.4111479339015975</v>
      </c>
      <c r="J62" s="190">
        <f t="shared" si="57"/>
        <v>4.1239916709798061</v>
      </c>
      <c r="K62" s="190">
        <f t="shared" si="57"/>
        <v>3.8325424233151351</v>
      </c>
      <c r="L62" s="190">
        <f t="shared" si="57"/>
        <v>3.7835829796492675</v>
      </c>
      <c r="M62" s="190">
        <f t="shared" si="57"/>
        <v>3.5867723822019695</v>
      </c>
      <c r="N62" s="190">
        <f t="shared" si="57"/>
        <v>3.8687414968098568</v>
      </c>
      <c r="O62" s="190">
        <f>(O36-$G$36)/(LOG(O61/$G$61)/LOG(2))</f>
        <v>4.9675465906228018</v>
      </c>
      <c r="P62" s="190">
        <f>(P36-$G$36)/(LOG(P61/$G$61)/LOG(2))</f>
        <v>6.3885630863942993</v>
      </c>
      <c r="Q62" s="190">
        <f>(Q36-$G$36)/(LOG(Q61/$G$61)/LOG(2))</f>
        <v>9.5892023611624104</v>
      </c>
      <c r="R62" s="199">
        <f>(R36-$G$36)/(LOG(R61/$G$61)/LOG(2))</f>
        <v>14.50265416849677</v>
      </c>
      <c r="S62" s="199">
        <f>(S36-$G$36)/(LOG(S61/$G$61)/LOG(2))</f>
        <v>16.550697033232137</v>
      </c>
      <c r="T62" s="199">
        <f t="shared" si="57"/>
        <v>17.92614642591046</v>
      </c>
      <c r="U62" s="199">
        <f t="shared" si="57"/>
        <v>28.807169649356229</v>
      </c>
      <c r="V62" s="199">
        <f t="shared" si="57"/>
        <v>37.4947455751646</v>
      </c>
      <c r="W62" s="199">
        <f t="shared" si="57"/>
        <v>44.591392911422517</v>
      </c>
      <c r="X62" s="199">
        <f t="shared" si="57"/>
        <v>50.497466457567896</v>
      </c>
      <c r="Y62" s="199">
        <f t="shared" si="57"/>
        <v>55.489385493929291</v>
      </c>
      <c r="Z62" s="199">
        <f t="shared" si="57"/>
        <v>59.764146404976039</v>
      </c>
      <c r="AA62" s="199">
        <f t="shared" si="57"/>
        <v>63.46593645155378</v>
      </c>
      <c r="AB62" s="199">
        <f t="shared" si="57"/>
        <v>66.702718102740917</v>
      </c>
      <c r="AC62" s="199">
        <f t="shared" si="57"/>
        <v>69.556932882108754</v>
      </c>
      <c r="AD62" s="199">
        <f t="shared" si="57"/>
        <v>72.092621614887435</v>
      </c>
      <c r="AE62" s="256">
        <f t="shared" si="57"/>
        <v>74.360286834528239</v>
      </c>
      <c r="AF62" s="204">
        <f t="shared" si="57"/>
        <v>77.783383461145633</v>
      </c>
      <c r="AG62" s="205">
        <f t="shared" si="57"/>
        <v>80.645321354591204</v>
      </c>
    </row>
    <row r="63" spans="1:36" x14ac:dyDescent="0.25">
      <c r="A63" s="53" t="s">
        <v>290</v>
      </c>
      <c r="B63" s="28"/>
      <c r="C63" s="28"/>
      <c r="D63" s="28"/>
      <c r="E63" s="28"/>
      <c r="F63" s="28"/>
      <c r="G63" s="261">
        <v>17</v>
      </c>
      <c r="H63" s="262">
        <v>39</v>
      </c>
      <c r="I63" s="262">
        <v>91</v>
      </c>
      <c r="J63" s="262">
        <v>218</v>
      </c>
      <c r="K63" s="262">
        <v>547</v>
      </c>
      <c r="L63" s="262">
        <v>1019</v>
      </c>
      <c r="M63" s="262">
        <v>2191</v>
      </c>
      <c r="N63" s="262">
        <v>3902</v>
      </c>
      <c r="O63" s="262">
        <v>3189</v>
      </c>
      <c r="P63" s="262">
        <v>2311</v>
      </c>
      <c r="Q63" s="262">
        <v>584</v>
      </c>
      <c r="R63" s="263"/>
      <c r="S63" s="263"/>
      <c r="T63" s="263"/>
      <c r="U63" s="263"/>
      <c r="V63" s="263"/>
      <c r="W63" s="263"/>
      <c r="X63" s="263"/>
      <c r="Y63" s="263"/>
      <c r="Z63" s="263"/>
      <c r="AA63" s="263"/>
      <c r="AB63" s="263"/>
      <c r="AC63" s="263"/>
      <c r="AD63" s="263"/>
      <c r="AE63" s="255"/>
      <c r="AF63" s="202"/>
      <c r="AG63" s="203"/>
    </row>
    <row r="64" spans="1:36" x14ac:dyDescent="0.25">
      <c r="A64" s="53" t="s">
        <v>160</v>
      </c>
      <c r="B64" s="28"/>
      <c r="C64" s="28"/>
      <c r="D64" s="28"/>
      <c r="E64" s="28"/>
      <c r="F64" s="28"/>
      <c r="G64" s="119">
        <f>G61-G63-G65</f>
        <v>15</v>
      </c>
      <c r="H64" s="120">
        <f>H61-H63-H65</f>
        <v>22</v>
      </c>
      <c r="I64" s="120">
        <f t="shared" ref="I64:J64" si="58">I61-I63-I65</f>
        <v>22</v>
      </c>
      <c r="J64" s="120">
        <f t="shared" si="58"/>
        <v>25</v>
      </c>
      <c r="K64" s="163">
        <f>K61-K63-K65</f>
        <v>43</v>
      </c>
      <c r="L64" s="163">
        <f t="shared" ref="L64:N64" si="59">L61-L63-L65</f>
        <v>46</v>
      </c>
      <c r="M64" s="163">
        <f t="shared" si="59"/>
        <v>118</v>
      </c>
      <c r="N64" s="163">
        <f t="shared" si="59"/>
        <v>245</v>
      </c>
      <c r="O64" s="163">
        <f t="shared" ref="O64:P64" si="60">O61-O63-O65</f>
        <v>2813</v>
      </c>
      <c r="P64" s="163">
        <f t="shared" si="60"/>
        <v>4230</v>
      </c>
      <c r="Q64" s="163">
        <f t="shared" ref="Q64" si="61">Q61-Q63-Q65</f>
        <v>6337</v>
      </c>
      <c r="R64" s="249">
        <v>6605</v>
      </c>
      <c r="S64" s="249"/>
      <c r="T64" s="249"/>
      <c r="U64" s="200"/>
      <c r="V64" s="200"/>
      <c r="W64" s="200"/>
      <c r="X64" s="200"/>
      <c r="Y64" s="200"/>
      <c r="Z64" s="200"/>
      <c r="AA64" s="200"/>
      <c r="AB64" s="200"/>
      <c r="AC64" s="200"/>
      <c r="AD64" s="200"/>
      <c r="AE64" s="255"/>
      <c r="AF64" s="202"/>
      <c r="AG64" s="203"/>
    </row>
    <row r="65" spans="1:33" x14ac:dyDescent="0.25">
      <c r="A65" s="61" t="s">
        <v>135</v>
      </c>
      <c r="B65" s="50"/>
      <c r="C65" s="51"/>
      <c r="D65" s="51"/>
      <c r="E65" s="51"/>
      <c r="F65" s="51"/>
      <c r="G65" s="79">
        <v>1</v>
      </c>
      <c r="H65" s="80">
        <v>2</v>
      </c>
      <c r="I65" s="64">
        <v>3</v>
      </c>
      <c r="J65" s="64">
        <v>5</v>
      </c>
      <c r="K65" s="64">
        <v>6</v>
      </c>
      <c r="L65" s="64">
        <v>7</v>
      </c>
      <c r="M65" s="64">
        <v>8</v>
      </c>
      <c r="N65" s="64">
        <v>16</v>
      </c>
      <c r="O65" s="64">
        <v>50</v>
      </c>
      <c r="P65" s="64">
        <v>71</v>
      </c>
      <c r="Q65" s="64">
        <v>98</v>
      </c>
      <c r="R65" s="250">
        <v>103</v>
      </c>
      <c r="S65" s="250"/>
      <c r="T65" s="250"/>
      <c r="U65" s="201"/>
      <c r="V65" s="201"/>
      <c r="W65" s="201"/>
      <c r="X65" s="201"/>
      <c r="Y65" s="201"/>
      <c r="Z65" s="201"/>
      <c r="AA65" s="201"/>
      <c r="AB65" s="201"/>
      <c r="AC65" s="201"/>
      <c r="AD65" s="201"/>
      <c r="AE65" s="239"/>
      <c r="AF65" s="234"/>
      <c r="AG65" s="235"/>
    </row>
    <row r="66" spans="1:33" x14ac:dyDescent="0.25">
      <c r="B66" s="3"/>
      <c r="G66" s="47"/>
      <c r="H66" s="47"/>
      <c r="I66" s="47"/>
      <c r="J66" s="47"/>
      <c r="K66" s="47"/>
      <c r="L66" s="47"/>
      <c r="M66" s="47"/>
      <c r="N66" s="47"/>
      <c r="O66" s="47"/>
      <c r="P66" s="47"/>
      <c r="Q66" s="47"/>
      <c r="R66" s="47"/>
      <c r="S66" s="47"/>
      <c r="T66" s="47"/>
      <c r="U66" s="47"/>
      <c r="V66" s="47"/>
      <c r="W66" s="47"/>
      <c r="X66" s="47"/>
      <c r="Y66" s="47"/>
      <c r="Z66" s="47"/>
      <c r="AA66" s="47"/>
      <c r="AB66" s="47"/>
      <c r="AC66" s="47"/>
    </row>
    <row r="67" spans="1:33" x14ac:dyDescent="0.25">
      <c r="A67" s="86" t="s">
        <v>141</v>
      </c>
      <c r="AC67" s="28"/>
    </row>
    <row r="68" spans="1:33" x14ac:dyDescent="0.25">
      <c r="A68" s="16" t="s">
        <v>1</v>
      </c>
      <c r="B68" s="69" t="s">
        <v>147</v>
      </c>
      <c r="C68" s="17" t="s">
        <v>4</v>
      </c>
      <c r="D68" s="69" t="s">
        <v>143</v>
      </c>
      <c r="E68" s="70" t="s">
        <v>3</v>
      </c>
      <c r="F68" s="21" t="s">
        <v>4</v>
      </c>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17"/>
      <c r="AG68" s="59"/>
    </row>
    <row r="69" spans="1:33" x14ac:dyDescent="0.25">
      <c r="A69" s="53" t="s">
        <v>13</v>
      </c>
      <c r="B69" s="25">
        <f>'ABS Population by Age Range'!D107</f>
        <v>4.0260989985204748E-2</v>
      </c>
      <c r="C69" s="24">
        <f>$B$23*B69</f>
        <v>1032050.2172807385</v>
      </c>
      <c r="D69" s="34">
        <f>'AU Infection Rate by Age'!E4</f>
        <v>3.4007869589657111E-2</v>
      </c>
      <c r="E69" s="17"/>
      <c r="F69" s="28"/>
      <c r="G69" s="30">
        <f t="shared" ref="G69:AF69" si="62">G$37*$D$69</f>
        <v>1.0627459246767847</v>
      </c>
      <c r="H69" s="31">
        <f t="shared" si="62"/>
        <v>2.1254918493535695</v>
      </c>
      <c r="I69" s="31">
        <f t="shared" si="62"/>
        <v>4.250983698707139</v>
      </c>
      <c r="J69" s="31">
        <f t="shared" si="62"/>
        <v>8.501967397414278</v>
      </c>
      <c r="K69" s="31">
        <f t="shared" si="62"/>
        <v>17.003934794828556</v>
      </c>
      <c r="L69" s="31">
        <f t="shared" si="62"/>
        <v>34.007869589657112</v>
      </c>
      <c r="M69" s="31">
        <f t="shared" si="62"/>
        <v>68.015739179314224</v>
      </c>
      <c r="N69" s="31">
        <f t="shared" si="62"/>
        <v>136.03147835862845</v>
      </c>
      <c r="O69" s="31">
        <f t="shared" si="62"/>
        <v>204.04721753794266</v>
      </c>
      <c r="P69" s="31">
        <f t="shared" si="62"/>
        <v>224.45193929173692</v>
      </c>
      <c r="Q69" s="31">
        <f t="shared" si="62"/>
        <v>238.05508712759979</v>
      </c>
      <c r="R69" s="31">
        <f t="shared" si="62"/>
        <v>251.65823496346263</v>
      </c>
      <c r="S69" s="31">
        <f t="shared" si="62"/>
        <v>265.26138279932547</v>
      </c>
      <c r="T69" s="31">
        <f t="shared" si="62"/>
        <v>272.0629567172569</v>
      </c>
      <c r="U69" s="31">
        <f t="shared" si="62"/>
        <v>544.12591343451379</v>
      </c>
      <c r="V69" s="31">
        <f t="shared" si="62"/>
        <v>1088.2518268690276</v>
      </c>
      <c r="W69" s="31">
        <f t="shared" si="62"/>
        <v>2176.5036537380552</v>
      </c>
      <c r="X69" s="31">
        <f t="shared" si="62"/>
        <v>4353.0073074761103</v>
      </c>
      <c r="Y69" s="31">
        <f t="shared" si="62"/>
        <v>8706.0146149522207</v>
      </c>
      <c r="Z69" s="31">
        <f t="shared" si="62"/>
        <v>17412.029229904441</v>
      </c>
      <c r="AA69" s="31">
        <f t="shared" si="62"/>
        <v>34824.058459808883</v>
      </c>
      <c r="AB69" s="31">
        <f t="shared" si="62"/>
        <v>69648.116919617765</v>
      </c>
      <c r="AC69" s="31">
        <f t="shared" si="62"/>
        <v>139296.23383923553</v>
      </c>
      <c r="AD69" s="72">
        <f t="shared" si="62"/>
        <v>278592.46767847106</v>
      </c>
      <c r="AE69" s="31">
        <f t="shared" si="62"/>
        <v>557184.93535694212</v>
      </c>
      <c r="AF69" s="72">
        <f t="shared" si="62"/>
        <v>871757.72906127037</v>
      </c>
      <c r="AG69" s="57"/>
    </row>
    <row r="70" spans="1:33" x14ac:dyDescent="0.25">
      <c r="A70" s="53"/>
      <c r="B70" s="18"/>
      <c r="C70" s="22"/>
      <c r="D70" s="20"/>
      <c r="E70" s="39">
        <f>'AU Infection Rate by Age'!F18</f>
        <v>0.22727272727272727</v>
      </c>
      <c r="F70" s="22"/>
      <c r="G70" s="41">
        <f t="shared" ref="G70:AF70" si="63">G$37*$D$69*$E$70</f>
        <v>0.24153316469926925</v>
      </c>
      <c r="H70" s="42">
        <f t="shared" si="63"/>
        <v>0.4830663293985385</v>
      </c>
      <c r="I70" s="42">
        <f t="shared" si="63"/>
        <v>0.96613265879707699</v>
      </c>
      <c r="J70" s="42">
        <f t="shared" si="63"/>
        <v>1.932265317594154</v>
      </c>
      <c r="K70" s="42">
        <f t="shared" si="63"/>
        <v>3.864530635188308</v>
      </c>
      <c r="L70" s="42">
        <f t="shared" si="63"/>
        <v>7.7290612703766159</v>
      </c>
      <c r="M70" s="42">
        <f t="shared" si="63"/>
        <v>15.458122540753232</v>
      </c>
      <c r="N70" s="42">
        <f t="shared" si="63"/>
        <v>30.916245081506464</v>
      </c>
      <c r="O70" s="42">
        <f t="shared" si="63"/>
        <v>46.37436762225969</v>
      </c>
      <c r="P70" s="42">
        <f t="shared" si="63"/>
        <v>51.011804384485664</v>
      </c>
      <c r="Q70" s="42">
        <f t="shared" si="63"/>
        <v>54.103428892636316</v>
      </c>
      <c r="R70" s="42">
        <f t="shared" si="63"/>
        <v>57.195053400786961</v>
      </c>
      <c r="S70" s="42">
        <f t="shared" si="63"/>
        <v>60.286677908937605</v>
      </c>
      <c r="T70" s="42">
        <f t="shared" si="63"/>
        <v>61.832490163012928</v>
      </c>
      <c r="U70" s="42">
        <f t="shared" si="63"/>
        <v>123.66498032602586</v>
      </c>
      <c r="V70" s="42">
        <f t="shared" si="63"/>
        <v>247.32996065205171</v>
      </c>
      <c r="W70" s="42">
        <f t="shared" si="63"/>
        <v>494.65992130410342</v>
      </c>
      <c r="X70" s="42">
        <f t="shared" si="63"/>
        <v>989.31984260820684</v>
      </c>
      <c r="Y70" s="42">
        <f t="shared" si="63"/>
        <v>1978.6396852164137</v>
      </c>
      <c r="Z70" s="42">
        <f t="shared" si="63"/>
        <v>3957.2793704328274</v>
      </c>
      <c r="AA70" s="42">
        <f t="shared" si="63"/>
        <v>7914.5587408656547</v>
      </c>
      <c r="AB70" s="42">
        <f t="shared" si="63"/>
        <v>15829.117481731309</v>
      </c>
      <c r="AC70" s="42">
        <f t="shared" si="63"/>
        <v>31658.234963462619</v>
      </c>
      <c r="AD70" s="83">
        <f t="shared" si="63"/>
        <v>63316.469926925238</v>
      </c>
      <c r="AE70" s="42">
        <f t="shared" si="63"/>
        <v>126632.93985385048</v>
      </c>
      <c r="AF70" s="83">
        <f t="shared" si="63"/>
        <v>198126.75660483417</v>
      </c>
      <c r="AG70" s="57"/>
    </row>
    <row r="71" spans="1:33" x14ac:dyDescent="0.25">
      <c r="A71" s="53" t="s">
        <v>14</v>
      </c>
      <c r="B71" s="18">
        <f>'ABS Population by Age Range'!D97</f>
        <v>7.065336711718416E-2</v>
      </c>
      <c r="C71" s="22">
        <f t="shared" ref="C71:C85" si="64">$B$23*B71</f>
        <v>1811128.4126818988</v>
      </c>
      <c r="D71" s="35">
        <f>'AU Infection Rate by Age'!E5</f>
        <v>0.10539629005059022</v>
      </c>
      <c r="E71" s="29"/>
      <c r="F71" s="28"/>
      <c r="G71" s="32">
        <f t="shared" ref="G71:AF71" si="65">G$37*$D$71</f>
        <v>3.2936340640809441</v>
      </c>
      <c r="H71" s="33">
        <f t="shared" si="65"/>
        <v>6.5872681281618881</v>
      </c>
      <c r="I71" s="33">
        <f t="shared" si="65"/>
        <v>13.174536256323776</v>
      </c>
      <c r="J71" s="33">
        <f t="shared" si="65"/>
        <v>26.349072512647552</v>
      </c>
      <c r="K71" s="33">
        <f t="shared" si="65"/>
        <v>52.698145025295105</v>
      </c>
      <c r="L71" s="33">
        <f t="shared" si="65"/>
        <v>105.39629005059021</v>
      </c>
      <c r="M71" s="33">
        <f t="shared" si="65"/>
        <v>210.79258010118042</v>
      </c>
      <c r="N71" s="33">
        <f t="shared" si="65"/>
        <v>421.58516020236084</v>
      </c>
      <c r="O71" s="33">
        <f t="shared" si="65"/>
        <v>632.37774030354126</v>
      </c>
      <c r="P71" s="33">
        <f t="shared" si="65"/>
        <v>695.61551433389548</v>
      </c>
      <c r="Q71" s="33">
        <f t="shared" si="65"/>
        <v>737.77403035413147</v>
      </c>
      <c r="R71" s="33">
        <f t="shared" si="65"/>
        <v>779.93254637436758</v>
      </c>
      <c r="S71" s="33">
        <f t="shared" si="65"/>
        <v>822.09106239460368</v>
      </c>
      <c r="T71" s="33">
        <f t="shared" si="65"/>
        <v>843.17032040472168</v>
      </c>
      <c r="U71" s="33">
        <f t="shared" si="65"/>
        <v>1686.3406408094434</v>
      </c>
      <c r="V71" s="33">
        <f t="shared" si="65"/>
        <v>3372.6812816188867</v>
      </c>
      <c r="W71" s="33">
        <f t="shared" si="65"/>
        <v>6745.3625632377734</v>
      </c>
      <c r="X71" s="33">
        <f t="shared" si="65"/>
        <v>13490.725126475547</v>
      </c>
      <c r="Y71" s="33">
        <f t="shared" si="65"/>
        <v>26981.450252951094</v>
      </c>
      <c r="Z71" s="33">
        <f t="shared" si="65"/>
        <v>53962.900505902187</v>
      </c>
      <c r="AA71" s="33">
        <f t="shared" si="65"/>
        <v>107925.80101180437</v>
      </c>
      <c r="AB71" s="33">
        <f t="shared" si="65"/>
        <v>215851.60202360875</v>
      </c>
      <c r="AC71" s="33">
        <f t="shared" si="65"/>
        <v>431703.2040472175</v>
      </c>
      <c r="AD71" s="84">
        <f t="shared" si="65"/>
        <v>863406.408094435</v>
      </c>
      <c r="AE71" s="33">
        <f t="shared" si="65"/>
        <v>1726812.81618887</v>
      </c>
      <c r="AF71" s="84">
        <f t="shared" si="65"/>
        <v>2701728.4991568294</v>
      </c>
      <c r="AG71" s="57"/>
    </row>
    <row r="72" spans="1:33" x14ac:dyDescent="0.25">
      <c r="A72" s="53"/>
      <c r="B72" s="18"/>
      <c r="C72" s="22"/>
      <c r="D72" s="20"/>
      <c r="E72" s="39">
        <f>'AU Infection Rate by Age'!F19</f>
        <v>4.5333333333333337E-2</v>
      </c>
      <c r="F72" s="22"/>
      <c r="G72" s="41">
        <f t="shared" ref="G72:AF72" si="66">G$37*$D$71*$E$72</f>
        <v>0.1493114109050028</v>
      </c>
      <c r="H72" s="42">
        <f t="shared" si="66"/>
        <v>0.2986228218100056</v>
      </c>
      <c r="I72" s="42">
        <f t="shared" si="66"/>
        <v>0.5972456436200112</v>
      </c>
      <c r="J72" s="42">
        <f t="shared" si="66"/>
        <v>1.1944912872400224</v>
      </c>
      <c r="K72" s="42">
        <f t="shared" si="66"/>
        <v>2.3889825744800448</v>
      </c>
      <c r="L72" s="42">
        <f t="shared" si="66"/>
        <v>4.7779651489600896</v>
      </c>
      <c r="M72" s="42">
        <f t="shared" si="66"/>
        <v>9.5559302979201792</v>
      </c>
      <c r="N72" s="42">
        <f t="shared" si="66"/>
        <v>19.111860595840358</v>
      </c>
      <c r="O72" s="42">
        <f t="shared" si="66"/>
        <v>28.667790893760539</v>
      </c>
      <c r="P72" s="42">
        <f t="shared" si="66"/>
        <v>31.534569983136596</v>
      </c>
      <c r="Q72" s="42">
        <f t="shared" si="66"/>
        <v>33.445756042720632</v>
      </c>
      <c r="R72" s="42">
        <f t="shared" si="66"/>
        <v>35.356942102304664</v>
      </c>
      <c r="S72" s="42">
        <f t="shared" si="66"/>
        <v>37.268128161888704</v>
      </c>
      <c r="T72" s="42">
        <f t="shared" si="66"/>
        <v>38.223721191680717</v>
      </c>
      <c r="U72" s="42">
        <f t="shared" si="66"/>
        <v>76.447442383361434</v>
      </c>
      <c r="V72" s="42">
        <f t="shared" si="66"/>
        <v>152.89488476672287</v>
      </c>
      <c r="W72" s="42">
        <f t="shared" si="66"/>
        <v>305.78976953344574</v>
      </c>
      <c r="X72" s="42">
        <f t="shared" si="66"/>
        <v>611.57953906689147</v>
      </c>
      <c r="Y72" s="42">
        <f t="shared" si="66"/>
        <v>1223.1590781337829</v>
      </c>
      <c r="Z72" s="42">
        <f t="shared" si="66"/>
        <v>2446.3181562675659</v>
      </c>
      <c r="AA72" s="42">
        <f t="shared" si="66"/>
        <v>4892.6363125351318</v>
      </c>
      <c r="AB72" s="42">
        <f t="shared" si="66"/>
        <v>9785.2726250702635</v>
      </c>
      <c r="AC72" s="42">
        <f t="shared" si="66"/>
        <v>19570.545250140527</v>
      </c>
      <c r="AD72" s="83">
        <f t="shared" si="66"/>
        <v>39141.090500281054</v>
      </c>
      <c r="AE72" s="42">
        <f t="shared" si="66"/>
        <v>78282.181000562108</v>
      </c>
      <c r="AF72" s="83">
        <f t="shared" si="66"/>
        <v>122478.35862844295</v>
      </c>
      <c r="AG72" s="57"/>
    </row>
    <row r="73" spans="1:33" x14ac:dyDescent="0.25">
      <c r="A73" s="53" t="s">
        <v>15</v>
      </c>
      <c r="B73" s="18">
        <f>'ABS Population by Age Range'!D85</f>
        <v>0.10301766910746854</v>
      </c>
      <c r="C73" s="22">
        <f t="shared" si="64"/>
        <v>2640754.9299008488</v>
      </c>
      <c r="D73" s="35">
        <f>'AU Infection Rate by Age'!E6</f>
        <v>0.16315345699831366</v>
      </c>
      <c r="E73" s="29"/>
      <c r="F73" s="22"/>
      <c r="G73" s="32">
        <f t="shared" ref="G73:AF73" si="67">G$37*$D$73</f>
        <v>5.0985455311973018</v>
      </c>
      <c r="H73" s="33">
        <f t="shared" si="67"/>
        <v>10.197091062394604</v>
      </c>
      <c r="I73" s="33">
        <f t="shared" si="67"/>
        <v>20.394182124789207</v>
      </c>
      <c r="J73" s="33">
        <f t="shared" si="67"/>
        <v>40.788364249578414</v>
      </c>
      <c r="K73" s="33">
        <f t="shared" si="67"/>
        <v>81.576728499156829</v>
      </c>
      <c r="L73" s="33">
        <f t="shared" si="67"/>
        <v>163.15345699831366</v>
      </c>
      <c r="M73" s="33">
        <f t="shared" si="67"/>
        <v>326.30691399662732</v>
      </c>
      <c r="N73" s="33">
        <f t="shared" si="67"/>
        <v>652.61382799325463</v>
      </c>
      <c r="O73" s="33">
        <f t="shared" si="67"/>
        <v>978.92074198988189</v>
      </c>
      <c r="P73" s="33">
        <f t="shared" si="67"/>
        <v>1076.8128161888701</v>
      </c>
      <c r="Q73" s="33">
        <f t="shared" si="67"/>
        <v>1142.0741989881956</v>
      </c>
      <c r="R73" s="33">
        <f t="shared" si="67"/>
        <v>1207.3355817875211</v>
      </c>
      <c r="S73" s="33">
        <f t="shared" si="67"/>
        <v>1272.5969645868465</v>
      </c>
      <c r="T73" s="33">
        <f t="shared" si="67"/>
        <v>1305.2276559865093</v>
      </c>
      <c r="U73" s="33">
        <f t="shared" si="67"/>
        <v>2610.4553119730185</v>
      </c>
      <c r="V73" s="33">
        <f t="shared" si="67"/>
        <v>5220.910623946037</v>
      </c>
      <c r="W73" s="33">
        <f t="shared" si="67"/>
        <v>10441.821247892074</v>
      </c>
      <c r="X73" s="33">
        <f t="shared" si="67"/>
        <v>20883.642495784148</v>
      </c>
      <c r="Y73" s="33">
        <f t="shared" si="67"/>
        <v>41767.284991568296</v>
      </c>
      <c r="Z73" s="33">
        <f t="shared" si="67"/>
        <v>83534.569983136593</v>
      </c>
      <c r="AA73" s="33">
        <f t="shared" si="67"/>
        <v>167069.13996627319</v>
      </c>
      <c r="AB73" s="33">
        <f t="shared" si="67"/>
        <v>334138.27993254637</v>
      </c>
      <c r="AC73" s="33">
        <f t="shared" si="67"/>
        <v>668276.55986509274</v>
      </c>
      <c r="AD73" s="84">
        <f t="shared" si="67"/>
        <v>1336553.1197301855</v>
      </c>
      <c r="AE73" s="33">
        <f t="shared" si="67"/>
        <v>2673106.239460371</v>
      </c>
      <c r="AF73" s="84">
        <f t="shared" si="67"/>
        <v>4182275.7166947722</v>
      </c>
      <c r="AG73" s="57"/>
    </row>
    <row r="74" spans="1:33" x14ac:dyDescent="0.25">
      <c r="A74" s="53"/>
      <c r="B74" s="18"/>
      <c r="C74" s="22"/>
      <c r="D74" s="20"/>
      <c r="E74" s="39">
        <f>'AU Infection Rate by Age'!F20</f>
        <v>8.6132644272179162E-3</v>
      </c>
      <c r="F74" s="22"/>
      <c r="G74" s="41">
        <f t="shared" ref="G74:AF74" si="68">G$37*$D$73*$E$74</f>
        <v>4.3915120854412591E-2</v>
      </c>
      <c r="H74" s="42">
        <f t="shared" si="68"/>
        <v>8.7830241708825182E-2</v>
      </c>
      <c r="I74" s="42">
        <f t="shared" si="68"/>
        <v>0.17566048341765036</v>
      </c>
      <c r="J74" s="42">
        <f t="shared" si="68"/>
        <v>0.35132096683530073</v>
      </c>
      <c r="K74" s="42">
        <f t="shared" si="68"/>
        <v>0.70264193367060146</v>
      </c>
      <c r="L74" s="42">
        <f t="shared" si="68"/>
        <v>1.4052838673412029</v>
      </c>
      <c r="M74" s="42">
        <f t="shared" si="68"/>
        <v>2.8105677346824058</v>
      </c>
      <c r="N74" s="42">
        <f t="shared" si="68"/>
        <v>5.6211354693648117</v>
      </c>
      <c r="O74" s="42">
        <f t="shared" si="68"/>
        <v>8.4317032040472171</v>
      </c>
      <c r="P74" s="42">
        <f t="shared" si="68"/>
        <v>9.2748735244519391</v>
      </c>
      <c r="Q74" s="42">
        <f t="shared" si="68"/>
        <v>9.8369870713884211</v>
      </c>
      <c r="R74" s="42">
        <f t="shared" si="68"/>
        <v>10.399100618324901</v>
      </c>
      <c r="S74" s="42">
        <f t="shared" si="68"/>
        <v>10.961214165261383</v>
      </c>
      <c r="T74" s="42">
        <f t="shared" si="68"/>
        <v>11.242270938729623</v>
      </c>
      <c r="U74" s="42">
        <f t="shared" si="68"/>
        <v>22.484541877459247</v>
      </c>
      <c r="V74" s="42">
        <f t="shared" si="68"/>
        <v>44.969083754918493</v>
      </c>
      <c r="W74" s="42">
        <f t="shared" si="68"/>
        <v>89.938167509836987</v>
      </c>
      <c r="X74" s="42">
        <f t="shared" si="68"/>
        <v>179.87633501967397</v>
      </c>
      <c r="Y74" s="42">
        <f t="shared" si="68"/>
        <v>359.75267003934795</v>
      </c>
      <c r="Z74" s="42">
        <f t="shared" si="68"/>
        <v>719.50534007869589</v>
      </c>
      <c r="AA74" s="42">
        <f t="shared" si="68"/>
        <v>1439.0106801573918</v>
      </c>
      <c r="AB74" s="42">
        <f t="shared" si="68"/>
        <v>2878.0213603147836</v>
      </c>
      <c r="AC74" s="42">
        <f t="shared" si="68"/>
        <v>5756.0427206295672</v>
      </c>
      <c r="AD74" s="83">
        <f t="shared" si="68"/>
        <v>11512.085441259134</v>
      </c>
      <c r="AE74" s="42">
        <f t="shared" si="68"/>
        <v>23024.170882518269</v>
      </c>
      <c r="AF74" s="83">
        <f t="shared" si="68"/>
        <v>36023.046655424398</v>
      </c>
      <c r="AG74" s="57"/>
    </row>
    <row r="75" spans="1:33" x14ac:dyDescent="0.25">
      <c r="A75" s="53" t="s">
        <v>16</v>
      </c>
      <c r="B75" s="18">
        <f>'ABS Population by Age Range'!D73</f>
        <v>0.12142789925761971</v>
      </c>
      <c r="C75" s="22">
        <f t="shared" si="64"/>
        <v>3112682.7695698235</v>
      </c>
      <c r="D75" s="35">
        <f>'AU Infection Rate by Age'!E7</f>
        <v>0.15851602023608768</v>
      </c>
      <c r="E75" s="29"/>
      <c r="F75" s="22"/>
      <c r="G75" s="32">
        <f t="shared" ref="G75:AF75" si="69">G$37*$D$75</f>
        <v>4.9536256323777401</v>
      </c>
      <c r="H75" s="33">
        <f t="shared" si="69"/>
        <v>9.9072512647554802</v>
      </c>
      <c r="I75" s="33">
        <f t="shared" si="69"/>
        <v>19.81450252951096</v>
      </c>
      <c r="J75" s="33">
        <f t="shared" si="69"/>
        <v>39.629005059021921</v>
      </c>
      <c r="K75" s="33">
        <f t="shared" si="69"/>
        <v>79.258010118043842</v>
      </c>
      <c r="L75" s="33">
        <f t="shared" si="69"/>
        <v>158.51602023608768</v>
      </c>
      <c r="M75" s="33">
        <f t="shared" si="69"/>
        <v>317.03204047217537</v>
      </c>
      <c r="N75" s="33">
        <f t="shared" si="69"/>
        <v>634.06408094435074</v>
      </c>
      <c r="O75" s="33">
        <f t="shared" si="69"/>
        <v>951.0961214165261</v>
      </c>
      <c r="P75" s="33">
        <f t="shared" si="69"/>
        <v>1046.2057335581787</v>
      </c>
      <c r="Q75" s="33">
        <f t="shared" si="69"/>
        <v>1109.6121416526139</v>
      </c>
      <c r="R75" s="33">
        <f t="shared" si="69"/>
        <v>1173.0185497470488</v>
      </c>
      <c r="S75" s="33">
        <f t="shared" si="69"/>
        <v>1236.424957841484</v>
      </c>
      <c r="T75" s="33">
        <f t="shared" si="69"/>
        <v>1268.1281618887015</v>
      </c>
      <c r="U75" s="33">
        <f t="shared" si="69"/>
        <v>2536.2563237774029</v>
      </c>
      <c r="V75" s="33">
        <f t="shared" si="69"/>
        <v>5072.5126475548059</v>
      </c>
      <c r="W75" s="33">
        <f t="shared" si="69"/>
        <v>10145.025295109612</v>
      </c>
      <c r="X75" s="33">
        <f t="shared" si="69"/>
        <v>20290.050590219224</v>
      </c>
      <c r="Y75" s="33">
        <f t="shared" si="69"/>
        <v>40580.101180438447</v>
      </c>
      <c r="Z75" s="33">
        <f t="shared" si="69"/>
        <v>81160.202360876894</v>
      </c>
      <c r="AA75" s="33">
        <f t="shared" si="69"/>
        <v>162320.40472175379</v>
      </c>
      <c r="AB75" s="33">
        <f t="shared" si="69"/>
        <v>324640.80944350758</v>
      </c>
      <c r="AC75" s="33">
        <f t="shared" si="69"/>
        <v>649281.61888701515</v>
      </c>
      <c r="AD75" s="84">
        <f t="shared" si="69"/>
        <v>1298563.2377740303</v>
      </c>
      <c r="AE75" s="33">
        <f t="shared" si="69"/>
        <v>2597126.4755480606</v>
      </c>
      <c r="AF75" s="84">
        <f t="shared" si="69"/>
        <v>4063399.6627318719</v>
      </c>
      <c r="AG75" s="57"/>
    </row>
    <row r="76" spans="1:33" x14ac:dyDescent="0.25">
      <c r="A76" s="53"/>
      <c r="B76" s="18"/>
      <c r="C76" s="22"/>
      <c r="D76" s="20"/>
      <c r="E76" s="39">
        <f>'AU Infection Rate by Age'!F21</f>
        <v>1.7730496453900709E-3</v>
      </c>
      <c r="F76" s="22"/>
      <c r="G76" s="41">
        <f t="shared" ref="G76:AF76" si="70">G$37*$D$75*$E$76</f>
        <v>8.7830241708825186E-3</v>
      </c>
      <c r="H76" s="42">
        <f t="shared" si="70"/>
        <v>1.7566048341765037E-2</v>
      </c>
      <c r="I76" s="42">
        <f t="shared" si="70"/>
        <v>3.5132096683530074E-2</v>
      </c>
      <c r="J76" s="42">
        <f t="shared" si="70"/>
        <v>7.0264193367060149E-2</v>
      </c>
      <c r="K76" s="42">
        <f t="shared" si="70"/>
        <v>0.1405283867341203</v>
      </c>
      <c r="L76" s="42">
        <f t="shared" si="70"/>
        <v>0.28105677346824059</v>
      </c>
      <c r="M76" s="42">
        <f t="shared" si="70"/>
        <v>0.56211354693648119</v>
      </c>
      <c r="N76" s="42">
        <f t="shared" si="70"/>
        <v>1.1242270938729624</v>
      </c>
      <c r="O76" s="42">
        <f t="shared" si="70"/>
        <v>1.6863406408094435</v>
      </c>
      <c r="P76" s="42">
        <f t="shared" si="70"/>
        <v>1.8549747048903877</v>
      </c>
      <c r="Q76" s="42">
        <f t="shared" si="70"/>
        <v>1.9673974142776842</v>
      </c>
      <c r="R76" s="42">
        <f t="shared" si="70"/>
        <v>2.0798201236649803</v>
      </c>
      <c r="S76" s="42">
        <f t="shared" si="70"/>
        <v>2.1922428330522767</v>
      </c>
      <c r="T76" s="42">
        <f t="shared" si="70"/>
        <v>2.2484541877459248</v>
      </c>
      <c r="U76" s="42">
        <f t="shared" si="70"/>
        <v>4.4969083754918495</v>
      </c>
      <c r="V76" s="42">
        <f t="shared" si="70"/>
        <v>8.993816750983699</v>
      </c>
      <c r="W76" s="42">
        <f t="shared" si="70"/>
        <v>17.987633501967398</v>
      </c>
      <c r="X76" s="42">
        <f t="shared" si="70"/>
        <v>35.975267003934796</v>
      </c>
      <c r="Y76" s="42">
        <f t="shared" si="70"/>
        <v>71.950534007869592</v>
      </c>
      <c r="Z76" s="42">
        <f t="shared" si="70"/>
        <v>143.90106801573918</v>
      </c>
      <c r="AA76" s="42">
        <f t="shared" si="70"/>
        <v>287.80213603147837</v>
      </c>
      <c r="AB76" s="42">
        <f t="shared" si="70"/>
        <v>575.60427206295674</v>
      </c>
      <c r="AC76" s="42">
        <f t="shared" si="70"/>
        <v>1151.2085441259135</v>
      </c>
      <c r="AD76" s="83">
        <f t="shared" si="70"/>
        <v>2302.417088251827</v>
      </c>
      <c r="AE76" s="42">
        <f t="shared" si="70"/>
        <v>4604.8341765036539</v>
      </c>
      <c r="AF76" s="83">
        <f t="shared" si="70"/>
        <v>7204.6093310848792</v>
      </c>
      <c r="AG76" s="57"/>
    </row>
    <row r="77" spans="1:33" x14ac:dyDescent="0.25">
      <c r="A77" s="53" t="s">
        <v>17</v>
      </c>
      <c r="B77" s="18">
        <f>'ABS Population by Age Range'!D61</f>
        <v>0.12908272398046944</v>
      </c>
      <c r="C77" s="22">
        <f t="shared" si="64"/>
        <v>3308906.5465153535</v>
      </c>
      <c r="D77" s="35">
        <f>'AU Infection Rate by Age'!E8</f>
        <v>0.12703766160764474</v>
      </c>
      <c r="E77" s="29"/>
      <c r="F77" s="22"/>
      <c r="G77" s="32">
        <f t="shared" ref="G77:AF77" si="71">G$37*$D$77</f>
        <v>3.969926925238898</v>
      </c>
      <c r="H77" s="33">
        <f t="shared" si="71"/>
        <v>7.939853850477796</v>
      </c>
      <c r="I77" s="33">
        <f t="shared" si="71"/>
        <v>15.879707700955592</v>
      </c>
      <c r="J77" s="33">
        <f t="shared" si="71"/>
        <v>31.759415401911184</v>
      </c>
      <c r="K77" s="33">
        <f t="shared" si="71"/>
        <v>63.518830803822368</v>
      </c>
      <c r="L77" s="33">
        <f t="shared" si="71"/>
        <v>127.03766160764474</v>
      </c>
      <c r="M77" s="33">
        <f t="shared" si="71"/>
        <v>254.07532321528947</v>
      </c>
      <c r="N77" s="33">
        <f t="shared" si="71"/>
        <v>508.15064643057895</v>
      </c>
      <c r="O77" s="33">
        <f t="shared" si="71"/>
        <v>762.22596964586842</v>
      </c>
      <c r="P77" s="33">
        <f t="shared" si="71"/>
        <v>838.44856661045526</v>
      </c>
      <c r="Q77" s="33">
        <f t="shared" si="71"/>
        <v>889.26363125351315</v>
      </c>
      <c r="R77" s="33">
        <f t="shared" si="71"/>
        <v>940.07869589657105</v>
      </c>
      <c r="S77" s="33">
        <f t="shared" si="71"/>
        <v>990.89376053962894</v>
      </c>
      <c r="T77" s="33">
        <f t="shared" si="71"/>
        <v>1016.3012928611579</v>
      </c>
      <c r="U77" s="33">
        <f t="shared" si="71"/>
        <v>2032.6025857223158</v>
      </c>
      <c r="V77" s="33">
        <f t="shared" si="71"/>
        <v>4065.2051714446316</v>
      </c>
      <c r="W77" s="33">
        <f t="shared" si="71"/>
        <v>8130.4103428892631</v>
      </c>
      <c r="X77" s="33">
        <f t="shared" si="71"/>
        <v>16260.820685778526</v>
      </c>
      <c r="Y77" s="33">
        <f t="shared" si="71"/>
        <v>32521.641371557052</v>
      </c>
      <c r="Z77" s="33">
        <f t="shared" si="71"/>
        <v>65043.282743114105</v>
      </c>
      <c r="AA77" s="33">
        <f t="shared" si="71"/>
        <v>130086.56548622821</v>
      </c>
      <c r="AB77" s="33">
        <f t="shared" si="71"/>
        <v>260173.13097245642</v>
      </c>
      <c r="AC77" s="33">
        <f t="shared" si="71"/>
        <v>520346.26194491284</v>
      </c>
      <c r="AD77" s="84">
        <f t="shared" si="71"/>
        <v>1040692.5238898257</v>
      </c>
      <c r="AE77" s="33">
        <f t="shared" si="71"/>
        <v>2081385.0477796514</v>
      </c>
      <c r="AF77" s="84">
        <f t="shared" si="71"/>
        <v>3256483.4176503653</v>
      </c>
      <c r="AG77" s="57"/>
    </row>
    <row r="78" spans="1:33" x14ac:dyDescent="0.25">
      <c r="A78" s="53"/>
      <c r="B78" s="18"/>
      <c r="C78" s="22"/>
      <c r="D78" s="20"/>
      <c r="E78" s="39">
        <f>'AU Infection Rate by Age'!F22</f>
        <v>1.1061946902654867E-3</v>
      </c>
      <c r="F78" s="22"/>
      <c r="G78" s="41">
        <f t="shared" ref="G78:AF78" si="72">G$37*$D$77*$E$78</f>
        <v>4.3915120854412584E-3</v>
      </c>
      <c r="H78" s="42">
        <f t="shared" si="72"/>
        <v>8.7830241708825169E-3</v>
      </c>
      <c r="I78" s="42">
        <f t="shared" si="72"/>
        <v>1.7566048341765034E-2</v>
      </c>
      <c r="J78" s="42">
        <f t="shared" si="72"/>
        <v>3.5132096683530067E-2</v>
      </c>
      <c r="K78" s="42">
        <f t="shared" si="72"/>
        <v>7.0264193367060135E-2</v>
      </c>
      <c r="L78" s="42">
        <f t="shared" si="72"/>
        <v>0.14052838673412027</v>
      </c>
      <c r="M78" s="42">
        <f t="shared" si="72"/>
        <v>0.28105677346824054</v>
      </c>
      <c r="N78" s="42">
        <f t="shared" si="72"/>
        <v>0.56211354693648108</v>
      </c>
      <c r="O78" s="42">
        <f t="shared" si="72"/>
        <v>0.84317032040472173</v>
      </c>
      <c r="P78" s="42">
        <f t="shared" si="72"/>
        <v>0.92748735244519387</v>
      </c>
      <c r="Q78" s="42">
        <f t="shared" si="72"/>
        <v>0.983698707138842</v>
      </c>
      <c r="R78" s="42">
        <f t="shared" si="72"/>
        <v>1.0399100618324901</v>
      </c>
      <c r="S78" s="42">
        <f t="shared" si="72"/>
        <v>1.0961214165261381</v>
      </c>
      <c r="T78" s="42">
        <f t="shared" si="72"/>
        <v>1.1242270938729622</v>
      </c>
      <c r="U78" s="42">
        <f t="shared" si="72"/>
        <v>2.2484541877459243</v>
      </c>
      <c r="V78" s="42">
        <f t="shared" si="72"/>
        <v>4.4969083754918486</v>
      </c>
      <c r="W78" s="42">
        <f t="shared" si="72"/>
        <v>8.9938167509836973</v>
      </c>
      <c r="X78" s="42">
        <f t="shared" si="72"/>
        <v>17.987633501967395</v>
      </c>
      <c r="Y78" s="42">
        <f t="shared" si="72"/>
        <v>35.975267003934789</v>
      </c>
      <c r="Z78" s="42">
        <f t="shared" si="72"/>
        <v>71.950534007869578</v>
      </c>
      <c r="AA78" s="42">
        <f t="shared" si="72"/>
        <v>143.90106801573916</v>
      </c>
      <c r="AB78" s="42">
        <f t="shared" si="72"/>
        <v>287.80213603147831</v>
      </c>
      <c r="AC78" s="42">
        <f t="shared" si="72"/>
        <v>575.60427206295662</v>
      </c>
      <c r="AD78" s="83">
        <f t="shared" si="72"/>
        <v>1151.2085441259132</v>
      </c>
      <c r="AE78" s="42">
        <f t="shared" si="72"/>
        <v>2302.4170882518265</v>
      </c>
      <c r="AF78" s="83">
        <f t="shared" si="72"/>
        <v>3602.3046655424396</v>
      </c>
      <c r="AG78" s="57"/>
    </row>
    <row r="79" spans="1:33" x14ac:dyDescent="0.25">
      <c r="A79" s="53" t="s">
        <v>18</v>
      </c>
      <c r="B79" s="18">
        <f>'ABS Population by Age Range'!D49</f>
        <v>0.14481341657950456</v>
      </c>
      <c r="C79" s="22">
        <f t="shared" si="64"/>
        <v>3712147.1205990198</v>
      </c>
      <c r="D79" s="35">
        <f>'AU Infection Rate by Age'!E9</f>
        <v>0.15851602023608768</v>
      </c>
      <c r="E79" s="29"/>
      <c r="F79" s="22"/>
      <c r="G79" s="32">
        <f t="shared" ref="G79:AF79" si="73">G$37*$D$79</f>
        <v>4.9536256323777401</v>
      </c>
      <c r="H79" s="33">
        <f t="shared" si="73"/>
        <v>9.9072512647554802</v>
      </c>
      <c r="I79" s="33">
        <f t="shared" si="73"/>
        <v>19.81450252951096</v>
      </c>
      <c r="J79" s="33">
        <f t="shared" si="73"/>
        <v>39.629005059021921</v>
      </c>
      <c r="K79" s="33">
        <f t="shared" si="73"/>
        <v>79.258010118043842</v>
      </c>
      <c r="L79" s="33">
        <f t="shared" si="73"/>
        <v>158.51602023608768</v>
      </c>
      <c r="M79" s="33">
        <f t="shared" si="73"/>
        <v>317.03204047217537</v>
      </c>
      <c r="N79" s="33">
        <f t="shared" si="73"/>
        <v>634.06408094435074</v>
      </c>
      <c r="O79" s="33">
        <f t="shared" si="73"/>
        <v>951.0961214165261</v>
      </c>
      <c r="P79" s="33">
        <f t="shared" si="73"/>
        <v>1046.2057335581787</v>
      </c>
      <c r="Q79" s="33">
        <f t="shared" si="73"/>
        <v>1109.6121416526139</v>
      </c>
      <c r="R79" s="33">
        <f t="shared" si="73"/>
        <v>1173.0185497470488</v>
      </c>
      <c r="S79" s="33">
        <f t="shared" si="73"/>
        <v>1236.424957841484</v>
      </c>
      <c r="T79" s="33">
        <f t="shared" si="73"/>
        <v>1268.1281618887015</v>
      </c>
      <c r="U79" s="33">
        <f t="shared" si="73"/>
        <v>2536.2563237774029</v>
      </c>
      <c r="V79" s="33">
        <f t="shared" si="73"/>
        <v>5072.5126475548059</v>
      </c>
      <c r="W79" s="33">
        <f t="shared" si="73"/>
        <v>10145.025295109612</v>
      </c>
      <c r="X79" s="33">
        <f t="shared" si="73"/>
        <v>20290.050590219224</v>
      </c>
      <c r="Y79" s="33">
        <f t="shared" si="73"/>
        <v>40580.101180438447</v>
      </c>
      <c r="Z79" s="33">
        <f t="shared" si="73"/>
        <v>81160.202360876894</v>
      </c>
      <c r="AA79" s="33">
        <f t="shared" si="73"/>
        <v>162320.40472175379</v>
      </c>
      <c r="AB79" s="33">
        <f t="shared" si="73"/>
        <v>324640.80944350758</v>
      </c>
      <c r="AC79" s="33">
        <f t="shared" si="73"/>
        <v>649281.61888701515</v>
      </c>
      <c r="AD79" s="84">
        <f t="shared" si="73"/>
        <v>1298563.2377740303</v>
      </c>
      <c r="AE79" s="33">
        <f t="shared" si="73"/>
        <v>2597126.4755480606</v>
      </c>
      <c r="AF79" s="84">
        <f t="shared" si="73"/>
        <v>4063399.6627318719</v>
      </c>
      <c r="AG79" s="57"/>
    </row>
    <row r="80" spans="1:33" x14ac:dyDescent="0.25">
      <c r="A80" s="53"/>
      <c r="B80" s="18"/>
      <c r="C80" s="22"/>
      <c r="D80" s="20"/>
      <c r="E80" s="39">
        <f>'AU Infection Rate by Age'!F23</f>
        <v>8.8652482269503544E-4</v>
      </c>
      <c r="F80" s="22"/>
      <c r="G80" s="41">
        <f t="shared" ref="G80:AF80" si="74">G$37*$D$79*$E$80</f>
        <v>4.3915120854412593E-3</v>
      </c>
      <c r="H80" s="42">
        <f t="shared" si="74"/>
        <v>8.7830241708825186E-3</v>
      </c>
      <c r="I80" s="42">
        <f t="shared" si="74"/>
        <v>1.7566048341765037E-2</v>
      </c>
      <c r="J80" s="42">
        <f t="shared" si="74"/>
        <v>3.5132096683530074E-2</v>
      </c>
      <c r="K80" s="42">
        <f t="shared" si="74"/>
        <v>7.0264193367060149E-2</v>
      </c>
      <c r="L80" s="42">
        <f t="shared" si="74"/>
        <v>0.1405283867341203</v>
      </c>
      <c r="M80" s="42">
        <f t="shared" si="74"/>
        <v>0.28105677346824059</v>
      </c>
      <c r="N80" s="42">
        <f t="shared" si="74"/>
        <v>0.56211354693648119</v>
      </c>
      <c r="O80" s="42">
        <f t="shared" si="74"/>
        <v>0.84317032040472173</v>
      </c>
      <c r="P80" s="42">
        <f t="shared" si="74"/>
        <v>0.92748735244519387</v>
      </c>
      <c r="Q80" s="42">
        <f t="shared" si="74"/>
        <v>0.98369870713884211</v>
      </c>
      <c r="R80" s="42">
        <f t="shared" si="74"/>
        <v>1.0399100618324901</v>
      </c>
      <c r="S80" s="42">
        <f t="shared" si="74"/>
        <v>1.0961214165261384</v>
      </c>
      <c r="T80" s="42">
        <f t="shared" si="74"/>
        <v>1.1242270938729624</v>
      </c>
      <c r="U80" s="42">
        <f t="shared" si="74"/>
        <v>2.2484541877459248</v>
      </c>
      <c r="V80" s="42">
        <f t="shared" si="74"/>
        <v>4.4969083754918495</v>
      </c>
      <c r="W80" s="42">
        <f t="shared" si="74"/>
        <v>8.993816750983699</v>
      </c>
      <c r="X80" s="42">
        <f t="shared" si="74"/>
        <v>17.987633501967398</v>
      </c>
      <c r="Y80" s="42">
        <f t="shared" si="74"/>
        <v>35.975267003934796</v>
      </c>
      <c r="Z80" s="42">
        <f t="shared" si="74"/>
        <v>71.950534007869592</v>
      </c>
      <c r="AA80" s="42">
        <f t="shared" si="74"/>
        <v>143.90106801573918</v>
      </c>
      <c r="AB80" s="42">
        <f t="shared" si="74"/>
        <v>287.80213603147837</v>
      </c>
      <c r="AC80" s="42">
        <f t="shared" si="74"/>
        <v>575.60427206295674</v>
      </c>
      <c r="AD80" s="83">
        <f t="shared" si="74"/>
        <v>1151.2085441259135</v>
      </c>
      <c r="AE80" s="42">
        <f t="shared" si="74"/>
        <v>2302.417088251827</v>
      </c>
      <c r="AF80" s="83">
        <f t="shared" si="74"/>
        <v>3602.3046655424396</v>
      </c>
      <c r="AG80" s="57"/>
    </row>
    <row r="81" spans="1:33" x14ac:dyDescent="0.25">
      <c r="A81" s="53" t="s">
        <v>19</v>
      </c>
      <c r="B81" s="18">
        <f>'ABS Population by Age Range'!D37</f>
        <v>0.14458334093878666</v>
      </c>
      <c r="C81" s="22">
        <f t="shared" si="64"/>
        <v>3706249.3616248574</v>
      </c>
      <c r="D81" s="35">
        <f>'AU Infection Rate by Age'!E10</f>
        <v>0.20868465430016864</v>
      </c>
      <c r="E81" s="29"/>
      <c r="F81" s="22"/>
      <c r="G81" s="32">
        <f t="shared" ref="G81:AF81" si="75">G$37*$D$81</f>
        <v>6.5213954468802697</v>
      </c>
      <c r="H81" s="33">
        <f t="shared" si="75"/>
        <v>13.042790893760539</v>
      </c>
      <c r="I81" s="33">
        <f t="shared" si="75"/>
        <v>26.085581787521079</v>
      </c>
      <c r="J81" s="33">
        <f t="shared" si="75"/>
        <v>52.171163575042158</v>
      </c>
      <c r="K81" s="33">
        <f t="shared" si="75"/>
        <v>104.34232715008432</v>
      </c>
      <c r="L81" s="33">
        <f t="shared" si="75"/>
        <v>208.68465430016863</v>
      </c>
      <c r="M81" s="33">
        <f t="shared" si="75"/>
        <v>417.36930860033726</v>
      </c>
      <c r="N81" s="33">
        <f t="shared" si="75"/>
        <v>834.73861720067453</v>
      </c>
      <c r="O81" s="33">
        <f t="shared" si="75"/>
        <v>1252.1079258010118</v>
      </c>
      <c r="P81" s="33">
        <f t="shared" si="75"/>
        <v>1377.3187183811131</v>
      </c>
      <c r="Q81" s="33">
        <f t="shared" si="75"/>
        <v>1460.7925801011804</v>
      </c>
      <c r="R81" s="33">
        <f t="shared" si="75"/>
        <v>1544.266441821248</v>
      </c>
      <c r="S81" s="33">
        <f t="shared" si="75"/>
        <v>1627.7403035413154</v>
      </c>
      <c r="T81" s="33">
        <f t="shared" si="75"/>
        <v>1669.4772344013491</v>
      </c>
      <c r="U81" s="33">
        <f t="shared" si="75"/>
        <v>3338.9544688026981</v>
      </c>
      <c r="V81" s="33">
        <f t="shared" si="75"/>
        <v>6677.9089376053962</v>
      </c>
      <c r="W81" s="33">
        <f t="shared" si="75"/>
        <v>13355.817875210792</v>
      </c>
      <c r="X81" s="33">
        <f t="shared" si="75"/>
        <v>26711.635750421585</v>
      </c>
      <c r="Y81" s="33">
        <f t="shared" si="75"/>
        <v>53423.27150084317</v>
      </c>
      <c r="Z81" s="33">
        <f t="shared" si="75"/>
        <v>106846.54300168634</v>
      </c>
      <c r="AA81" s="33">
        <f t="shared" si="75"/>
        <v>213693.08600337268</v>
      </c>
      <c r="AB81" s="33">
        <f t="shared" si="75"/>
        <v>427386.17200674536</v>
      </c>
      <c r="AC81" s="33">
        <f t="shared" si="75"/>
        <v>854772.34401349071</v>
      </c>
      <c r="AD81" s="84">
        <f t="shared" si="75"/>
        <v>1709544.6880269814</v>
      </c>
      <c r="AE81" s="33">
        <f t="shared" si="75"/>
        <v>3419089.3760539629</v>
      </c>
      <c r="AF81" s="84">
        <f t="shared" si="75"/>
        <v>5349422.428330523</v>
      </c>
      <c r="AG81" s="57"/>
    </row>
    <row r="82" spans="1:33" x14ac:dyDescent="0.25">
      <c r="A82" s="53"/>
      <c r="B82" s="18"/>
      <c r="C82" s="22"/>
      <c r="D82" s="20"/>
      <c r="E82" s="39">
        <f>'AU Infection Rate by Age'!F24</f>
        <v>0</v>
      </c>
      <c r="F82" s="22"/>
      <c r="G82" s="41">
        <f t="shared" ref="G82:AF82" si="76">G$37*$D$81*$E$82</f>
        <v>0</v>
      </c>
      <c r="H82" s="42">
        <f t="shared" si="76"/>
        <v>0</v>
      </c>
      <c r="I82" s="42">
        <f t="shared" si="76"/>
        <v>0</v>
      </c>
      <c r="J82" s="42">
        <f t="shared" si="76"/>
        <v>0</v>
      </c>
      <c r="K82" s="42">
        <f t="shared" si="76"/>
        <v>0</v>
      </c>
      <c r="L82" s="42">
        <f t="shared" si="76"/>
        <v>0</v>
      </c>
      <c r="M82" s="42">
        <f t="shared" si="76"/>
        <v>0</v>
      </c>
      <c r="N82" s="42">
        <f t="shared" si="76"/>
        <v>0</v>
      </c>
      <c r="O82" s="42">
        <f t="shared" si="76"/>
        <v>0</v>
      </c>
      <c r="P82" s="42">
        <f t="shared" si="76"/>
        <v>0</v>
      </c>
      <c r="Q82" s="42">
        <f t="shared" si="76"/>
        <v>0</v>
      </c>
      <c r="R82" s="42">
        <f t="shared" si="76"/>
        <v>0</v>
      </c>
      <c r="S82" s="42">
        <f t="shared" si="76"/>
        <v>0</v>
      </c>
      <c r="T82" s="42">
        <f t="shared" si="76"/>
        <v>0</v>
      </c>
      <c r="U82" s="42">
        <f t="shared" si="76"/>
        <v>0</v>
      </c>
      <c r="V82" s="42">
        <f t="shared" si="76"/>
        <v>0</v>
      </c>
      <c r="W82" s="42">
        <f t="shared" si="76"/>
        <v>0</v>
      </c>
      <c r="X82" s="42">
        <f t="shared" si="76"/>
        <v>0</v>
      </c>
      <c r="Y82" s="42">
        <f t="shared" si="76"/>
        <v>0</v>
      </c>
      <c r="Z82" s="42">
        <f t="shared" si="76"/>
        <v>0</v>
      </c>
      <c r="AA82" s="42">
        <f t="shared" si="76"/>
        <v>0</v>
      </c>
      <c r="AB82" s="42">
        <f t="shared" si="76"/>
        <v>0</v>
      </c>
      <c r="AC82" s="42">
        <f t="shared" si="76"/>
        <v>0</v>
      </c>
      <c r="AD82" s="83">
        <f t="shared" si="76"/>
        <v>0</v>
      </c>
      <c r="AE82" s="42">
        <f t="shared" si="76"/>
        <v>0</v>
      </c>
      <c r="AF82" s="83">
        <f t="shared" si="76"/>
        <v>0</v>
      </c>
      <c r="AG82" s="57"/>
    </row>
    <row r="83" spans="1:33" x14ac:dyDescent="0.25">
      <c r="A83" s="54" t="s">
        <v>20</v>
      </c>
      <c r="B83" s="18">
        <f>'ABS Population by Age Range'!D25</f>
        <v>0.12056476079328157</v>
      </c>
      <c r="C83" s="22">
        <f t="shared" si="64"/>
        <v>3090557.0781749799</v>
      </c>
      <c r="D83" s="35">
        <f>'AU Infection Rate by Age'!E11</f>
        <v>3.1618887015177066E-2</v>
      </c>
      <c r="E83" s="29"/>
      <c r="F83" s="22"/>
      <c r="G83" s="32">
        <f t="shared" ref="G83:AF83" si="77">G$37*$D$83</f>
        <v>0.98809021922428331</v>
      </c>
      <c r="H83" s="33">
        <f t="shared" si="77"/>
        <v>1.9761804384485666</v>
      </c>
      <c r="I83" s="33">
        <f t="shared" si="77"/>
        <v>3.9523608768971332</v>
      </c>
      <c r="J83" s="33">
        <f t="shared" si="77"/>
        <v>7.9047217537942664</v>
      </c>
      <c r="K83" s="33">
        <f t="shared" si="77"/>
        <v>15.809443507588533</v>
      </c>
      <c r="L83" s="33">
        <f t="shared" si="77"/>
        <v>31.618887015177066</v>
      </c>
      <c r="M83" s="33">
        <f t="shared" si="77"/>
        <v>63.237774030354132</v>
      </c>
      <c r="N83" s="33">
        <f t="shared" si="77"/>
        <v>126.47554806070826</v>
      </c>
      <c r="O83" s="33">
        <f t="shared" si="77"/>
        <v>189.71332209106239</v>
      </c>
      <c r="P83" s="33">
        <f t="shared" si="77"/>
        <v>208.68465430016863</v>
      </c>
      <c r="Q83" s="33">
        <f t="shared" si="77"/>
        <v>221.33220910623947</v>
      </c>
      <c r="R83" s="33">
        <f t="shared" si="77"/>
        <v>233.97976391231029</v>
      </c>
      <c r="S83" s="33">
        <f t="shared" si="77"/>
        <v>246.6273187183811</v>
      </c>
      <c r="T83" s="33">
        <f t="shared" si="77"/>
        <v>252.95109612141653</v>
      </c>
      <c r="U83" s="33">
        <f t="shared" si="77"/>
        <v>505.90219224283305</v>
      </c>
      <c r="V83" s="33">
        <f t="shared" si="77"/>
        <v>1011.8043844856661</v>
      </c>
      <c r="W83" s="33">
        <f t="shared" si="77"/>
        <v>2023.6087689713322</v>
      </c>
      <c r="X83" s="33">
        <f t="shared" si="77"/>
        <v>4047.2175379426644</v>
      </c>
      <c r="Y83" s="33">
        <f t="shared" si="77"/>
        <v>8094.4350758853288</v>
      </c>
      <c r="Z83" s="33">
        <f t="shared" si="77"/>
        <v>16188.870151770658</v>
      </c>
      <c r="AA83" s="33">
        <f t="shared" si="77"/>
        <v>32377.740303541315</v>
      </c>
      <c r="AB83" s="33">
        <f t="shared" si="77"/>
        <v>64755.480607082631</v>
      </c>
      <c r="AC83" s="33">
        <f t="shared" si="77"/>
        <v>129510.96121416526</v>
      </c>
      <c r="AD83" s="84">
        <f t="shared" si="77"/>
        <v>259021.92242833052</v>
      </c>
      <c r="AE83" s="33">
        <f t="shared" si="77"/>
        <v>518043.84485666105</v>
      </c>
      <c r="AF83" s="84">
        <f t="shared" si="77"/>
        <v>810518.54974704888</v>
      </c>
      <c r="AG83" s="57"/>
    </row>
    <row r="84" spans="1:33" x14ac:dyDescent="0.25">
      <c r="A84" s="54"/>
      <c r="B84" s="18"/>
      <c r="C84" s="22"/>
      <c r="D84" s="20"/>
      <c r="E84" s="39">
        <f>'AU Infection Rate by Age'!F25</f>
        <v>0</v>
      </c>
      <c r="F84" s="22"/>
      <c r="G84" s="41">
        <f t="shared" ref="G84:AF84" si="78">G$37*$D$83*$E$84</f>
        <v>0</v>
      </c>
      <c r="H84" s="42">
        <f t="shared" si="78"/>
        <v>0</v>
      </c>
      <c r="I84" s="42">
        <f t="shared" si="78"/>
        <v>0</v>
      </c>
      <c r="J84" s="42">
        <f t="shared" si="78"/>
        <v>0</v>
      </c>
      <c r="K84" s="42">
        <f t="shared" si="78"/>
        <v>0</v>
      </c>
      <c r="L84" s="42">
        <f t="shared" si="78"/>
        <v>0</v>
      </c>
      <c r="M84" s="42">
        <f t="shared" si="78"/>
        <v>0</v>
      </c>
      <c r="N84" s="42">
        <f t="shared" si="78"/>
        <v>0</v>
      </c>
      <c r="O84" s="42">
        <f t="shared" si="78"/>
        <v>0</v>
      </c>
      <c r="P84" s="42">
        <f t="shared" si="78"/>
        <v>0</v>
      </c>
      <c r="Q84" s="42">
        <f t="shared" si="78"/>
        <v>0</v>
      </c>
      <c r="R84" s="42">
        <f t="shared" si="78"/>
        <v>0</v>
      </c>
      <c r="S84" s="42">
        <f t="shared" si="78"/>
        <v>0</v>
      </c>
      <c r="T84" s="42">
        <f t="shared" si="78"/>
        <v>0</v>
      </c>
      <c r="U84" s="42">
        <f t="shared" si="78"/>
        <v>0</v>
      </c>
      <c r="V84" s="42">
        <f t="shared" si="78"/>
        <v>0</v>
      </c>
      <c r="W84" s="42">
        <f t="shared" si="78"/>
        <v>0</v>
      </c>
      <c r="X84" s="42">
        <f t="shared" si="78"/>
        <v>0</v>
      </c>
      <c r="Y84" s="42">
        <f t="shared" si="78"/>
        <v>0</v>
      </c>
      <c r="Z84" s="42">
        <f t="shared" si="78"/>
        <v>0</v>
      </c>
      <c r="AA84" s="42">
        <f t="shared" si="78"/>
        <v>0</v>
      </c>
      <c r="AB84" s="42">
        <f t="shared" si="78"/>
        <v>0</v>
      </c>
      <c r="AC84" s="42">
        <f t="shared" si="78"/>
        <v>0</v>
      </c>
      <c r="AD84" s="83">
        <f t="shared" si="78"/>
        <v>0</v>
      </c>
      <c r="AE84" s="42">
        <f t="shared" si="78"/>
        <v>0</v>
      </c>
      <c r="AF84" s="83">
        <f t="shared" si="78"/>
        <v>0</v>
      </c>
      <c r="AG84" s="57"/>
    </row>
    <row r="85" spans="1:33" x14ac:dyDescent="0.25">
      <c r="A85" s="54" t="s">
        <v>21</v>
      </c>
      <c r="B85" s="18">
        <f>'ABS Population by Age Range'!D13</f>
        <v>0.1255958322404806</v>
      </c>
      <c r="C85" s="22">
        <f t="shared" si="64"/>
        <v>3219523.5636524796</v>
      </c>
      <c r="D85" s="35">
        <f>'AU Infection Rate by Age'!E12</f>
        <v>1.3069139966273187E-2</v>
      </c>
      <c r="E85" s="29"/>
      <c r="F85" s="22"/>
      <c r="G85" s="32">
        <f t="shared" ref="G85:AF85" si="79">G$37*$D$85</f>
        <v>0.40841062394603711</v>
      </c>
      <c r="H85" s="33">
        <f t="shared" si="79"/>
        <v>0.81682124789207422</v>
      </c>
      <c r="I85" s="33">
        <f t="shared" si="79"/>
        <v>1.6336424957841484</v>
      </c>
      <c r="J85" s="33">
        <f t="shared" si="79"/>
        <v>3.2672849915682969</v>
      </c>
      <c r="K85" s="33">
        <f t="shared" si="79"/>
        <v>6.5345699831365938</v>
      </c>
      <c r="L85" s="33">
        <f t="shared" si="79"/>
        <v>13.069139966273188</v>
      </c>
      <c r="M85" s="33">
        <f t="shared" si="79"/>
        <v>26.138279932546375</v>
      </c>
      <c r="N85" s="33">
        <f t="shared" si="79"/>
        <v>52.27655986509275</v>
      </c>
      <c r="O85" s="33">
        <f t="shared" si="79"/>
        <v>78.414839797639118</v>
      </c>
      <c r="P85" s="33">
        <f t="shared" si="79"/>
        <v>86.25632377740304</v>
      </c>
      <c r="Q85" s="33">
        <f t="shared" si="79"/>
        <v>91.483979763912302</v>
      </c>
      <c r="R85" s="33">
        <f t="shared" si="79"/>
        <v>96.711635750421578</v>
      </c>
      <c r="S85" s="33">
        <f t="shared" si="79"/>
        <v>101.93929173693085</v>
      </c>
      <c r="T85" s="33">
        <f t="shared" si="79"/>
        <v>104.5531197301855</v>
      </c>
      <c r="U85" s="33">
        <f t="shared" si="79"/>
        <v>209.106239460371</v>
      </c>
      <c r="V85" s="33">
        <f t="shared" si="79"/>
        <v>418.212478920742</v>
      </c>
      <c r="W85" s="33">
        <f t="shared" si="79"/>
        <v>836.424957841484</v>
      </c>
      <c r="X85" s="33">
        <f t="shared" si="79"/>
        <v>1672.849915682968</v>
      </c>
      <c r="Y85" s="33">
        <f t="shared" si="79"/>
        <v>3345.699831365936</v>
      </c>
      <c r="Z85" s="33">
        <f t="shared" si="79"/>
        <v>6691.399662731872</v>
      </c>
      <c r="AA85" s="33">
        <f t="shared" si="79"/>
        <v>13382.799325463744</v>
      </c>
      <c r="AB85" s="33">
        <f t="shared" si="79"/>
        <v>26765.598650927488</v>
      </c>
      <c r="AC85" s="33">
        <f t="shared" si="79"/>
        <v>53531.197301854976</v>
      </c>
      <c r="AD85" s="84">
        <f t="shared" si="79"/>
        <v>107062.39460370995</v>
      </c>
      <c r="AE85" s="33">
        <f t="shared" si="79"/>
        <v>214124.7892074199</v>
      </c>
      <c r="AF85" s="84">
        <f t="shared" si="79"/>
        <v>335014.33389544685</v>
      </c>
      <c r="AG85" s="57"/>
    </row>
    <row r="86" spans="1:33" x14ac:dyDescent="0.25">
      <c r="A86" s="54"/>
      <c r="B86" s="19"/>
      <c r="C86" s="23"/>
      <c r="D86" s="38"/>
      <c r="E86" s="40">
        <f>'AU Infection Rate by Age'!F26</f>
        <v>0</v>
      </c>
      <c r="F86" s="22"/>
      <c r="G86" s="41">
        <f t="shared" ref="G86:AF86" si="80">G$37*$D$85*$E$86</f>
        <v>0</v>
      </c>
      <c r="H86" s="42">
        <f t="shared" si="80"/>
        <v>0</v>
      </c>
      <c r="I86" s="42">
        <f t="shared" si="80"/>
        <v>0</v>
      </c>
      <c r="J86" s="42">
        <f t="shared" si="80"/>
        <v>0</v>
      </c>
      <c r="K86" s="42">
        <f t="shared" si="80"/>
        <v>0</v>
      </c>
      <c r="L86" s="42">
        <f t="shared" si="80"/>
        <v>0</v>
      </c>
      <c r="M86" s="42">
        <f t="shared" si="80"/>
        <v>0</v>
      </c>
      <c r="N86" s="42">
        <f t="shared" si="80"/>
        <v>0</v>
      </c>
      <c r="O86" s="42">
        <f t="shared" si="80"/>
        <v>0</v>
      </c>
      <c r="P86" s="42">
        <f t="shared" si="80"/>
        <v>0</v>
      </c>
      <c r="Q86" s="42">
        <f t="shared" si="80"/>
        <v>0</v>
      </c>
      <c r="R86" s="42">
        <f t="shared" si="80"/>
        <v>0</v>
      </c>
      <c r="S86" s="42">
        <f t="shared" si="80"/>
        <v>0</v>
      </c>
      <c r="T86" s="42">
        <f t="shared" si="80"/>
        <v>0</v>
      </c>
      <c r="U86" s="42">
        <f t="shared" si="80"/>
        <v>0</v>
      </c>
      <c r="V86" s="42">
        <f t="shared" si="80"/>
        <v>0</v>
      </c>
      <c r="W86" s="42">
        <f t="shared" si="80"/>
        <v>0</v>
      </c>
      <c r="X86" s="42">
        <f t="shared" si="80"/>
        <v>0</v>
      </c>
      <c r="Y86" s="42">
        <f t="shared" si="80"/>
        <v>0</v>
      </c>
      <c r="Z86" s="42">
        <f t="shared" si="80"/>
        <v>0</v>
      </c>
      <c r="AA86" s="42">
        <f t="shared" si="80"/>
        <v>0</v>
      </c>
      <c r="AB86" s="42">
        <f t="shared" si="80"/>
        <v>0</v>
      </c>
      <c r="AC86" s="42">
        <f t="shared" si="80"/>
        <v>0</v>
      </c>
      <c r="AD86" s="83">
        <f t="shared" si="80"/>
        <v>0</v>
      </c>
      <c r="AE86" s="44">
        <f t="shared" si="80"/>
        <v>0</v>
      </c>
      <c r="AF86" s="85">
        <f t="shared" si="80"/>
        <v>0</v>
      </c>
      <c r="AG86" s="57"/>
    </row>
    <row r="87" spans="1:33" x14ac:dyDescent="0.25">
      <c r="A87" s="53" t="s">
        <v>131</v>
      </c>
      <c r="B87" s="26"/>
      <c r="C87" s="22"/>
      <c r="D87" s="22"/>
      <c r="E87" s="27"/>
      <c r="F87" s="22"/>
      <c r="G87" s="30">
        <f t="shared" ref="G87:AB87" si="81">SUM(G69,G71,G73,G75,G77,G79,G81,G83,G85)</f>
        <v>31.249999999999996</v>
      </c>
      <c r="H87" s="31">
        <f t="shared" si="81"/>
        <v>62.499999999999993</v>
      </c>
      <c r="I87" s="31">
        <f t="shared" si="81"/>
        <v>124.99999999999999</v>
      </c>
      <c r="J87" s="31">
        <f t="shared" si="81"/>
        <v>249.99999999999997</v>
      </c>
      <c r="K87" s="31">
        <f t="shared" si="81"/>
        <v>499.99999999999994</v>
      </c>
      <c r="L87" s="31">
        <f>SUM(L69,L71,L73,L75,L77,L79,L81,L83,L85)</f>
        <v>999.99999999999989</v>
      </c>
      <c r="M87" s="31">
        <f t="shared" si="81"/>
        <v>1999.9999999999998</v>
      </c>
      <c r="N87" s="31">
        <f t="shared" si="81"/>
        <v>3999.9999999999995</v>
      </c>
      <c r="O87" s="31">
        <f t="shared" ref="O87:S87" si="82">SUM(O69,O71,O73,O75,O77,O79,O81,O83,O85)</f>
        <v>6000.0000000000009</v>
      </c>
      <c r="P87" s="31">
        <f t="shared" si="82"/>
        <v>6600</v>
      </c>
      <c r="Q87" s="31">
        <f t="shared" ref="Q87:R87" si="83">SUM(Q69,Q71,Q73,Q75,Q77,Q79,Q81,Q83,Q85)</f>
        <v>7000</v>
      </c>
      <c r="R87" s="31">
        <f t="shared" si="83"/>
        <v>7400</v>
      </c>
      <c r="S87" s="31">
        <f t="shared" si="82"/>
        <v>7799.9999999999991</v>
      </c>
      <c r="T87" s="31">
        <f t="shared" si="81"/>
        <v>7999.9999999999991</v>
      </c>
      <c r="U87" s="31">
        <f t="shared" si="81"/>
        <v>15999.999999999998</v>
      </c>
      <c r="V87" s="31">
        <f t="shared" si="81"/>
        <v>31999.999999999996</v>
      </c>
      <c r="W87" s="31">
        <f t="shared" si="81"/>
        <v>63999.999999999993</v>
      </c>
      <c r="X87" s="31">
        <f t="shared" si="81"/>
        <v>127999.99999999999</v>
      </c>
      <c r="Y87" s="31">
        <f t="shared" si="81"/>
        <v>255999.99999999997</v>
      </c>
      <c r="Z87" s="31">
        <f t="shared" si="81"/>
        <v>511999.99999999994</v>
      </c>
      <c r="AA87" s="31">
        <f t="shared" si="81"/>
        <v>1023999.9999999999</v>
      </c>
      <c r="AB87" s="31">
        <f t="shared" si="81"/>
        <v>2047999.9999999998</v>
      </c>
      <c r="AC87" s="31">
        <f t="shared" ref="AC87:AF88" si="84">SUM(AC69,AC71,AC73,AC75,AC77,AC79,AC81,AC83,AC85)</f>
        <v>4095999.9999999995</v>
      </c>
      <c r="AD87" s="72">
        <f t="shared" si="84"/>
        <v>8191999.9999999991</v>
      </c>
      <c r="AE87" s="31">
        <f t="shared" si="84"/>
        <v>16383999.999999998</v>
      </c>
      <c r="AF87" s="72">
        <f t="shared" si="84"/>
        <v>25634000</v>
      </c>
      <c r="AG87" s="57"/>
    </row>
    <row r="88" spans="1:33" x14ac:dyDescent="0.25">
      <c r="A88" s="55" t="s">
        <v>130</v>
      </c>
      <c r="B88" s="56"/>
      <c r="C88" s="23"/>
      <c r="D88" s="23"/>
      <c r="E88" s="50"/>
      <c r="F88" s="23"/>
      <c r="G88" s="43">
        <f>SUM(G70,G72,G74,G76,G78,G80,G82,G84,G86)</f>
        <v>0.45232574480044963</v>
      </c>
      <c r="H88" s="44">
        <f>SUM(H70,H72,H74,H76,H78,H80,H82,H84,H86)</f>
        <v>0.90465148960089925</v>
      </c>
      <c r="I88" s="44">
        <f t="shared" ref="I88:AB88" si="85">SUM(I70,I72,I74,I76,I78,I80,I82,I84,I86)</f>
        <v>1.8093029792017985</v>
      </c>
      <c r="J88" s="44">
        <f t="shared" si="85"/>
        <v>3.618605958403597</v>
      </c>
      <c r="K88" s="44">
        <f t="shared" si="85"/>
        <v>7.237211916807194</v>
      </c>
      <c r="L88" s="44">
        <f t="shared" si="85"/>
        <v>14.474423833614388</v>
      </c>
      <c r="M88" s="44">
        <f t="shared" si="85"/>
        <v>28.948847667228776</v>
      </c>
      <c r="N88" s="44">
        <f t="shared" si="85"/>
        <v>57.897695334457552</v>
      </c>
      <c r="O88" s="44">
        <f t="shared" ref="O88:S88" si="86">SUM(O70,O72,O74,O76,O78,O80,O82,O84,O86)</f>
        <v>86.846543001686342</v>
      </c>
      <c r="P88" s="44">
        <f>SUM(P70,P72,P74,P76,P78,P80,P82,P84,P86)</f>
        <v>95.531197301854974</v>
      </c>
      <c r="Q88" s="44">
        <f t="shared" ref="Q88:R88" si="87">SUM(Q70,Q72,Q74,Q76,Q78,Q80,Q82,Q84,Q86)</f>
        <v>101.32096683530074</v>
      </c>
      <c r="R88" s="44">
        <f t="shared" si="87"/>
        <v>107.11073636874647</v>
      </c>
      <c r="S88" s="44">
        <f t="shared" si="86"/>
        <v>112.90050590219225</v>
      </c>
      <c r="T88" s="44">
        <f t="shared" si="85"/>
        <v>115.7953906689151</v>
      </c>
      <c r="U88" s="44">
        <f t="shared" si="85"/>
        <v>231.59078133783021</v>
      </c>
      <c r="V88" s="44">
        <f t="shared" si="85"/>
        <v>463.18156267566042</v>
      </c>
      <c r="W88" s="44">
        <f t="shared" si="85"/>
        <v>926.36312535132083</v>
      </c>
      <c r="X88" s="44">
        <f t="shared" si="85"/>
        <v>1852.7262507026417</v>
      </c>
      <c r="Y88" s="44">
        <f t="shared" si="85"/>
        <v>3705.4525014052833</v>
      </c>
      <c r="Z88" s="44">
        <f t="shared" si="85"/>
        <v>7410.9050028105667</v>
      </c>
      <c r="AA88" s="44">
        <f t="shared" si="85"/>
        <v>14821.810005621133</v>
      </c>
      <c r="AB88" s="44">
        <f t="shared" si="85"/>
        <v>29643.620011242267</v>
      </c>
      <c r="AC88" s="44">
        <f t="shared" si="84"/>
        <v>59287.240022484533</v>
      </c>
      <c r="AD88" s="85">
        <f t="shared" si="84"/>
        <v>118574.48004496907</v>
      </c>
      <c r="AE88" s="44">
        <f t="shared" si="84"/>
        <v>237148.96008993813</v>
      </c>
      <c r="AF88" s="85">
        <f t="shared" si="84"/>
        <v>371037.38055087125</v>
      </c>
      <c r="AG88" s="57"/>
    </row>
    <row r="89" spans="1:33" x14ac:dyDescent="0.25">
      <c r="A89" s="54"/>
      <c r="B89" s="26"/>
      <c r="C89" s="22"/>
      <c r="D89" s="22"/>
      <c r="E89" s="27"/>
      <c r="F89" s="22"/>
      <c r="G89" s="57"/>
      <c r="H89" s="57"/>
      <c r="I89" s="57"/>
      <c r="J89" s="57"/>
      <c r="K89" s="57"/>
      <c r="L89" s="57"/>
      <c r="M89" s="57"/>
      <c r="N89" s="57"/>
      <c r="O89" s="57"/>
      <c r="P89" s="57"/>
      <c r="Q89" s="57"/>
      <c r="R89" s="57"/>
      <c r="S89" s="57"/>
      <c r="T89" s="57"/>
      <c r="U89" s="57"/>
      <c r="V89" s="57"/>
      <c r="W89" s="57"/>
      <c r="X89" s="57"/>
      <c r="Y89" s="57"/>
      <c r="Z89" s="57"/>
      <c r="AA89" s="57"/>
      <c r="AB89" s="57"/>
      <c r="AC89" s="57"/>
    </row>
    <row r="90" spans="1:33" x14ac:dyDescent="0.25">
      <c r="A90" s="66" t="s">
        <v>142</v>
      </c>
      <c r="B90" s="26"/>
      <c r="C90" s="22"/>
      <c r="D90" s="22"/>
      <c r="E90" s="27"/>
      <c r="F90" s="22"/>
      <c r="G90" s="57"/>
      <c r="H90" s="57"/>
      <c r="I90" s="57"/>
      <c r="J90" s="57"/>
      <c r="K90" s="57"/>
      <c r="L90" s="57"/>
      <c r="M90" s="57"/>
      <c r="N90" s="57"/>
      <c r="O90" s="57"/>
      <c r="P90" s="57"/>
      <c r="Q90" s="57"/>
      <c r="R90" s="57"/>
      <c r="S90" s="57"/>
      <c r="T90" s="57"/>
      <c r="U90" s="57"/>
      <c r="V90" s="57"/>
      <c r="W90" s="57"/>
      <c r="X90" s="57"/>
      <c r="Y90" s="57"/>
      <c r="Z90" s="57"/>
      <c r="AA90" s="57"/>
      <c r="AB90" s="57"/>
      <c r="AC90" s="57"/>
    </row>
    <row r="91" spans="1:33" x14ac:dyDescent="0.25">
      <c r="A91" s="16"/>
      <c r="B91" s="21" t="s">
        <v>6</v>
      </c>
      <c r="C91" s="21" t="s">
        <v>4</v>
      </c>
      <c r="D91" s="21"/>
      <c r="E91" s="71" t="s">
        <v>3</v>
      </c>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17"/>
      <c r="AG91" s="59"/>
    </row>
    <row r="92" spans="1:33" x14ac:dyDescent="0.25">
      <c r="A92" s="53" t="s">
        <v>2</v>
      </c>
      <c r="B92" s="36">
        <v>0.05</v>
      </c>
      <c r="C92" s="22">
        <f>$B$23 * B92</f>
        <v>1281700</v>
      </c>
      <c r="D92" s="28"/>
      <c r="E92" s="28"/>
      <c r="F92" s="28"/>
      <c r="G92" s="30">
        <f t="shared" ref="G92:AF92" si="88">G$37*$B$92</f>
        <v>1.5625</v>
      </c>
      <c r="H92" s="31">
        <f t="shared" si="88"/>
        <v>3.125</v>
      </c>
      <c r="I92" s="31">
        <f t="shared" si="88"/>
        <v>6.25</v>
      </c>
      <c r="J92" s="31">
        <f t="shared" si="88"/>
        <v>12.5</v>
      </c>
      <c r="K92" s="31">
        <f t="shared" si="88"/>
        <v>25</v>
      </c>
      <c r="L92" s="31">
        <f t="shared" si="88"/>
        <v>50</v>
      </c>
      <c r="M92" s="31">
        <f t="shared" si="88"/>
        <v>100</v>
      </c>
      <c r="N92" s="31">
        <f t="shared" si="88"/>
        <v>200</v>
      </c>
      <c r="O92" s="31">
        <f t="shared" si="88"/>
        <v>300</v>
      </c>
      <c r="P92" s="31">
        <f t="shared" si="88"/>
        <v>330</v>
      </c>
      <c r="Q92" s="31">
        <f t="shared" si="88"/>
        <v>350</v>
      </c>
      <c r="R92" s="31">
        <f t="shared" si="88"/>
        <v>370</v>
      </c>
      <c r="S92" s="31">
        <f t="shared" si="88"/>
        <v>390</v>
      </c>
      <c r="T92" s="31">
        <f t="shared" si="88"/>
        <v>400</v>
      </c>
      <c r="U92" s="31">
        <f t="shared" si="88"/>
        <v>800</v>
      </c>
      <c r="V92" s="31">
        <f t="shared" si="88"/>
        <v>1600</v>
      </c>
      <c r="W92" s="31">
        <f t="shared" si="88"/>
        <v>3200</v>
      </c>
      <c r="X92" s="31">
        <f t="shared" si="88"/>
        <v>6400</v>
      </c>
      <c r="Y92" s="31">
        <f t="shared" si="88"/>
        <v>12800</v>
      </c>
      <c r="Z92" s="31">
        <f t="shared" si="88"/>
        <v>25600</v>
      </c>
      <c r="AA92" s="31">
        <f t="shared" si="88"/>
        <v>51200</v>
      </c>
      <c r="AB92" s="31">
        <f t="shared" si="88"/>
        <v>102400</v>
      </c>
      <c r="AC92" s="31">
        <f t="shared" si="88"/>
        <v>204800</v>
      </c>
      <c r="AD92" s="72">
        <f t="shared" si="88"/>
        <v>409600</v>
      </c>
      <c r="AE92" s="31">
        <f t="shared" si="88"/>
        <v>819200</v>
      </c>
      <c r="AF92" s="72">
        <f t="shared" si="88"/>
        <v>1281700</v>
      </c>
      <c r="AG92" s="57"/>
    </row>
    <row r="93" spans="1:33" x14ac:dyDescent="0.25">
      <c r="A93" s="53"/>
      <c r="B93" s="28"/>
      <c r="C93" s="28"/>
      <c r="D93" s="37"/>
      <c r="E93" s="58">
        <v>0.105</v>
      </c>
      <c r="F93" s="28"/>
      <c r="G93" s="41">
        <f>G92*$E$93</f>
        <v>0.1640625</v>
      </c>
      <c r="H93" s="42">
        <f t="shared" ref="H93:AB93" si="89">H92*$E$93</f>
        <v>0.328125</v>
      </c>
      <c r="I93" s="42">
        <f t="shared" si="89"/>
        <v>0.65625</v>
      </c>
      <c r="J93" s="42">
        <f t="shared" si="89"/>
        <v>1.3125</v>
      </c>
      <c r="K93" s="42">
        <f t="shared" si="89"/>
        <v>2.625</v>
      </c>
      <c r="L93" s="42">
        <f t="shared" si="89"/>
        <v>5.25</v>
      </c>
      <c r="M93" s="42">
        <f t="shared" si="89"/>
        <v>10.5</v>
      </c>
      <c r="N93" s="42">
        <f t="shared" si="89"/>
        <v>21</v>
      </c>
      <c r="O93" s="42">
        <f t="shared" ref="O93:S93" si="90">O92*$E$93</f>
        <v>31.5</v>
      </c>
      <c r="P93" s="42">
        <f t="shared" si="90"/>
        <v>34.65</v>
      </c>
      <c r="Q93" s="42">
        <f t="shared" ref="Q93:R93" si="91">Q92*$E$93</f>
        <v>36.75</v>
      </c>
      <c r="R93" s="42">
        <f t="shared" si="91"/>
        <v>38.85</v>
      </c>
      <c r="S93" s="42">
        <f t="shared" si="90"/>
        <v>40.949999999999996</v>
      </c>
      <c r="T93" s="42">
        <f t="shared" si="89"/>
        <v>42</v>
      </c>
      <c r="U93" s="42">
        <f t="shared" si="89"/>
        <v>84</v>
      </c>
      <c r="V93" s="42">
        <f t="shared" si="89"/>
        <v>168</v>
      </c>
      <c r="W93" s="42">
        <f t="shared" si="89"/>
        <v>336</v>
      </c>
      <c r="X93" s="42">
        <f t="shared" si="89"/>
        <v>672</v>
      </c>
      <c r="Y93" s="42">
        <f t="shared" si="89"/>
        <v>1344</v>
      </c>
      <c r="Z93" s="42">
        <f t="shared" si="89"/>
        <v>2688</v>
      </c>
      <c r="AA93" s="42">
        <f t="shared" si="89"/>
        <v>5376</v>
      </c>
      <c r="AB93" s="42">
        <f t="shared" si="89"/>
        <v>10752</v>
      </c>
      <c r="AC93" s="42">
        <f>AC92*$E$93</f>
        <v>21504</v>
      </c>
      <c r="AD93" s="83">
        <f>AD92*$E$93</f>
        <v>43008</v>
      </c>
      <c r="AE93" s="42">
        <f>AE92*$E$93</f>
        <v>86016</v>
      </c>
      <c r="AF93" s="83">
        <f>AF92*$E$93</f>
        <v>134578.5</v>
      </c>
      <c r="AG93" s="57"/>
    </row>
    <row r="94" spans="1:33" x14ac:dyDescent="0.25">
      <c r="A94" s="53" t="s">
        <v>5</v>
      </c>
      <c r="B94" s="36">
        <v>4.9000000000000002E-2</v>
      </c>
      <c r="C94" s="22">
        <f>$B$23 * B94</f>
        <v>1256066</v>
      </c>
      <c r="D94" s="59"/>
      <c r="E94" s="28"/>
      <c r="F94" s="28"/>
      <c r="G94" s="32">
        <f t="shared" ref="G94:AF94" si="92">G$37*$B$94</f>
        <v>1.53125</v>
      </c>
      <c r="H94" s="33">
        <f t="shared" si="92"/>
        <v>3.0625</v>
      </c>
      <c r="I94" s="33">
        <f t="shared" si="92"/>
        <v>6.125</v>
      </c>
      <c r="J94" s="33">
        <f t="shared" si="92"/>
        <v>12.25</v>
      </c>
      <c r="K94" s="33">
        <f t="shared" si="92"/>
        <v>24.5</v>
      </c>
      <c r="L94" s="33">
        <f t="shared" si="92"/>
        <v>49</v>
      </c>
      <c r="M94" s="33">
        <f t="shared" si="92"/>
        <v>98</v>
      </c>
      <c r="N94" s="33">
        <f t="shared" si="92"/>
        <v>196</v>
      </c>
      <c r="O94" s="33">
        <f t="shared" si="92"/>
        <v>294</v>
      </c>
      <c r="P94" s="33">
        <f t="shared" si="92"/>
        <v>323.40000000000003</v>
      </c>
      <c r="Q94" s="33">
        <f t="shared" si="92"/>
        <v>343</v>
      </c>
      <c r="R94" s="33">
        <f t="shared" si="92"/>
        <v>362.6</v>
      </c>
      <c r="S94" s="33">
        <f t="shared" si="92"/>
        <v>382.2</v>
      </c>
      <c r="T94" s="33">
        <f t="shared" si="92"/>
        <v>392</v>
      </c>
      <c r="U94" s="33">
        <f t="shared" si="92"/>
        <v>784</v>
      </c>
      <c r="V94" s="33">
        <f t="shared" si="92"/>
        <v>1568</v>
      </c>
      <c r="W94" s="33">
        <f t="shared" si="92"/>
        <v>3136</v>
      </c>
      <c r="X94" s="33">
        <f t="shared" si="92"/>
        <v>6272</v>
      </c>
      <c r="Y94" s="33">
        <f t="shared" si="92"/>
        <v>12544</v>
      </c>
      <c r="Z94" s="33">
        <f t="shared" si="92"/>
        <v>25088</v>
      </c>
      <c r="AA94" s="33">
        <f t="shared" si="92"/>
        <v>50176</v>
      </c>
      <c r="AB94" s="33">
        <f t="shared" si="92"/>
        <v>100352</v>
      </c>
      <c r="AC94" s="33">
        <f t="shared" si="92"/>
        <v>200704</v>
      </c>
      <c r="AD94" s="84">
        <f t="shared" si="92"/>
        <v>401408</v>
      </c>
      <c r="AE94" s="33">
        <f t="shared" si="92"/>
        <v>802816</v>
      </c>
      <c r="AF94" s="84">
        <f t="shared" si="92"/>
        <v>1256066</v>
      </c>
      <c r="AG94" s="57"/>
    </row>
    <row r="95" spans="1:33" x14ac:dyDescent="0.25">
      <c r="A95" s="53"/>
      <c r="B95" s="28"/>
      <c r="C95" s="28"/>
      <c r="D95" s="37"/>
      <c r="E95" s="58">
        <v>7.2999999999999995E-2</v>
      </c>
      <c r="F95" s="28"/>
      <c r="G95" s="41">
        <f t="shared" ref="G95:AB95" si="93">G94*$E$95</f>
        <v>0.11178125</v>
      </c>
      <c r="H95" s="42">
        <f t="shared" si="93"/>
        <v>0.2235625</v>
      </c>
      <c r="I95" s="42">
        <f t="shared" si="93"/>
        <v>0.44712499999999999</v>
      </c>
      <c r="J95" s="42">
        <f t="shared" si="93"/>
        <v>0.89424999999999999</v>
      </c>
      <c r="K95" s="42">
        <f t="shared" si="93"/>
        <v>1.7885</v>
      </c>
      <c r="L95" s="42">
        <f t="shared" si="93"/>
        <v>3.577</v>
      </c>
      <c r="M95" s="42">
        <f t="shared" si="93"/>
        <v>7.1539999999999999</v>
      </c>
      <c r="N95" s="42">
        <f t="shared" si="93"/>
        <v>14.308</v>
      </c>
      <c r="O95" s="42">
        <f t="shared" ref="O95:S95" si="94">O94*$E$95</f>
        <v>21.462</v>
      </c>
      <c r="P95" s="42">
        <f t="shared" si="94"/>
        <v>23.6082</v>
      </c>
      <c r="Q95" s="42">
        <f t="shared" ref="Q95:R95" si="95">Q94*$E$95</f>
        <v>25.038999999999998</v>
      </c>
      <c r="R95" s="42">
        <f t="shared" si="95"/>
        <v>26.469799999999999</v>
      </c>
      <c r="S95" s="42">
        <f t="shared" si="94"/>
        <v>27.900599999999997</v>
      </c>
      <c r="T95" s="42">
        <f t="shared" si="93"/>
        <v>28.616</v>
      </c>
      <c r="U95" s="42">
        <f t="shared" si="93"/>
        <v>57.231999999999999</v>
      </c>
      <c r="V95" s="42">
        <f t="shared" si="93"/>
        <v>114.464</v>
      </c>
      <c r="W95" s="42">
        <f t="shared" si="93"/>
        <v>228.928</v>
      </c>
      <c r="X95" s="42">
        <f t="shared" si="93"/>
        <v>457.85599999999999</v>
      </c>
      <c r="Y95" s="42">
        <f t="shared" si="93"/>
        <v>915.71199999999999</v>
      </c>
      <c r="Z95" s="42">
        <f t="shared" si="93"/>
        <v>1831.424</v>
      </c>
      <c r="AA95" s="42">
        <f t="shared" si="93"/>
        <v>3662.848</v>
      </c>
      <c r="AB95" s="42">
        <f t="shared" si="93"/>
        <v>7325.6959999999999</v>
      </c>
      <c r="AC95" s="42">
        <f>AC94*$E$95</f>
        <v>14651.392</v>
      </c>
      <c r="AD95" s="83">
        <f>AD94*$E$95</f>
        <v>29302.784</v>
      </c>
      <c r="AE95" s="42">
        <f>AE94*$E$95</f>
        <v>58605.567999999999</v>
      </c>
      <c r="AF95" s="83">
        <f>AF94*$E$95</f>
        <v>91692.817999999999</v>
      </c>
      <c r="AG95" s="57"/>
    </row>
    <row r="96" spans="1:33" x14ac:dyDescent="0.25">
      <c r="A96" s="53" t="s">
        <v>7</v>
      </c>
      <c r="B96" s="36">
        <v>0.31</v>
      </c>
      <c r="C96" s="22">
        <f>$B$23 * B96</f>
        <v>7946540</v>
      </c>
      <c r="D96" s="59"/>
      <c r="E96" s="28"/>
      <c r="F96" s="28"/>
      <c r="G96" s="32">
        <f t="shared" ref="G96:AF96" si="96">G$37*$B$96</f>
        <v>9.6875</v>
      </c>
      <c r="H96" s="33">
        <f t="shared" si="96"/>
        <v>19.375</v>
      </c>
      <c r="I96" s="33">
        <f t="shared" si="96"/>
        <v>38.75</v>
      </c>
      <c r="J96" s="33">
        <f t="shared" si="96"/>
        <v>77.5</v>
      </c>
      <c r="K96" s="33">
        <f t="shared" si="96"/>
        <v>155</v>
      </c>
      <c r="L96" s="33">
        <f t="shared" si="96"/>
        <v>310</v>
      </c>
      <c r="M96" s="33">
        <f t="shared" si="96"/>
        <v>620</v>
      </c>
      <c r="N96" s="33">
        <f t="shared" si="96"/>
        <v>1240</v>
      </c>
      <c r="O96" s="33">
        <f t="shared" si="96"/>
        <v>1860</v>
      </c>
      <c r="P96" s="33">
        <f t="shared" si="96"/>
        <v>2046</v>
      </c>
      <c r="Q96" s="33">
        <f t="shared" si="96"/>
        <v>2170</v>
      </c>
      <c r="R96" s="33">
        <f t="shared" si="96"/>
        <v>2294</v>
      </c>
      <c r="S96" s="33">
        <f t="shared" si="96"/>
        <v>2418</v>
      </c>
      <c r="T96" s="33">
        <f t="shared" si="96"/>
        <v>2480</v>
      </c>
      <c r="U96" s="33">
        <f t="shared" si="96"/>
        <v>4960</v>
      </c>
      <c r="V96" s="33">
        <f t="shared" si="96"/>
        <v>9920</v>
      </c>
      <c r="W96" s="33">
        <f t="shared" si="96"/>
        <v>19840</v>
      </c>
      <c r="X96" s="33">
        <f t="shared" si="96"/>
        <v>39680</v>
      </c>
      <c r="Y96" s="33">
        <f t="shared" si="96"/>
        <v>79360</v>
      </c>
      <c r="Z96" s="33">
        <f t="shared" si="96"/>
        <v>158720</v>
      </c>
      <c r="AA96" s="33">
        <f t="shared" si="96"/>
        <v>317440</v>
      </c>
      <c r="AB96" s="33">
        <f t="shared" si="96"/>
        <v>634880</v>
      </c>
      <c r="AC96" s="33">
        <f t="shared" si="96"/>
        <v>1269760</v>
      </c>
      <c r="AD96" s="84">
        <f t="shared" si="96"/>
        <v>2539520</v>
      </c>
      <c r="AE96" s="33">
        <f t="shared" si="96"/>
        <v>5079040</v>
      </c>
      <c r="AF96" s="84">
        <f t="shared" si="96"/>
        <v>7946540</v>
      </c>
      <c r="AG96" s="57"/>
    </row>
    <row r="97" spans="1:33" x14ac:dyDescent="0.25">
      <c r="A97" s="53"/>
      <c r="B97" s="28"/>
      <c r="C97" s="28"/>
      <c r="D97" s="37"/>
      <c r="E97" s="58">
        <v>6.3E-2</v>
      </c>
      <c r="F97" s="28"/>
      <c r="G97" s="41">
        <f t="shared" ref="G97:AB97" si="97">G96*$E$97</f>
        <v>0.61031250000000004</v>
      </c>
      <c r="H97" s="42">
        <f t="shared" si="97"/>
        <v>1.2206250000000001</v>
      </c>
      <c r="I97" s="42">
        <f t="shared" si="97"/>
        <v>2.4412500000000001</v>
      </c>
      <c r="J97" s="42">
        <f t="shared" si="97"/>
        <v>4.8825000000000003</v>
      </c>
      <c r="K97" s="42">
        <f t="shared" si="97"/>
        <v>9.7650000000000006</v>
      </c>
      <c r="L97" s="42">
        <f t="shared" si="97"/>
        <v>19.53</v>
      </c>
      <c r="M97" s="42">
        <f t="shared" si="97"/>
        <v>39.06</v>
      </c>
      <c r="N97" s="42">
        <f t="shared" si="97"/>
        <v>78.12</v>
      </c>
      <c r="O97" s="42">
        <f t="shared" ref="O97:S97" si="98">O96*$E$97</f>
        <v>117.18</v>
      </c>
      <c r="P97" s="42">
        <f t="shared" si="98"/>
        <v>128.898</v>
      </c>
      <c r="Q97" s="42">
        <f t="shared" ref="Q97:R97" si="99">Q96*$E$97</f>
        <v>136.71</v>
      </c>
      <c r="R97" s="42">
        <f t="shared" si="99"/>
        <v>144.52199999999999</v>
      </c>
      <c r="S97" s="42">
        <f t="shared" si="98"/>
        <v>152.334</v>
      </c>
      <c r="T97" s="42">
        <f t="shared" si="97"/>
        <v>156.24</v>
      </c>
      <c r="U97" s="42">
        <f t="shared" si="97"/>
        <v>312.48</v>
      </c>
      <c r="V97" s="42">
        <f t="shared" si="97"/>
        <v>624.96</v>
      </c>
      <c r="W97" s="42">
        <f t="shared" si="97"/>
        <v>1249.92</v>
      </c>
      <c r="X97" s="42">
        <f t="shared" si="97"/>
        <v>2499.84</v>
      </c>
      <c r="Y97" s="42">
        <f t="shared" si="97"/>
        <v>4999.68</v>
      </c>
      <c r="Z97" s="42">
        <f t="shared" si="97"/>
        <v>9999.36</v>
      </c>
      <c r="AA97" s="42">
        <f t="shared" si="97"/>
        <v>19998.72</v>
      </c>
      <c r="AB97" s="42">
        <f t="shared" si="97"/>
        <v>39997.440000000002</v>
      </c>
      <c r="AC97" s="42">
        <f>AC96*$E$97</f>
        <v>79994.880000000005</v>
      </c>
      <c r="AD97" s="83">
        <f>AD96*$E$97</f>
        <v>159989.76000000001</v>
      </c>
      <c r="AE97" s="42">
        <f>AE96*$E$97</f>
        <v>319979.52000000002</v>
      </c>
      <c r="AF97" s="83">
        <f>AF96*$E$97</f>
        <v>500632.02</v>
      </c>
      <c r="AG97" s="57"/>
    </row>
    <row r="98" spans="1:33" x14ac:dyDescent="0.25">
      <c r="A98" s="53" t="s">
        <v>8</v>
      </c>
      <c r="B98" s="36">
        <v>0.106</v>
      </c>
      <c r="C98" s="22">
        <f>$B$23 * B98</f>
        <v>2717204</v>
      </c>
      <c r="D98" s="59"/>
      <c r="E98" s="28"/>
      <c r="F98" s="28"/>
      <c r="G98" s="32">
        <f t="shared" ref="G98:AF98" si="100">G$37*$B$98</f>
        <v>3.3125</v>
      </c>
      <c r="H98" s="33">
        <f t="shared" si="100"/>
        <v>6.625</v>
      </c>
      <c r="I98" s="33">
        <f t="shared" si="100"/>
        <v>13.25</v>
      </c>
      <c r="J98" s="33">
        <f t="shared" si="100"/>
        <v>26.5</v>
      </c>
      <c r="K98" s="33">
        <f t="shared" si="100"/>
        <v>53</v>
      </c>
      <c r="L98" s="33">
        <f t="shared" si="100"/>
        <v>106</v>
      </c>
      <c r="M98" s="33">
        <f t="shared" si="100"/>
        <v>212</v>
      </c>
      <c r="N98" s="33">
        <f t="shared" si="100"/>
        <v>424</v>
      </c>
      <c r="O98" s="33">
        <f t="shared" si="100"/>
        <v>636</v>
      </c>
      <c r="P98" s="33">
        <f t="shared" si="100"/>
        <v>699.6</v>
      </c>
      <c r="Q98" s="33">
        <f t="shared" si="100"/>
        <v>742</v>
      </c>
      <c r="R98" s="33">
        <f t="shared" si="100"/>
        <v>784.4</v>
      </c>
      <c r="S98" s="33">
        <f t="shared" si="100"/>
        <v>826.8</v>
      </c>
      <c r="T98" s="33">
        <f t="shared" si="100"/>
        <v>848</v>
      </c>
      <c r="U98" s="33">
        <f t="shared" si="100"/>
        <v>1696</v>
      </c>
      <c r="V98" s="33">
        <f t="shared" si="100"/>
        <v>3392</v>
      </c>
      <c r="W98" s="33">
        <f t="shared" si="100"/>
        <v>6784</v>
      </c>
      <c r="X98" s="33">
        <f t="shared" si="100"/>
        <v>13568</v>
      </c>
      <c r="Y98" s="33">
        <f t="shared" si="100"/>
        <v>27136</v>
      </c>
      <c r="Z98" s="33">
        <f t="shared" si="100"/>
        <v>54272</v>
      </c>
      <c r="AA98" s="33">
        <f t="shared" si="100"/>
        <v>108544</v>
      </c>
      <c r="AB98" s="33">
        <f t="shared" si="100"/>
        <v>217088</v>
      </c>
      <c r="AC98" s="33">
        <f t="shared" si="100"/>
        <v>434176</v>
      </c>
      <c r="AD98" s="84">
        <f t="shared" si="100"/>
        <v>868352</v>
      </c>
      <c r="AE98" s="33">
        <f t="shared" si="100"/>
        <v>1736704</v>
      </c>
      <c r="AF98" s="84">
        <f t="shared" si="100"/>
        <v>2717204</v>
      </c>
      <c r="AG98" s="57"/>
    </row>
    <row r="99" spans="1:33" x14ac:dyDescent="0.25">
      <c r="A99" s="53"/>
      <c r="B99" s="28"/>
      <c r="C99" s="28"/>
      <c r="D99" s="37"/>
      <c r="E99" s="58">
        <v>0.06</v>
      </c>
      <c r="F99" s="28"/>
      <c r="G99" s="41">
        <f t="shared" ref="G99:AB99" si="101">G98*$E$99</f>
        <v>0.19874999999999998</v>
      </c>
      <c r="H99" s="42">
        <f t="shared" si="101"/>
        <v>0.39749999999999996</v>
      </c>
      <c r="I99" s="42">
        <f t="shared" si="101"/>
        <v>0.79499999999999993</v>
      </c>
      <c r="J99" s="42">
        <f t="shared" si="101"/>
        <v>1.5899999999999999</v>
      </c>
      <c r="K99" s="42">
        <f t="shared" si="101"/>
        <v>3.1799999999999997</v>
      </c>
      <c r="L99" s="42">
        <f t="shared" si="101"/>
        <v>6.3599999999999994</v>
      </c>
      <c r="M99" s="42">
        <f t="shared" si="101"/>
        <v>12.719999999999999</v>
      </c>
      <c r="N99" s="42">
        <f t="shared" si="101"/>
        <v>25.439999999999998</v>
      </c>
      <c r="O99" s="42">
        <f t="shared" ref="O99:S99" si="102">O98*$E$99</f>
        <v>38.159999999999997</v>
      </c>
      <c r="P99" s="42">
        <f t="shared" si="102"/>
        <v>41.975999999999999</v>
      </c>
      <c r="Q99" s="42">
        <f t="shared" ref="Q99:R99" si="103">Q98*$E$99</f>
        <v>44.519999999999996</v>
      </c>
      <c r="R99" s="42">
        <f t="shared" si="103"/>
        <v>47.064</v>
      </c>
      <c r="S99" s="42">
        <f t="shared" si="102"/>
        <v>49.607999999999997</v>
      </c>
      <c r="T99" s="42">
        <f t="shared" si="101"/>
        <v>50.879999999999995</v>
      </c>
      <c r="U99" s="42">
        <f t="shared" si="101"/>
        <v>101.75999999999999</v>
      </c>
      <c r="V99" s="42">
        <f t="shared" si="101"/>
        <v>203.51999999999998</v>
      </c>
      <c r="W99" s="42">
        <f t="shared" si="101"/>
        <v>407.03999999999996</v>
      </c>
      <c r="X99" s="42">
        <f t="shared" si="101"/>
        <v>814.07999999999993</v>
      </c>
      <c r="Y99" s="42">
        <f t="shared" si="101"/>
        <v>1628.1599999999999</v>
      </c>
      <c r="Z99" s="42">
        <f t="shared" si="101"/>
        <v>3256.3199999999997</v>
      </c>
      <c r="AA99" s="42">
        <f t="shared" si="101"/>
        <v>6512.6399999999994</v>
      </c>
      <c r="AB99" s="42">
        <f t="shared" si="101"/>
        <v>13025.279999999999</v>
      </c>
      <c r="AC99" s="42">
        <f>AC98*$E$99</f>
        <v>26050.559999999998</v>
      </c>
      <c r="AD99" s="83">
        <f>AD98*$E$99</f>
        <v>52101.119999999995</v>
      </c>
      <c r="AE99" s="42">
        <f>AE98*$E$99</f>
        <v>104202.23999999999</v>
      </c>
      <c r="AF99" s="83">
        <f>AF98*$E$99</f>
        <v>163032.24</v>
      </c>
      <c r="AG99" s="57"/>
    </row>
    <row r="100" spans="1:33" x14ac:dyDescent="0.25">
      <c r="A100" s="53" t="s">
        <v>9</v>
      </c>
      <c r="B100" s="36">
        <v>1.7999999999999999E-2</v>
      </c>
      <c r="C100" s="22">
        <f>$B$23 * B100</f>
        <v>461411.99999999994</v>
      </c>
      <c r="D100" s="59"/>
      <c r="E100" s="28"/>
      <c r="F100" s="28"/>
      <c r="G100" s="32">
        <f t="shared" ref="G100:AF100" si="104">G$37*$B$100</f>
        <v>0.5625</v>
      </c>
      <c r="H100" s="33">
        <f t="shared" si="104"/>
        <v>1.125</v>
      </c>
      <c r="I100" s="33">
        <f t="shared" si="104"/>
        <v>2.25</v>
      </c>
      <c r="J100" s="33">
        <f t="shared" si="104"/>
        <v>4.5</v>
      </c>
      <c r="K100" s="33">
        <f t="shared" si="104"/>
        <v>9</v>
      </c>
      <c r="L100" s="33">
        <f t="shared" si="104"/>
        <v>18</v>
      </c>
      <c r="M100" s="33">
        <f t="shared" si="104"/>
        <v>36</v>
      </c>
      <c r="N100" s="33">
        <f t="shared" si="104"/>
        <v>72</v>
      </c>
      <c r="O100" s="33">
        <f t="shared" si="104"/>
        <v>107.99999999999999</v>
      </c>
      <c r="P100" s="33">
        <f t="shared" si="104"/>
        <v>118.8</v>
      </c>
      <c r="Q100" s="33">
        <f t="shared" si="104"/>
        <v>125.99999999999999</v>
      </c>
      <c r="R100" s="33">
        <f t="shared" si="104"/>
        <v>133.19999999999999</v>
      </c>
      <c r="S100" s="33">
        <f t="shared" si="104"/>
        <v>140.39999999999998</v>
      </c>
      <c r="T100" s="33">
        <f t="shared" si="104"/>
        <v>144</v>
      </c>
      <c r="U100" s="33">
        <f t="shared" si="104"/>
        <v>288</v>
      </c>
      <c r="V100" s="33">
        <f t="shared" si="104"/>
        <v>576</v>
      </c>
      <c r="W100" s="33">
        <f t="shared" si="104"/>
        <v>1152</v>
      </c>
      <c r="X100" s="33">
        <f t="shared" si="104"/>
        <v>2304</v>
      </c>
      <c r="Y100" s="33">
        <f t="shared" si="104"/>
        <v>4608</v>
      </c>
      <c r="Z100" s="33">
        <f t="shared" si="104"/>
        <v>9216</v>
      </c>
      <c r="AA100" s="33">
        <f t="shared" si="104"/>
        <v>18432</v>
      </c>
      <c r="AB100" s="33">
        <f t="shared" si="104"/>
        <v>36864</v>
      </c>
      <c r="AC100" s="33">
        <f t="shared" si="104"/>
        <v>73728</v>
      </c>
      <c r="AD100" s="84">
        <f t="shared" si="104"/>
        <v>147456</v>
      </c>
      <c r="AE100" s="33">
        <f t="shared" si="104"/>
        <v>294912</v>
      </c>
      <c r="AF100" s="84">
        <f t="shared" si="104"/>
        <v>461411.99999999994</v>
      </c>
      <c r="AG100" s="57"/>
    </row>
    <row r="101" spans="1:33" x14ac:dyDescent="0.25">
      <c r="A101" s="53"/>
      <c r="B101" s="28"/>
      <c r="C101" s="28"/>
      <c r="D101" s="37"/>
      <c r="E101" s="58">
        <v>5.6000000000000001E-2</v>
      </c>
      <c r="F101" s="28"/>
      <c r="G101" s="41">
        <f t="shared" ref="G101:AB101" si="105">G100*$E$101</f>
        <v>3.15E-2</v>
      </c>
      <c r="H101" s="42">
        <f t="shared" si="105"/>
        <v>6.3E-2</v>
      </c>
      <c r="I101" s="42">
        <f t="shared" si="105"/>
        <v>0.126</v>
      </c>
      <c r="J101" s="42">
        <f t="shared" si="105"/>
        <v>0.252</v>
      </c>
      <c r="K101" s="42">
        <f t="shared" si="105"/>
        <v>0.504</v>
      </c>
      <c r="L101" s="42">
        <f t="shared" si="105"/>
        <v>1.008</v>
      </c>
      <c r="M101" s="42">
        <f t="shared" si="105"/>
        <v>2.016</v>
      </c>
      <c r="N101" s="42">
        <f t="shared" si="105"/>
        <v>4.032</v>
      </c>
      <c r="O101" s="42">
        <f t="shared" ref="O101:S101" si="106">O100*$E$101</f>
        <v>6.0479999999999992</v>
      </c>
      <c r="P101" s="42">
        <f t="shared" si="106"/>
        <v>6.6528</v>
      </c>
      <c r="Q101" s="42">
        <f t="shared" ref="Q101:R101" si="107">Q100*$E$101</f>
        <v>7.0559999999999992</v>
      </c>
      <c r="R101" s="42">
        <f t="shared" si="107"/>
        <v>7.4591999999999992</v>
      </c>
      <c r="S101" s="42">
        <f t="shared" si="106"/>
        <v>7.8623999999999992</v>
      </c>
      <c r="T101" s="42">
        <f t="shared" si="105"/>
        <v>8.0640000000000001</v>
      </c>
      <c r="U101" s="42">
        <f t="shared" si="105"/>
        <v>16.128</v>
      </c>
      <c r="V101" s="42">
        <f t="shared" si="105"/>
        <v>32.256</v>
      </c>
      <c r="W101" s="42">
        <f t="shared" si="105"/>
        <v>64.512</v>
      </c>
      <c r="X101" s="42">
        <f t="shared" si="105"/>
        <v>129.024</v>
      </c>
      <c r="Y101" s="42">
        <f t="shared" si="105"/>
        <v>258.048</v>
      </c>
      <c r="Z101" s="42">
        <f t="shared" si="105"/>
        <v>516.096</v>
      </c>
      <c r="AA101" s="42">
        <f t="shared" si="105"/>
        <v>1032.192</v>
      </c>
      <c r="AB101" s="42">
        <f t="shared" si="105"/>
        <v>2064.384</v>
      </c>
      <c r="AC101" s="42">
        <f>AC100*$E$101</f>
        <v>4128.768</v>
      </c>
      <c r="AD101" s="83">
        <f>AD100*$E$101</f>
        <v>8257.5360000000001</v>
      </c>
      <c r="AE101" s="42">
        <f>AE100*$E$101</f>
        <v>16515.072</v>
      </c>
      <c r="AF101" s="83">
        <f>AF100*$E$101</f>
        <v>25839.071999999996</v>
      </c>
      <c r="AG101" s="57"/>
    </row>
    <row r="102" spans="1:33" x14ac:dyDescent="0.25">
      <c r="A102" s="53" t="s">
        <v>10</v>
      </c>
      <c r="B102" s="36">
        <v>0.152</v>
      </c>
      <c r="C102" s="22">
        <f>$B$23 * B102</f>
        <v>3896368</v>
      </c>
      <c r="D102" s="59"/>
      <c r="E102" s="28"/>
      <c r="F102" s="28"/>
      <c r="G102" s="32">
        <f t="shared" ref="G102:AF102" si="108">G$37*$B$102</f>
        <v>4.75</v>
      </c>
      <c r="H102" s="33">
        <f t="shared" si="108"/>
        <v>9.5</v>
      </c>
      <c r="I102" s="33">
        <f t="shared" si="108"/>
        <v>19</v>
      </c>
      <c r="J102" s="33">
        <f t="shared" si="108"/>
        <v>38</v>
      </c>
      <c r="K102" s="33">
        <f t="shared" si="108"/>
        <v>76</v>
      </c>
      <c r="L102" s="33">
        <f t="shared" si="108"/>
        <v>152</v>
      </c>
      <c r="M102" s="33">
        <f t="shared" si="108"/>
        <v>304</v>
      </c>
      <c r="N102" s="33">
        <f t="shared" si="108"/>
        <v>608</v>
      </c>
      <c r="O102" s="33">
        <f t="shared" si="108"/>
        <v>912</v>
      </c>
      <c r="P102" s="33">
        <f t="shared" si="108"/>
        <v>1003.1999999999999</v>
      </c>
      <c r="Q102" s="33">
        <f t="shared" si="108"/>
        <v>1064</v>
      </c>
      <c r="R102" s="33">
        <f t="shared" si="108"/>
        <v>1124.8</v>
      </c>
      <c r="S102" s="33">
        <f t="shared" si="108"/>
        <v>1185.5999999999999</v>
      </c>
      <c r="T102" s="33">
        <f t="shared" si="108"/>
        <v>1216</v>
      </c>
      <c r="U102" s="33">
        <f t="shared" si="108"/>
        <v>2432</v>
      </c>
      <c r="V102" s="33">
        <f t="shared" si="108"/>
        <v>4864</v>
      </c>
      <c r="W102" s="33">
        <f t="shared" si="108"/>
        <v>9728</v>
      </c>
      <c r="X102" s="33">
        <f t="shared" si="108"/>
        <v>19456</v>
      </c>
      <c r="Y102" s="33">
        <f t="shared" si="108"/>
        <v>38912</v>
      </c>
      <c r="Z102" s="33">
        <f t="shared" si="108"/>
        <v>77824</v>
      </c>
      <c r="AA102" s="33">
        <f t="shared" si="108"/>
        <v>155648</v>
      </c>
      <c r="AB102" s="33">
        <f t="shared" si="108"/>
        <v>311296</v>
      </c>
      <c r="AC102" s="33">
        <f t="shared" si="108"/>
        <v>622592</v>
      </c>
      <c r="AD102" s="84">
        <f t="shared" si="108"/>
        <v>1245184</v>
      </c>
      <c r="AE102" s="33">
        <f t="shared" si="108"/>
        <v>2490368</v>
      </c>
      <c r="AF102" s="84">
        <f t="shared" si="108"/>
        <v>3896368</v>
      </c>
      <c r="AG102" s="57"/>
    </row>
    <row r="103" spans="1:33" x14ac:dyDescent="0.25">
      <c r="A103" s="49"/>
      <c r="B103" s="51"/>
      <c r="C103" s="51"/>
      <c r="D103" s="67"/>
      <c r="E103" s="68" t="s">
        <v>11</v>
      </c>
      <c r="F103" s="51"/>
      <c r="G103" s="41" t="s">
        <v>11</v>
      </c>
      <c r="H103" s="42" t="s">
        <v>11</v>
      </c>
      <c r="I103" s="42" t="s">
        <v>11</v>
      </c>
      <c r="J103" s="42" t="s">
        <v>11</v>
      </c>
      <c r="K103" s="42" t="s">
        <v>11</v>
      </c>
      <c r="L103" s="42" t="s">
        <v>11</v>
      </c>
      <c r="M103" s="42" t="s">
        <v>11</v>
      </c>
      <c r="N103" s="42" t="s">
        <v>11</v>
      </c>
      <c r="O103" s="42" t="s">
        <v>11</v>
      </c>
      <c r="P103" s="42" t="s">
        <v>11</v>
      </c>
      <c r="Q103" s="42" t="s">
        <v>11</v>
      </c>
      <c r="R103" s="42" t="s">
        <v>11</v>
      </c>
      <c r="S103" s="42" t="s">
        <v>11</v>
      </c>
      <c r="T103" s="42" t="s">
        <v>11</v>
      </c>
      <c r="U103" s="42" t="s">
        <v>11</v>
      </c>
      <c r="V103" s="42" t="s">
        <v>11</v>
      </c>
      <c r="W103" s="42" t="s">
        <v>11</v>
      </c>
      <c r="X103" s="42" t="s">
        <v>11</v>
      </c>
      <c r="Y103" s="42" t="s">
        <v>11</v>
      </c>
      <c r="Z103" s="42" t="s">
        <v>11</v>
      </c>
      <c r="AA103" s="42" t="s">
        <v>11</v>
      </c>
      <c r="AB103" s="42" t="s">
        <v>11</v>
      </c>
      <c r="AC103" s="42" t="s">
        <v>11</v>
      </c>
      <c r="AD103" s="83" t="s">
        <v>11</v>
      </c>
      <c r="AE103" s="44" t="s">
        <v>11</v>
      </c>
      <c r="AF103" s="85" t="s">
        <v>11</v>
      </c>
      <c r="AG103" s="57"/>
    </row>
    <row r="104" spans="1:33" x14ac:dyDescent="0.25">
      <c r="A104" s="53"/>
      <c r="B104" s="28"/>
      <c r="C104" s="28"/>
      <c r="D104" s="59"/>
      <c r="E104" s="28"/>
      <c r="F104" s="28"/>
      <c r="G104" s="30">
        <f>SUM(G92,G94,G96,G98,G100,G102)</f>
        <v>21.40625</v>
      </c>
      <c r="H104" s="31">
        <f t="shared" ref="H104:AB104" si="109">SUM(H92,H94,H96,H98,H100,H102)</f>
        <v>42.8125</v>
      </c>
      <c r="I104" s="31">
        <f t="shared" si="109"/>
        <v>85.625</v>
      </c>
      <c r="J104" s="31">
        <f t="shared" si="109"/>
        <v>171.25</v>
      </c>
      <c r="K104" s="31">
        <f t="shared" si="109"/>
        <v>342.5</v>
      </c>
      <c r="L104" s="31">
        <f t="shared" si="109"/>
        <v>685</v>
      </c>
      <c r="M104" s="31">
        <f>SUM(M92,M94,M96,M98,M100,M102)</f>
        <v>1370</v>
      </c>
      <c r="N104" s="31">
        <f t="shared" si="109"/>
        <v>2740</v>
      </c>
      <c r="O104" s="31">
        <f t="shared" ref="O104:S104" si="110">SUM(O92,O94,O96,O98,O100,O102)</f>
        <v>4110</v>
      </c>
      <c r="P104" s="31">
        <f t="shared" si="110"/>
        <v>4521</v>
      </c>
      <c r="Q104" s="31">
        <f t="shared" ref="Q104:R104" si="111">SUM(Q92,Q94,Q96,Q98,Q100,Q102)</f>
        <v>4795</v>
      </c>
      <c r="R104" s="31">
        <f t="shared" si="111"/>
        <v>5069</v>
      </c>
      <c r="S104" s="31">
        <f t="shared" si="110"/>
        <v>5343</v>
      </c>
      <c r="T104" s="31">
        <f t="shared" si="109"/>
        <v>5480</v>
      </c>
      <c r="U104" s="31">
        <f t="shared" si="109"/>
        <v>10960</v>
      </c>
      <c r="V104" s="31">
        <f t="shared" si="109"/>
        <v>21920</v>
      </c>
      <c r="W104" s="31">
        <f t="shared" si="109"/>
        <v>43840</v>
      </c>
      <c r="X104" s="31">
        <f t="shared" si="109"/>
        <v>87680</v>
      </c>
      <c r="Y104" s="31">
        <f t="shared" si="109"/>
        <v>175360</v>
      </c>
      <c r="Z104" s="31">
        <f t="shared" si="109"/>
        <v>350720</v>
      </c>
      <c r="AA104" s="31">
        <f t="shared" si="109"/>
        <v>701440</v>
      </c>
      <c r="AB104" s="31">
        <f t="shared" si="109"/>
        <v>1402880</v>
      </c>
      <c r="AC104" s="31">
        <f t="shared" ref="AC104:AF105" si="112">SUM(AC92,AC94,AC96,AC98,AC100,AC102)</f>
        <v>2805760</v>
      </c>
      <c r="AD104" s="72">
        <f t="shared" si="112"/>
        <v>5611520</v>
      </c>
      <c r="AE104" s="33">
        <f t="shared" si="112"/>
        <v>11223040</v>
      </c>
      <c r="AF104" s="84">
        <f t="shared" si="112"/>
        <v>17559290</v>
      </c>
      <c r="AG104" s="57"/>
    </row>
    <row r="105" spans="1:33" x14ac:dyDescent="0.25">
      <c r="A105" s="49" t="s">
        <v>132</v>
      </c>
      <c r="B105" s="51"/>
      <c r="C105" s="51"/>
      <c r="D105" s="51"/>
      <c r="E105" s="51"/>
      <c r="F105" s="51"/>
      <c r="G105" s="43">
        <f>SUM(G93,G95,G97,G99,G101,G103)</f>
        <v>1.11640625</v>
      </c>
      <c r="H105" s="44">
        <f t="shared" ref="H105:AB105" si="113">SUM(H93,H95,H97,H99,H101,H103)</f>
        <v>2.2328125000000001</v>
      </c>
      <c r="I105" s="44">
        <f t="shared" si="113"/>
        <v>4.4656250000000002</v>
      </c>
      <c r="J105" s="44">
        <f t="shared" si="113"/>
        <v>8.9312500000000004</v>
      </c>
      <c r="K105" s="44">
        <f t="shared" si="113"/>
        <v>17.862500000000001</v>
      </c>
      <c r="L105" s="44">
        <f t="shared" si="113"/>
        <v>35.725000000000001</v>
      </c>
      <c r="M105" s="44">
        <f t="shared" si="113"/>
        <v>71.45</v>
      </c>
      <c r="N105" s="44">
        <f t="shared" si="113"/>
        <v>142.9</v>
      </c>
      <c r="O105" s="44">
        <f t="shared" ref="O105:S105" si="114">SUM(O93,O95,O97,O99,O101,O103)</f>
        <v>214.35</v>
      </c>
      <c r="P105" s="44">
        <f t="shared" si="114"/>
        <v>235.78500000000003</v>
      </c>
      <c r="Q105" s="44">
        <f t="shared" ref="Q105:R105" si="115">SUM(Q93,Q95,Q97,Q99,Q101,Q103)</f>
        <v>250.07500000000002</v>
      </c>
      <c r="R105" s="44">
        <f t="shared" si="115"/>
        <v>264.36500000000001</v>
      </c>
      <c r="S105" s="44">
        <f t="shared" si="114"/>
        <v>278.65499999999997</v>
      </c>
      <c r="T105" s="44">
        <f t="shared" si="113"/>
        <v>285.8</v>
      </c>
      <c r="U105" s="44">
        <f t="shared" si="113"/>
        <v>571.6</v>
      </c>
      <c r="V105" s="44">
        <f t="shared" si="113"/>
        <v>1143.2</v>
      </c>
      <c r="W105" s="44">
        <f t="shared" si="113"/>
        <v>2286.4</v>
      </c>
      <c r="X105" s="44">
        <f t="shared" si="113"/>
        <v>4572.8</v>
      </c>
      <c r="Y105" s="44">
        <f t="shared" si="113"/>
        <v>9145.6</v>
      </c>
      <c r="Z105" s="44">
        <f t="shared" si="113"/>
        <v>18291.2</v>
      </c>
      <c r="AA105" s="44">
        <f t="shared" si="113"/>
        <v>36582.400000000001</v>
      </c>
      <c r="AB105" s="44">
        <f t="shared" si="113"/>
        <v>73164.800000000003</v>
      </c>
      <c r="AC105" s="44">
        <f t="shared" si="112"/>
        <v>146329.60000000001</v>
      </c>
      <c r="AD105" s="85">
        <f t="shared" si="112"/>
        <v>292659.20000000001</v>
      </c>
      <c r="AE105" s="44">
        <f t="shared" si="112"/>
        <v>585318.40000000002</v>
      </c>
      <c r="AF105" s="85">
        <f t="shared" si="112"/>
        <v>915774.65</v>
      </c>
      <c r="AG105" s="57"/>
    </row>
  </sheetData>
  <conditionalFormatting sqref="AE48:AG48 G48:AC48">
    <cfRule type="cellIs" dxfId="28" priority="36" operator="greaterThan">
      <formula>$C$27</formula>
    </cfRule>
  </conditionalFormatting>
  <conditionalFormatting sqref="AE50:AF50 G50:AC50">
    <cfRule type="cellIs" dxfId="27" priority="35" operator="greaterThan">
      <formula>$C$28</formula>
    </cfRule>
  </conditionalFormatting>
  <conditionalFormatting sqref="G69:AF69">
    <cfRule type="cellIs" dxfId="26" priority="34" operator="greaterThan">
      <formula>$C$69</formula>
    </cfRule>
  </conditionalFormatting>
  <conditionalFormatting sqref="G71:AF71">
    <cfRule type="cellIs" dxfId="25" priority="33" operator="greaterThan">
      <formula>$C$71</formula>
    </cfRule>
  </conditionalFormatting>
  <conditionalFormatting sqref="G73:AF73">
    <cfRule type="cellIs" dxfId="24" priority="32" operator="greaterThan">
      <formula>$C$73</formula>
    </cfRule>
  </conditionalFormatting>
  <conditionalFormatting sqref="G75:AF75">
    <cfRule type="cellIs" dxfId="23" priority="24" operator="greaterThan">
      <formula>$C$75</formula>
    </cfRule>
  </conditionalFormatting>
  <conditionalFormatting sqref="G77:AF77">
    <cfRule type="cellIs" dxfId="22" priority="23" operator="greaterThan">
      <formula>$C$77</formula>
    </cfRule>
  </conditionalFormatting>
  <conditionalFormatting sqref="G79:AF79">
    <cfRule type="cellIs" dxfId="21" priority="22" operator="greaterThan">
      <formula>$C$79</formula>
    </cfRule>
  </conditionalFormatting>
  <conditionalFormatting sqref="G81:AF81">
    <cfRule type="cellIs" dxfId="20" priority="21" operator="greaterThan">
      <formula>$C$81</formula>
    </cfRule>
  </conditionalFormatting>
  <conditionalFormatting sqref="G83:AF83">
    <cfRule type="cellIs" dxfId="19" priority="20" operator="greaterThan">
      <formula>$C$83</formula>
    </cfRule>
  </conditionalFormatting>
  <conditionalFormatting sqref="G85:AF85">
    <cfRule type="cellIs" dxfId="18" priority="19" operator="greaterThan">
      <formula>$C$85</formula>
    </cfRule>
  </conditionalFormatting>
  <conditionalFormatting sqref="AE39:AF39 G39:AC39">
    <cfRule type="cellIs" dxfId="17" priority="18" operator="equal">
      <formula>0</formula>
    </cfRule>
  </conditionalFormatting>
  <conditionalFormatting sqref="AE46 G46:AC46 G48:AC48 H50:AC50">
    <cfRule type="cellIs" dxfId="16" priority="17" operator="equal">
      <formula>0</formula>
    </cfRule>
  </conditionalFormatting>
  <conditionalFormatting sqref="AE48:AF48">
    <cfRule type="cellIs" dxfId="15" priority="16" operator="equal">
      <formula>0</formula>
    </cfRule>
  </conditionalFormatting>
  <conditionalFormatting sqref="AE50:AF50">
    <cfRule type="cellIs" dxfId="14" priority="15" operator="equal">
      <formula>0</formula>
    </cfRule>
  </conditionalFormatting>
  <conditionalFormatting sqref="D71">
    <cfRule type="cellIs" dxfId="13" priority="14" operator="greaterThan">
      <formula>$B$71</formula>
    </cfRule>
  </conditionalFormatting>
  <conditionalFormatting sqref="D73">
    <cfRule type="cellIs" dxfId="12" priority="13" operator="greaterThan">
      <formula>$B$73</formula>
    </cfRule>
  </conditionalFormatting>
  <conditionalFormatting sqref="D75">
    <cfRule type="cellIs" dxfId="11" priority="12" operator="greaterThan">
      <formula>$B$75</formula>
    </cfRule>
  </conditionalFormatting>
  <conditionalFormatting sqref="D77">
    <cfRule type="cellIs" dxfId="10" priority="11" operator="greaterThan">
      <formula>$B$77</formula>
    </cfRule>
  </conditionalFormatting>
  <conditionalFormatting sqref="D79">
    <cfRule type="cellIs" dxfId="9" priority="10" operator="greaterThan">
      <formula>$B$79</formula>
    </cfRule>
  </conditionalFormatting>
  <conditionalFormatting sqref="D81">
    <cfRule type="cellIs" dxfId="8" priority="9" operator="greaterThan">
      <formula>$B$81</formula>
    </cfRule>
  </conditionalFormatting>
  <conditionalFormatting sqref="D83">
    <cfRule type="cellIs" dxfId="7" priority="8" operator="greaterThan">
      <formula>$B$83</formula>
    </cfRule>
  </conditionalFormatting>
  <conditionalFormatting sqref="D85">
    <cfRule type="cellIs" dxfId="6" priority="7" operator="greaterThan">
      <formula>$B$85</formula>
    </cfRule>
  </conditionalFormatting>
  <conditionalFormatting sqref="AD48">
    <cfRule type="cellIs" dxfId="5" priority="6" operator="greaterThan">
      <formula>$C$27</formula>
    </cfRule>
  </conditionalFormatting>
  <conditionalFormatting sqref="AD50">
    <cfRule type="cellIs" dxfId="4" priority="5" operator="greaterThan">
      <formula>$C$28</formula>
    </cfRule>
  </conditionalFormatting>
  <conditionalFormatting sqref="AD39">
    <cfRule type="cellIs" dxfId="3" priority="4" operator="equal">
      <formula>0</formula>
    </cfRule>
  </conditionalFormatting>
  <conditionalFormatting sqref="AD46">
    <cfRule type="cellIs" dxfId="2" priority="3" operator="equal">
      <formula>0</formula>
    </cfRule>
  </conditionalFormatting>
  <conditionalFormatting sqref="AD48">
    <cfRule type="cellIs" dxfId="1" priority="2" operator="equal">
      <formula>0</formula>
    </cfRule>
  </conditionalFormatting>
  <conditionalFormatting sqref="AD50">
    <cfRule type="cellIs" dxfId="0" priority="1" operator="equal">
      <formula>0</formula>
    </cfRule>
  </conditionalFormatting>
  <hyperlinks>
    <hyperlink ref="D68" r:id="rId1" xr:uid="{98D6456F-EA03-4FCB-8D3D-1822F6B38CCF}"/>
    <hyperlink ref="E68" r:id="rId2" location="case-fatality-rate-of-covid-19-by-age" xr:uid="{0058192C-B05A-45D2-8597-C1F9B3D9241E}"/>
    <hyperlink ref="E91" r:id="rId3" location="case-fatality-rate-of-covid-19-by-preexisting-health-conditions" xr:uid="{110A2613-24A6-4768-B90C-571B307D13E2}"/>
    <hyperlink ref="B23" r:id="rId4" display="https://www.abs.gov.au/ausstats/abs@.nsf/0/1647509ef7e25faaca2568a900154b63?opendocument" xr:uid="{63727E5E-0850-4414-8DD8-E50A09A5AEE8}"/>
    <hyperlink ref="B68" r:id="rId5" xr:uid="{E432DB14-5D35-4B35-8F24-1C070D7F22B3}"/>
    <hyperlink ref="B25" r:id="rId6" display="https://cmmid.github.io/topics/covid19/severity/global_cfr_estimates.html" xr:uid="{49B36C88-7FC3-4DAA-BBA5-EABFD6685804}"/>
    <hyperlink ref="A24" r:id="rId7" xr:uid="{BFED328E-E0D2-4360-A3BF-C99ADEBBD28D}"/>
  </hyperlinks>
  <pageMargins left="0.7" right="0.7" top="0.75" bottom="0.75" header="0.3" footer="0.3"/>
  <pageSetup paperSize="9" orientation="portrait" horizontalDpi="0" verticalDpi="0"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R16" sqref="R16"/>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94" t="s">
        <v>220</v>
      </c>
      <c r="C3" s="179">
        <f>Projections!B23</f>
        <v>25634000</v>
      </c>
      <c r="J3" s="2"/>
    </row>
    <row r="4" spans="2:10" x14ac:dyDescent="0.25">
      <c r="B4" s="195" t="s">
        <v>238</v>
      </c>
      <c r="C4" s="179">
        <v>32</v>
      </c>
      <c r="J4" s="2"/>
    </row>
    <row r="5" spans="2:10" x14ac:dyDescent="0.25">
      <c r="B5" s="195" t="s">
        <v>239</v>
      </c>
      <c r="C5" s="177">
        <v>43892</v>
      </c>
      <c r="J5" s="2"/>
    </row>
    <row r="6" spans="2:10" x14ac:dyDescent="0.25">
      <c r="B6" s="195" t="s">
        <v>221</v>
      </c>
      <c r="C6" s="179">
        <v>7184</v>
      </c>
    </row>
    <row r="7" spans="2:10" x14ac:dyDescent="0.25">
      <c r="B7" s="195" t="s">
        <v>223</v>
      </c>
      <c r="C7" s="177">
        <f ca="1">NOW()</f>
        <v>43981.634584259256</v>
      </c>
    </row>
    <row r="8" spans="2:10" x14ac:dyDescent="0.25">
      <c r="B8" s="195" t="s">
        <v>240</v>
      </c>
      <c r="C8" s="178">
        <f ca="1">C7-C5</f>
        <v>89.634584259256371</v>
      </c>
    </row>
    <row r="9" spans="2:10" x14ac:dyDescent="0.25">
      <c r="B9" s="195" t="s">
        <v>222</v>
      </c>
      <c r="C9" s="180">
        <f ca="1">C8/(LOG(C6/C4)/LOG(2))</f>
        <v>11.47605942957682</v>
      </c>
      <c r="D9" t="s">
        <v>197</v>
      </c>
      <c r="F9" t="s">
        <v>241</v>
      </c>
    </row>
    <row r="10" spans="2:10" x14ac:dyDescent="0.25">
      <c r="B10" s="195" t="s">
        <v>227</v>
      </c>
      <c r="C10" s="179">
        <f>Projections!C27</f>
        <v>66648.400000000009</v>
      </c>
    </row>
    <row r="11" spans="2:10" x14ac:dyDescent="0.25">
      <c r="B11" s="196" t="s">
        <v>228</v>
      </c>
      <c r="C11" s="184">
        <f>Projections!C28</f>
        <v>1896.9159999999999</v>
      </c>
    </row>
    <row r="12" spans="2:10" s="81" customFormat="1" x14ac:dyDescent="0.25">
      <c r="B12" s="74" t="s">
        <v>275</v>
      </c>
      <c r="C12" s="185">
        <f>C6/Projections!B25</f>
        <v>7184</v>
      </c>
    </row>
    <row r="13" spans="2:10" s="81" customFormat="1" x14ac:dyDescent="0.25">
      <c r="B13" s="60" t="s">
        <v>276</v>
      </c>
      <c r="C13" s="186">
        <f ca="1">(C4/Projections!B25)*(2^(((C7-21)-C5)/C9))</f>
        <v>2020.7501234841011</v>
      </c>
    </row>
    <row r="14" spans="2:10" s="81" customFormat="1" x14ac:dyDescent="0.25">
      <c r="B14" s="61" t="s">
        <v>277</v>
      </c>
      <c r="C14" s="165">
        <f ca="1">C12-C13</f>
        <v>5163.2498765158989</v>
      </c>
      <c r="E14" s="182"/>
      <c r="F14" s="183" t="s">
        <v>245</v>
      </c>
      <c r="G14" s="181"/>
    </row>
    <row r="15" spans="2:10" x14ac:dyDescent="0.25">
      <c r="B15" s="16" t="s">
        <v>242</v>
      </c>
      <c r="C15" s="76">
        <f>C6*Projections!B29</f>
        <v>6609.2800000000007</v>
      </c>
      <c r="I15" s="176"/>
    </row>
    <row r="16" spans="2:10" x14ac:dyDescent="0.25">
      <c r="B16" s="53" t="s">
        <v>252</v>
      </c>
      <c r="C16" s="95">
        <f ca="1">(C4*Projections!B29)*(2^(((C7-21)-C5)/C9))</f>
        <v>1859.0901136053731</v>
      </c>
      <c r="I16" s="176"/>
    </row>
    <row r="17" spans="2:9" x14ac:dyDescent="0.25">
      <c r="B17" s="53" t="s">
        <v>243</v>
      </c>
      <c r="C17" s="95">
        <f ca="1">C15-C16</f>
        <v>4750.189886394628</v>
      </c>
      <c r="F17" t="s">
        <v>246</v>
      </c>
      <c r="I17" s="176"/>
    </row>
    <row r="18" spans="2:9" x14ac:dyDescent="0.25">
      <c r="B18" s="16" t="s">
        <v>248</v>
      </c>
      <c r="C18" s="76">
        <f>C6*Projections!B30</f>
        <v>359.20000000000005</v>
      </c>
    </row>
    <row r="19" spans="2:9" x14ac:dyDescent="0.25">
      <c r="B19" s="53" t="s">
        <v>253</v>
      </c>
      <c r="C19" s="95">
        <f ca="1">(C4*Projections!B30)*(2^(((C7-49)-C5)/C9))</f>
        <v>18.621343245081018</v>
      </c>
    </row>
    <row r="20" spans="2:9" x14ac:dyDescent="0.25">
      <c r="B20" s="53" t="s">
        <v>247</v>
      </c>
      <c r="C20" s="95">
        <f ca="1">C18-C19</f>
        <v>340.57865675491905</v>
      </c>
      <c r="F20" t="s">
        <v>251</v>
      </c>
    </row>
    <row r="21" spans="2:9" x14ac:dyDescent="0.25">
      <c r="B21" s="16" t="s">
        <v>249</v>
      </c>
      <c r="C21" s="76">
        <f>C6*Projections!B31</f>
        <v>215.51999999999998</v>
      </c>
      <c r="I21" s="176"/>
    </row>
    <row r="22" spans="2:9" x14ac:dyDescent="0.25">
      <c r="B22" s="53" t="s">
        <v>254</v>
      </c>
      <c r="C22" s="95">
        <f ca="1">(C4*Projections!B31)*(2^(((C7-49)-C5)/C9))</f>
        <v>11.172805947048609</v>
      </c>
      <c r="I22" s="176"/>
    </row>
    <row r="23" spans="2:9" x14ac:dyDescent="0.25">
      <c r="B23" s="53" t="s">
        <v>250</v>
      </c>
      <c r="C23" s="95">
        <f ca="1">C21-C22</f>
        <v>204.34719405295138</v>
      </c>
      <c r="I23" s="176"/>
    </row>
    <row r="24" spans="2:9" x14ac:dyDescent="0.25">
      <c r="B24" s="16" t="s">
        <v>255</v>
      </c>
      <c r="C24" s="76">
        <f>C6*Projections!B32</f>
        <v>100.57600000000001</v>
      </c>
    </row>
    <row r="25" spans="2:9" x14ac:dyDescent="0.25">
      <c r="B25" s="49" t="s">
        <v>256</v>
      </c>
      <c r="C25" s="73">
        <f ca="1">(C4*Projections!B32)*(2^(((C7-42)-C5)/C9))</f>
        <v>7.9576885943560915</v>
      </c>
      <c r="F25" t="s">
        <v>257</v>
      </c>
    </row>
    <row r="26" spans="2:9" x14ac:dyDescent="0.25">
      <c r="B26" s="53" t="s">
        <v>233</v>
      </c>
      <c r="C26" s="189">
        <f ca="1">C9*(LOG(C10/C21)/LOG(2))</f>
        <v>94.936902892527513</v>
      </c>
      <c r="D26" t="s">
        <v>197</v>
      </c>
      <c r="F26" s="81" t="s">
        <v>258</v>
      </c>
    </row>
    <row r="27" spans="2:9" x14ac:dyDescent="0.25">
      <c r="B27" s="49" t="s">
        <v>229</v>
      </c>
      <c r="C27" s="188">
        <f ca="1">C7+C26</f>
        <v>44076.571487151785</v>
      </c>
      <c r="F27" t="s">
        <v>259</v>
      </c>
    </row>
    <row r="28" spans="2:9" x14ac:dyDescent="0.25">
      <c r="B28" s="16" t="s">
        <v>234</v>
      </c>
      <c r="C28" s="187">
        <f ca="1">C9*(LOG(C11/C21)/LOG(2))</f>
        <v>36.009144715724105</v>
      </c>
      <c r="D28" t="s">
        <v>197</v>
      </c>
    </row>
    <row r="29" spans="2:9" x14ac:dyDescent="0.25">
      <c r="B29" s="49" t="s">
        <v>230</v>
      </c>
      <c r="C29" s="188">
        <f ca="1">C7+C28</f>
        <v>44017.643728974981</v>
      </c>
      <c r="F29" t="s">
        <v>259</v>
      </c>
    </row>
    <row r="30" spans="2:9" x14ac:dyDescent="0.25">
      <c r="B30" s="16" t="s">
        <v>235</v>
      </c>
      <c r="C30" s="187">
        <f ca="1">C9*(LOG((C3*0.6)/C12)/LOG(2))</f>
        <v>126.97132871313546</v>
      </c>
      <c r="D30" t="s">
        <v>197</v>
      </c>
    </row>
    <row r="31" spans="2:9" x14ac:dyDescent="0.25">
      <c r="B31" s="49" t="s">
        <v>232</v>
      </c>
      <c r="C31" s="188">
        <f ca="1">C7+C30</f>
        <v>44108.605912972394</v>
      </c>
    </row>
    <row r="34" spans="2:6" x14ac:dyDescent="0.25">
      <c r="B34" s="16" t="s">
        <v>236</v>
      </c>
      <c r="C34" s="177">
        <f ca="1">C7+30</f>
        <v>44011.634584259256</v>
      </c>
      <c r="F34" t="s">
        <v>278</v>
      </c>
    </row>
    <row r="35" spans="2:6" x14ac:dyDescent="0.25">
      <c r="B35" s="53" t="s">
        <v>237</v>
      </c>
      <c r="C35" s="95">
        <f ca="1">C6*(2^((C34-C7)/C9))</f>
        <v>43984.554199625301</v>
      </c>
      <c r="F35" t="s">
        <v>244</v>
      </c>
    </row>
    <row r="36" spans="2:6" x14ac:dyDescent="0.25">
      <c r="B36" s="53" t="s">
        <v>231</v>
      </c>
      <c r="C36" s="95">
        <f ca="1">C35/Projections!B25</f>
        <v>43984.554199625301</v>
      </c>
    </row>
    <row r="37" spans="2:6" x14ac:dyDescent="0.25">
      <c r="B37" s="53" t="s">
        <v>172</v>
      </c>
      <c r="C37" s="95">
        <f ca="1">C35*Projections!B29</f>
        <v>40465.789863655278</v>
      </c>
    </row>
    <row r="38" spans="2:6" x14ac:dyDescent="0.25">
      <c r="B38" s="53" t="s">
        <v>224</v>
      </c>
      <c r="C38" s="95">
        <f ca="1">C35*Projections!B30</f>
        <v>2199.227709981265</v>
      </c>
    </row>
    <row r="39" spans="2:6" x14ac:dyDescent="0.25">
      <c r="B39" s="53" t="s">
        <v>225</v>
      </c>
      <c r="C39" s="95">
        <f ca="1">C35*Projections!B31</f>
        <v>1319.5366259887589</v>
      </c>
    </row>
    <row r="40" spans="2:6" x14ac:dyDescent="0.25">
      <c r="B40" s="49" t="s">
        <v>226</v>
      </c>
      <c r="C40" s="73">
        <f ca="1">C35*Projections!B32</f>
        <v>615.78375879475425</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L108"/>
  <sheetViews>
    <sheetView workbookViewId="0">
      <selection activeCell="K15" sqref="A1:XFD1048576"/>
    </sheetView>
  </sheetViews>
  <sheetFormatPr defaultRowHeight="15" x14ac:dyDescent="0.25"/>
  <sheetData>
    <row r="1" spans="1:12" x14ac:dyDescent="0.25">
      <c r="A1" t="s">
        <v>129</v>
      </c>
      <c r="B1" t="s">
        <v>148</v>
      </c>
    </row>
    <row r="2" spans="1:12" x14ac:dyDescent="0.25">
      <c r="A2" s="6" t="s">
        <v>22</v>
      </c>
      <c r="B2" s="7">
        <v>302684</v>
      </c>
      <c r="L2" s="88"/>
    </row>
    <row r="3" spans="1:12" x14ac:dyDescent="0.25">
      <c r="A3" s="8" t="s">
        <v>23</v>
      </c>
      <c r="B3" s="9">
        <v>304818</v>
      </c>
      <c r="L3" s="88"/>
    </row>
    <row r="4" spans="1:12" x14ac:dyDescent="0.25">
      <c r="A4" s="8" t="s">
        <v>24</v>
      </c>
      <c r="B4" s="9">
        <v>311200</v>
      </c>
      <c r="L4" s="88"/>
    </row>
    <row r="5" spans="1:12" x14ac:dyDescent="0.25">
      <c r="A5" s="8" t="s">
        <v>25</v>
      </c>
      <c r="B5" s="9">
        <v>326896</v>
      </c>
      <c r="L5" s="88"/>
    </row>
    <row r="6" spans="1:12" x14ac:dyDescent="0.25">
      <c r="A6" s="8" t="s">
        <v>26</v>
      </c>
      <c r="B6" s="9">
        <v>321565</v>
      </c>
      <c r="L6" s="88"/>
    </row>
    <row r="7" spans="1:12" x14ac:dyDescent="0.25">
      <c r="A7" s="10" t="s">
        <v>27</v>
      </c>
      <c r="B7" s="11">
        <v>1567163</v>
      </c>
      <c r="L7" s="89"/>
    </row>
    <row r="8" spans="1:12" x14ac:dyDescent="0.25">
      <c r="A8" s="8" t="s">
        <v>28</v>
      </c>
      <c r="B8" s="9">
        <v>321643</v>
      </c>
      <c r="L8" s="88"/>
    </row>
    <row r="9" spans="1:12" x14ac:dyDescent="0.25">
      <c r="A9" s="8" t="s">
        <v>29</v>
      </c>
      <c r="B9" s="9">
        <v>326729</v>
      </c>
      <c r="L9" s="88"/>
    </row>
    <row r="10" spans="1:12" x14ac:dyDescent="0.25">
      <c r="A10" s="8" t="s">
        <v>30</v>
      </c>
      <c r="B10" s="9">
        <v>323562</v>
      </c>
      <c r="L10" s="88"/>
    </row>
    <row r="11" spans="1:12" x14ac:dyDescent="0.25">
      <c r="A11" s="8" t="s">
        <v>31</v>
      </c>
      <c r="B11" s="9">
        <v>322648</v>
      </c>
      <c r="L11" s="88"/>
    </row>
    <row r="12" spans="1:12" x14ac:dyDescent="0.25">
      <c r="A12" s="8" t="s">
        <v>32</v>
      </c>
      <c r="B12" s="9">
        <v>324065</v>
      </c>
      <c r="L12" s="88"/>
    </row>
    <row r="13" spans="1:12" x14ac:dyDescent="0.25">
      <c r="A13" s="12" t="s">
        <v>33</v>
      </c>
      <c r="B13" s="13">
        <v>1618647</v>
      </c>
      <c r="C13" s="2">
        <f>SUM(B7,B13)</f>
        <v>3185810</v>
      </c>
      <c r="D13" s="1">
        <f>C13/$B$108</f>
        <v>0.1255958322404806</v>
      </c>
      <c r="L13" s="89"/>
    </row>
    <row r="14" spans="1:12" x14ac:dyDescent="0.25">
      <c r="A14" s="6" t="s">
        <v>34</v>
      </c>
      <c r="B14" s="7">
        <v>319703</v>
      </c>
      <c r="L14" s="88"/>
    </row>
    <row r="15" spans="1:12" x14ac:dyDescent="0.25">
      <c r="A15" s="8" t="s">
        <v>35</v>
      </c>
      <c r="B15" s="9">
        <v>319972</v>
      </c>
      <c r="L15" s="88"/>
    </row>
    <row r="16" spans="1:12" x14ac:dyDescent="0.25">
      <c r="A16" s="8" t="s">
        <v>36</v>
      </c>
      <c r="B16" s="9">
        <v>316523</v>
      </c>
      <c r="L16" s="88"/>
    </row>
    <row r="17" spans="1:12" x14ac:dyDescent="0.25">
      <c r="A17" s="8" t="s">
        <v>37</v>
      </c>
      <c r="B17" s="9">
        <v>305472</v>
      </c>
      <c r="L17" s="88"/>
    </row>
    <row r="18" spans="1:12" x14ac:dyDescent="0.25">
      <c r="A18" s="8" t="s">
        <v>38</v>
      </c>
      <c r="B18" s="9">
        <v>294067</v>
      </c>
      <c r="L18" s="88"/>
    </row>
    <row r="19" spans="1:12" x14ac:dyDescent="0.25">
      <c r="A19" s="10" t="s">
        <v>39</v>
      </c>
      <c r="B19" s="11">
        <v>1555737</v>
      </c>
      <c r="L19" s="89"/>
    </row>
    <row r="20" spans="1:12" x14ac:dyDescent="0.25">
      <c r="A20" s="8" t="s">
        <v>40</v>
      </c>
      <c r="B20" s="9">
        <v>290601</v>
      </c>
      <c r="L20" s="88"/>
    </row>
    <row r="21" spans="1:12" x14ac:dyDescent="0.25">
      <c r="A21" s="8" t="s">
        <v>41</v>
      </c>
      <c r="B21" s="9">
        <v>288611</v>
      </c>
      <c r="L21" s="88"/>
    </row>
    <row r="22" spans="1:12" x14ac:dyDescent="0.25">
      <c r="A22" s="8" t="s">
        <v>42</v>
      </c>
      <c r="B22" s="9">
        <v>290316</v>
      </c>
      <c r="L22" s="88"/>
    </row>
    <row r="23" spans="1:12" x14ac:dyDescent="0.25">
      <c r="A23" s="8" t="s">
        <v>43</v>
      </c>
      <c r="B23" s="9">
        <v>307634</v>
      </c>
      <c r="L23" s="88"/>
    </row>
    <row r="24" spans="1:12" x14ac:dyDescent="0.25">
      <c r="A24" s="8" t="s">
        <v>44</v>
      </c>
      <c r="B24" s="9">
        <v>325295</v>
      </c>
      <c r="L24" s="88"/>
    </row>
    <row r="25" spans="1:12" x14ac:dyDescent="0.25">
      <c r="A25" s="12" t="s">
        <v>45</v>
      </c>
      <c r="B25" s="13">
        <v>1502457</v>
      </c>
      <c r="C25" s="2">
        <f>SUM(B25,B19)</f>
        <v>3058194</v>
      </c>
      <c r="D25" s="1">
        <f>C25/$B$108</f>
        <v>0.12056476079328157</v>
      </c>
      <c r="L25" s="89"/>
    </row>
    <row r="26" spans="1:12" x14ac:dyDescent="0.25">
      <c r="A26" s="6" t="s">
        <v>46</v>
      </c>
      <c r="B26" s="7">
        <v>330388</v>
      </c>
      <c r="L26" s="88"/>
    </row>
    <row r="27" spans="1:12" x14ac:dyDescent="0.25">
      <c r="A27" s="8" t="s">
        <v>47</v>
      </c>
      <c r="B27" s="9">
        <v>335483</v>
      </c>
      <c r="L27" s="88"/>
    </row>
    <row r="28" spans="1:12" x14ac:dyDescent="0.25">
      <c r="A28" s="8" t="s">
        <v>48</v>
      </c>
      <c r="B28" s="9">
        <v>347121</v>
      </c>
      <c r="L28" s="88"/>
    </row>
    <row r="29" spans="1:12" x14ac:dyDescent="0.25">
      <c r="A29" s="8" t="s">
        <v>49</v>
      </c>
      <c r="B29" s="9">
        <v>365323</v>
      </c>
      <c r="L29" s="88"/>
    </row>
    <row r="30" spans="1:12" x14ac:dyDescent="0.25">
      <c r="A30" s="8" t="s">
        <v>50</v>
      </c>
      <c r="B30" s="9">
        <v>380725</v>
      </c>
      <c r="L30" s="88"/>
    </row>
    <row r="31" spans="1:12" x14ac:dyDescent="0.25">
      <c r="A31" s="10" t="s">
        <v>51</v>
      </c>
      <c r="B31" s="11">
        <v>1759040</v>
      </c>
      <c r="L31" s="89"/>
    </row>
    <row r="32" spans="1:12" x14ac:dyDescent="0.25">
      <c r="A32" s="8" t="s">
        <v>52</v>
      </c>
      <c r="B32" s="9">
        <v>379564</v>
      </c>
      <c r="L32" s="88"/>
    </row>
    <row r="33" spans="1:12" x14ac:dyDescent="0.25">
      <c r="A33" s="8" t="s">
        <v>53</v>
      </c>
      <c r="B33" s="9">
        <v>376903</v>
      </c>
      <c r="L33" s="88"/>
    </row>
    <row r="34" spans="1:12" x14ac:dyDescent="0.25">
      <c r="A34" s="8" t="s">
        <v>54</v>
      </c>
      <c r="B34" s="9">
        <v>378326</v>
      </c>
      <c r="L34" s="88"/>
    </row>
    <row r="35" spans="1:12" x14ac:dyDescent="0.25">
      <c r="A35" s="8" t="s">
        <v>55</v>
      </c>
      <c r="B35" s="9">
        <v>384454</v>
      </c>
      <c r="L35" s="88"/>
    </row>
    <row r="36" spans="1:12" x14ac:dyDescent="0.25">
      <c r="A36" s="8" t="s">
        <v>56</v>
      </c>
      <c r="B36" s="9">
        <v>389152</v>
      </c>
      <c r="L36" s="88"/>
    </row>
    <row r="37" spans="1:12" x14ac:dyDescent="0.25">
      <c r="A37" s="12" t="s">
        <v>57</v>
      </c>
      <c r="B37" s="13">
        <v>1908399</v>
      </c>
      <c r="C37" s="2">
        <f>SUM(B31,B37)</f>
        <v>3667439</v>
      </c>
      <c r="D37" s="1">
        <f>C37/$B$108</f>
        <v>0.14458334093878666</v>
      </c>
      <c r="L37" s="89"/>
    </row>
    <row r="38" spans="1:12" x14ac:dyDescent="0.25">
      <c r="A38" s="6" t="s">
        <v>58</v>
      </c>
      <c r="B38" s="7">
        <v>381627</v>
      </c>
      <c r="L38" s="88"/>
    </row>
    <row r="39" spans="1:12" x14ac:dyDescent="0.25">
      <c r="A39" s="8" t="s">
        <v>59</v>
      </c>
      <c r="B39" s="9">
        <v>380703</v>
      </c>
      <c r="L39" s="88"/>
    </row>
    <row r="40" spans="1:12" x14ac:dyDescent="0.25">
      <c r="A40" s="8" t="s">
        <v>60</v>
      </c>
      <c r="B40" s="9">
        <v>376308</v>
      </c>
      <c r="L40" s="88"/>
    </row>
    <row r="41" spans="1:12" x14ac:dyDescent="0.25">
      <c r="A41" s="8" t="s">
        <v>61</v>
      </c>
      <c r="B41" s="9">
        <v>378900</v>
      </c>
      <c r="L41" s="88"/>
    </row>
    <row r="42" spans="1:12" x14ac:dyDescent="0.25">
      <c r="A42" s="8" t="s">
        <v>62</v>
      </c>
      <c r="B42" s="9">
        <v>374563</v>
      </c>
      <c r="L42" s="88"/>
    </row>
    <row r="43" spans="1:12" x14ac:dyDescent="0.25">
      <c r="A43" s="10" t="s">
        <v>63</v>
      </c>
      <c r="B43" s="11">
        <v>1892101</v>
      </c>
      <c r="L43" s="89"/>
    </row>
    <row r="44" spans="1:12" x14ac:dyDescent="0.25">
      <c r="A44" s="8" t="s">
        <v>64</v>
      </c>
      <c r="B44" s="9">
        <v>371946</v>
      </c>
      <c r="L44" s="88"/>
    </row>
    <row r="45" spans="1:12" x14ac:dyDescent="0.25">
      <c r="A45" s="8" t="s">
        <v>65</v>
      </c>
      <c r="B45" s="9">
        <v>368877</v>
      </c>
      <c r="L45" s="88"/>
    </row>
    <row r="46" spans="1:12" x14ac:dyDescent="0.25">
      <c r="A46" s="8" t="s">
        <v>66</v>
      </c>
      <c r="B46" s="9">
        <v>357736</v>
      </c>
      <c r="L46" s="88"/>
    </row>
    <row r="47" spans="1:12" x14ac:dyDescent="0.25">
      <c r="A47" s="8" t="s">
        <v>67</v>
      </c>
      <c r="B47" s="9">
        <v>348170</v>
      </c>
      <c r="L47" s="88"/>
    </row>
    <row r="48" spans="1:12" x14ac:dyDescent="0.25">
      <c r="A48" s="8" t="s">
        <v>68</v>
      </c>
      <c r="B48" s="9">
        <v>334445</v>
      </c>
      <c r="L48" s="88"/>
    </row>
    <row r="49" spans="1:12" x14ac:dyDescent="0.25">
      <c r="A49" s="12" t="s">
        <v>69</v>
      </c>
      <c r="B49" s="13">
        <v>1781174</v>
      </c>
      <c r="C49" s="2">
        <f>SUM(B43,B49)</f>
        <v>3673275</v>
      </c>
      <c r="D49" s="1">
        <f>C49/$B$108</f>
        <v>0.14481341657950456</v>
      </c>
      <c r="L49" s="89"/>
    </row>
    <row r="50" spans="1:12" x14ac:dyDescent="0.25">
      <c r="A50" s="6" t="s">
        <v>70</v>
      </c>
      <c r="B50" s="7">
        <v>324591</v>
      </c>
      <c r="L50" s="88"/>
    </row>
    <row r="51" spans="1:12" x14ac:dyDescent="0.25">
      <c r="A51" s="8" t="s">
        <v>71</v>
      </c>
      <c r="B51" s="9">
        <v>318448</v>
      </c>
      <c r="L51" s="88"/>
    </row>
    <row r="52" spans="1:12" x14ac:dyDescent="0.25">
      <c r="A52" s="8" t="s">
        <v>72</v>
      </c>
      <c r="B52" s="9">
        <v>315770</v>
      </c>
      <c r="L52" s="88"/>
    </row>
    <row r="53" spans="1:12" x14ac:dyDescent="0.25">
      <c r="A53" s="8" t="s">
        <v>73</v>
      </c>
      <c r="B53" s="9">
        <v>318107</v>
      </c>
      <c r="L53" s="88"/>
    </row>
    <row r="54" spans="1:12" x14ac:dyDescent="0.25">
      <c r="A54" s="8" t="s">
        <v>74</v>
      </c>
      <c r="B54" s="9">
        <v>318926</v>
      </c>
      <c r="L54" s="88"/>
    </row>
    <row r="55" spans="1:12" x14ac:dyDescent="0.25">
      <c r="A55" s="10" t="s">
        <v>75</v>
      </c>
      <c r="B55" s="11">
        <v>1595842</v>
      </c>
      <c r="L55" s="89"/>
    </row>
    <row r="56" spans="1:12" x14ac:dyDescent="0.25">
      <c r="A56" s="8" t="s">
        <v>76</v>
      </c>
      <c r="B56" s="9">
        <v>327436</v>
      </c>
      <c r="L56" s="88"/>
    </row>
    <row r="57" spans="1:12" x14ac:dyDescent="0.25">
      <c r="A57" s="8" t="s">
        <v>77</v>
      </c>
      <c r="B57" s="9">
        <v>332934</v>
      </c>
      <c r="L57" s="88"/>
    </row>
    <row r="58" spans="1:12" x14ac:dyDescent="0.25">
      <c r="A58" s="8" t="s">
        <v>78</v>
      </c>
      <c r="B58" s="9">
        <v>344168</v>
      </c>
      <c r="L58" s="88"/>
    </row>
    <row r="59" spans="1:12" x14ac:dyDescent="0.25">
      <c r="A59" s="8" t="s">
        <v>79</v>
      </c>
      <c r="B59" s="9">
        <v>347705</v>
      </c>
      <c r="L59" s="88"/>
    </row>
    <row r="60" spans="1:12" x14ac:dyDescent="0.25">
      <c r="A60" s="8" t="s">
        <v>80</v>
      </c>
      <c r="B60" s="9">
        <v>326172</v>
      </c>
      <c r="L60" s="88"/>
    </row>
    <row r="61" spans="1:12" x14ac:dyDescent="0.25">
      <c r="A61" s="12" t="s">
        <v>81</v>
      </c>
      <c r="B61" s="13">
        <v>1678415</v>
      </c>
      <c r="C61" s="2">
        <f>SUM(B55,B61)</f>
        <v>3274257</v>
      </c>
      <c r="D61" s="1">
        <f>C61/$B$108</f>
        <v>0.12908272398046944</v>
      </c>
      <c r="L61" s="89"/>
    </row>
    <row r="62" spans="1:12" x14ac:dyDescent="0.25">
      <c r="A62" s="6" t="s">
        <v>82</v>
      </c>
      <c r="B62" s="7">
        <v>320460</v>
      </c>
      <c r="L62" s="88"/>
    </row>
    <row r="63" spans="1:12" x14ac:dyDescent="0.25">
      <c r="A63" s="8" t="s">
        <v>83</v>
      </c>
      <c r="B63" s="9">
        <v>310043</v>
      </c>
      <c r="L63" s="88"/>
    </row>
    <row r="64" spans="1:12" x14ac:dyDescent="0.25">
      <c r="A64" s="8" t="s">
        <v>84</v>
      </c>
      <c r="B64" s="9">
        <v>301380</v>
      </c>
      <c r="L64" s="88"/>
    </row>
    <row r="65" spans="1:12" x14ac:dyDescent="0.25">
      <c r="A65" s="8" t="s">
        <v>85</v>
      </c>
      <c r="B65" s="9">
        <v>301965</v>
      </c>
      <c r="L65" s="88"/>
    </row>
    <row r="66" spans="1:12" x14ac:dyDescent="0.25">
      <c r="A66" s="8" t="s">
        <v>86</v>
      </c>
      <c r="B66" s="9">
        <v>300916</v>
      </c>
      <c r="L66" s="88"/>
    </row>
    <row r="67" spans="1:12" x14ac:dyDescent="0.25">
      <c r="A67" s="10" t="s">
        <v>87</v>
      </c>
      <c r="B67" s="11">
        <v>1534764</v>
      </c>
      <c r="L67" s="89"/>
    </row>
    <row r="68" spans="1:12" x14ac:dyDescent="0.25">
      <c r="A68" s="8" t="s">
        <v>88</v>
      </c>
      <c r="B68" s="9">
        <v>311890</v>
      </c>
      <c r="L68" s="88"/>
    </row>
    <row r="69" spans="1:12" x14ac:dyDescent="0.25">
      <c r="A69" s="8" t="s">
        <v>89</v>
      </c>
      <c r="B69" s="9">
        <v>313933</v>
      </c>
      <c r="L69" s="88"/>
    </row>
    <row r="70" spans="1:12" x14ac:dyDescent="0.25">
      <c r="A70" s="8" t="s">
        <v>90</v>
      </c>
      <c r="B70" s="9">
        <v>311527</v>
      </c>
      <c r="L70" s="88"/>
    </row>
    <row r="71" spans="1:12" x14ac:dyDescent="0.25">
      <c r="A71" s="8" t="s">
        <v>91</v>
      </c>
      <c r="B71" s="9">
        <v>309248</v>
      </c>
      <c r="L71" s="88"/>
    </row>
    <row r="72" spans="1:12" x14ac:dyDescent="0.25">
      <c r="A72" s="8" t="s">
        <v>92</v>
      </c>
      <c r="B72" s="9">
        <v>298726</v>
      </c>
      <c r="L72" s="88"/>
    </row>
    <row r="73" spans="1:12" x14ac:dyDescent="0.25">
      <c r="A73" s="14" t="s">
        <v>93</v>
      </c>
      <c r="B73" s="15">
        <v>1545324</v>
      </c>
      <c r="C73" s="2">
        <f>SUM(B67,B73)</f>
        <v>3080088</v>
      </c>
      <c r="D73" s="1">
        <f>C73/$B$108</f>
        <v>0.12142789925761971</v>
      </c>
      <c r="L73" s="89"/>
    </row>
    <row r="74" spans="1:12" x14ac:dyDescent="0.25">
      <c r="A74" s="6" t="s">
        <v>94</v>
      </c>
      <c r="B74" s="7">
        <v>290624</v>
      </c>
      <c r="L74" s="88"/>
    </row>
    <row r="75" spans="1:12" x14ac:dyDescent="0.25">
      <c r="A75" s="8" t="s">
        <v>95</v>
      </c>
      <c r="B75" s="9">
        <v>285521</v>
      </c>
      <c r="L75" s="88"/>
    </row>
    <row r="76" spans="1:12" x14ac:dyDescent="0.25">
      <c r="A76" s="8" t="s">
        <v>96</v>
      </c>
      <c r="B76" s="9">
        <v>277305</v>
      </c>
      <c r="L76" s="88"/>
    </row>
    <row r="77" spans="1:12" x14ac:dyDescent="0.25">
      <c r="A77" s="8" t="s">
        <v>97</v>
      </c>
      <c r="B77" s="9">
        <v>272986</v>
      </c>
      <c r="L77" s="88"/>
    </row>
    <row r="78" spans="1:12" x14ac:dyDescent="0.25">
      <c r="A78" s="8" t="s">
        <v>98</v>
      </c>
      <c r="B78" s="9">
        <v>261893</v>
      </c>
      <c r="L78" s="88"/>
    </row>
    <row r="79" spans="1:12" x14ac:dyDescent="0.25">
      <c r="A79" s="10" t="s">
        <v>99</v>
      </c>
      <c r="B79" s="11">
        <v>1388329</v>
      </c>
      <c r="L79" s="89"/>
    </row>
    <row r="80" spans="1:12" x14ac:dyDescent="0.25">
      <c r="A80" s="8" t="s">
        <v>100</v>
      </c>
      <c r="B80" s="9">
        <v>254839</v>
      </c>
      <c r="L80" s="88"/>
    </row>
    <row r="81" spans="1:12" x14ac:dyDescent="0.25">
      <c r="A81" s="8" t="s">
        <v>101</v>
      </c>
      <c r="B81" s="9">
        <v>251416</v>
      </c>
      <c r="L81" s="88"/>
    </row>
    <row r="82" spans="1:12" x14ac:dyDescent="0.25">
      <c r="A82" s="8" t="s">
        <v>102</v>
      </c>
      <c r="B82" s="9">
        <v>243468</v>
      </c>
      <c r="L82" s="88"/>
    </row>
    <row r="83" spans="1:12" x14ac:dyDescent="0.25">
      <c r="A83" s="8" t="s">
        <v>103</v>
      </c>
      <c r="B83" s="9">
        <v>240724</v>
      </c>
      <c r="L83" s="88"/>
    </row>
    <row r="84" spans="1:12" x14ac:dyDescent="0.25">
      <c r="A84" s="8" t="s">
        <v>104</v>
      </c>
      <c r="B84" s="9">
        <v>234326</v>
      </c>
      <c r="L84" s="88"/>
    </row>
    <row r="85" spans="1:12" x14ac:dyDescent="0.25">
      <c r="A85" s="12" t="s">
        <v>105</v>
      </c>
      <c r="B85" s="13">
        <v>1224773</v>
      </c>
      <c r="C85" s="2">
        <f>SUM(B79,B85)</f>
        <v>2613102</v>
      </c>
      <c r="D85" s="1">
        <f>C85/$B$108</f>
        <v>0.10301766910746854</v>
      </c>
      <c r="L85" s="89"/>
    </row>
    <row r="86" spans="1:12" x14ac:dyDescent="0.25">
      <c r="A86" s="6" t="s">
        <v>106</v>
      </c>
      <c r="B86" s="7">
        <v>226082</v>
      </c>
      <c r="L86" s="88"/>
    </row>
    <row r="87" spans="1:12" x14ac:dyDescent="0.25">
      <c r="A87" s="8" t="s">
        <v>107</v>
      </c>
      <c r="B87" s="9">
        <v>226412</v>
      </c>
      <c r="L87" s="88"/>
    </row>
    <row r="88" spans="1:12" x14ac:dyDescent="0.25">
      <c r="A88" s="8" t="s">
        <v>108</v>
      </c>
      <c r="B88" s="9">
        <v>231019</v>
      </c>
      <c r="L88" s="88"/>
    </row>
    <row r="89" spans="1:12" x14ac:dyDescent="0.25">
      <c r="A89" s="8" t="s">
        <v>109</v>
      </c>
      <c r="B89" s="9">
        <v>192937</v>
      </c>
      <c r="L89" s="88"/>
    </row>
    <row r="90" spans="1:12" x14ac:dyDescent="0.25">
      <c r="A90" s="8" t="s">
        <v>110</v>
      </c>
      <c r="B90" s="9">
        <v>181454</v>
      </c>
      <c r="L90" s="88"/>
    </row>
    <row r="91" spans="1:12" x14ac:dyDescent="0.25">
      <c r="A91" s="10" t="s">
        <v>111</v>
      </c>
      <c r="B91" s="11">
        <v>1057904</v>
      </c>
      <c r="L91" s="89"/>
    </row>
    <row r="92" spans="1:12" x14ac:dyDescent="0.25">
      <c r="A92" s="8" t="s">
        <v>112</v>
      </c>
      <c r="B92" s="9">
        <v>171139</v>
      </c>
      <c r="L92" s="88"/>
    </row>
    <row r="93" spans="1:12" x14ac:dyDescent="0.25">
      <c r="A93" s="8" t="s">
        <v>113</v>
      </c>
      <c r="B93" s="9">
        <v>151876</v>
      </c>
      <c r="L93" s="88"/>
    </row>
    <row r="94" spans="1:12" x14ac:dyDescent="0.25">
      <c r="A94" s="8" t="s">
        <v>114</v>
      </c>
      <c r="B94" s="9">
        <v>148212</v>
      </c>
      <c r="L94" s="88"/>
    </row>
    <row r="95" spans="1:12" x14ac:dyDescent="0.25">
      <c r="A95" s="8" t="s">
        <v>115</v>
      </c>
      <c r="B95" s="9">
        <v>135541</v>
      </c>
      <c r="L95" s="88"/>
    </row>
    <row r="96" spans="1:12" x14ac:dyDescent="0.25">
      <c r="A96" s="8" t="s">
        <v>116</v>
      </c>
      <c r="B96" s="9">
        <v>127491</v>
      </c>
      <c r="L96" s="88"/>
    </row>
    <row r="97" spans="1:12" x14ac:dyDescent="0.25">
      <c r="A97" s="12" t="s">
        <v>117</v>
      </c>
      <c r="B97" s="13">
        <v>734259</v>
      </c>
      <c r="C97" s="2">
        <f>SUM(B91,B97)</f>
        <v>1792163</v>
      </c>
      <c r="D97" s="1">
        <f>C97/$B$108</f>
        <v>7.065336711718416E-2</v>
      </c>
      <c r="L97" s="89"/>
    </row>
    <row r="98" spans="1:12" x14ac:dyDescent="0.25">
      <c r="A98" s="6" t="s">
        <v>118</v>
      </c>
      <c r="B98" s="7">
        <v>118484</v>
      </c>
      <c r="L98" s="88"/>
    </row>
    <row r="99" spans="1:12" x14ac:dyDescent="0.25">
      <c r="A99" s="8" t="s">
        <v>119</v>
      </c>
      <c r="B99" s="9">
        <v>109564</v>
      </c>
      <c r="L99" s="88"/>
    </row>
    <row r="100" spans="1:12" x14ac:dyDescent="0.25">
      <c r="A100" s="8" t="s">
        <v>120</v>
      </c>
      <c r="B100" s="9">
        <v>101897</v>
      </c>
      <c r="L100" s="88"/>
    </row>
    <row r="101" spans="1:12" x14ac:dyDescent="0.25">
      <c r="A101" s="8" t="s">
        <v>121</v>
      </c>
      <c r="B101" s="9">
        <v>93053</v>
      </c>
      <c r="L101" s="88"/>
    </row>
    <row r="102" spans="1:12" x14ac:dyDescent="0.25">
      <c r="A102" s="8" t="s">
        <v>122</v>
      </c>
      <c r="B102" s="9">
        <v>82541</v>
      </c>
      <c r="L102" s="88"/>
    </row>
    <row r="103" spans="1:12" x14ac:dyDescent="0.25">
      <c r="A103" s="10" t="s">
        <v>123</v>
      </c>
      <c r="B103" s="11">
        <v>505539</v>
      </c>
      <c r="L103" s="89"/>
    </row>
    <row r="104" spans="1:12" x14ac:dyDescent="0.25">
      <c r="A104" s="10" t="s">
        <v>124</v>
      </c>
      <c r="B104" s="11">
        <v>313008</v>
      </c>
      <c r="L104" s="89"/>
    </row>
    <row r="105" spans="1:12" x14ac:dyDescent="0.25">
      <c r="A105" s="10" t="s">
        <v>125</v>
      </c>
      <c r="B105" s="11">
        <v>153468</v>
      </c>
      <c r="L105" s="89"/>
    </row>
    <row r="106" spans="1:12" x14ac:dyDescent="0.25">
      <c r="A106" s="10" t="s">
        <v>126</v>
      </c>
      <c r="B106" s="11">
        <v>44201</v>
      </c>
      <c r="L106" s="89"/>
    </row>
    <row r="107" spans="1:12" x14ac:dyDescent="0.25">
      <c r="A107" s="12" t="s">
        <v>127</v>
      </c>
      <c r="B107" s="13">
        <v>5027</v>
      </c>
      <c r="C107" s="2">
        <f>SUM(B103:B107)</f>
        <v>1021243</v>
      </c>
      <c r="D107" s="1">
        <f>C107/$B$108</f>
        <v>4.0260989985204748E-2</v>
      </c>
      <c r="L107" s="89"/>
    </row>
    <row r="108" spans="1:12" x14ac:dyDescent="0.25">
      <c r="A108" s="4" t="s">
        <v>128</v>
      </c>
      <c r="B108" s="5">
        <v>25365571</v>
      </c>
      <c r="L108" s="9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2:J29"/>
  <sheetViews>
    <sheetView workbookViewId="0">
      <selection activeCell="F22" sqref="F22"/>
    </sheetView>
  </sheetViews>
  <sheetFormatPr defaultRowHeight="15" x14ac:dyDescent="0.25"/>
  <sheetData>
    <row r="2" spans="1:5" x14ac:dyDescent="0.25">
      <c r="A2" t="s">
        <v>302</v>
      </c>
    </row>
    <row r="3" spans="1:5" x14ac:dyDescent="0.25">
      <c r="A3" t="s">
        <v>136</v>
      </c>
      <c r="B3" t="s">
        <v>300</v>
      </c>
      <c r="C3" t="s">
        <v>301</v>
      </c>
      <c r="D3" t="s">
        <v>137</v>
      </c>
      <c r="E3" t="s">
        <v>138</v>
      </c>
    </row>
    <row r="4" spans="1:5" x14ac:dyDescent="0.25">
      <c r="A4" s="53" t="s">
        <v>13</v>
      </c>
      <c r="B4" s="28">
        <v>127</v>
      </c>
      <c r="C4" s="28">
        <v>115</v>
      </c>
      <c r="D4">
        <f>SUM(B4:C4)</f>
        <v>242</v>
      </c>
      <c r="E4" s="3">
        <f t="shared" ref="E4:E12" si="0">D4/$D$14</f>
        <v>3.4007869589657111E-2</v>
      </c>
    </row>
    <row r="5" spans="1:5" x14ac:dyDescent="0.25">
      <c r="A5" s="53" t="s">
        <v>14</v>
      </c>
      <c r="B5" s="28">
        <v>416</v>
      </c>
      <c r="C5" s="28">
        <v>334</v>
      </c>
      <c r="D5">
        <f t="shared" ref="D5:D12" si="1">SUM(B5:C5)</f>
        <v>750</v>
      </c>
      <c r="E5" s="3">
        <f t="shared" si="0"/>
        <v>0.10539629005059022</v>
      </c>
    </row>
    <row r="6" spans="1:5" x14ac:dyDescent="0.25">
      <c r="A6" s="53" t="s">
        <v>15</v>
      </c>
      <c r="B6" s="28">
        <v>584</v>
      </c>
      <c r="C6" s="28">
        <v>577</v>
      </c>
      <c r="D6">
        <f t="shared" si="1"/>
        <v>1161</v>
      </c>
      <c r="E6" s="3">
        <f t="shared" si="0"/>
        <v>0.16315345699831366</v>
      </c>
    </row>
    <row r="7" spans="1:5" x14ac:dyDescent="0.25">
      <c r="A7" s="53" t="s">
        <v>16</v>
      </c>
      <c r="B7" s="59">
        <v>550</v>
      </c>
      <c r="C7" s="59">
        <v>578</v>
      </c>
      <c r="D7">
        <f t="shared" si="1"/>
        <v>1128</v>
      </c>
      <c r="E7" s="3">
        <f t="shared" si="0"/>
        <v>0.15851602023608768</v>
      </c>
    </row>
    <row r="8" spans="1:5" x14ac:dyDescent="0.25">
      <c r="A8" s="53" t="s">
        <v>17</v>
      </c>
      <c r="B8" s="59">
        <v>511</v>
      </c>
      <c r="C8" s="59">
        <v>393</v>
      </c>
      <c r="D8">
        <f t="shared" si="1"/>
        <v>904</v>
      </c>
      <c r="E8" s="3">
        <f t="shared" si="0"/>
        <v>0.12703766160764474</v>
      </c>
    </row>
    <row r="9" spans="1:5" x14ac:dyDescent="0.25">
      <c r="A9" s="53" t="s">
        <v>18</v>
      </c>
      <c r="B9" s="59">
        <v>592</v>
      </c>
      <c r="C9" s="59">
        <v>536</v>
      </c>
      <c r="D9">
        <f t="shared" si="1"/>
        <v>1128</v>
      </c>
      <c r="E9" s="3">
        <f t="shared" si="0"/>
        <v>0.15851602023608768</v>
      </c>
    </row>
    <row r="10" spans="1:5" x14ac:dyDescent="0.25">
      <c r="A10" s="53" t="s">
        <v>19</v>
      </c>
      <c r="B10" s="59">
        <v>671</v>
      </c>
      <c r="C10" s="59">
        <v>814</v>
      </c>
      <c r="D10">
        <f t="shared" si="1"/>
        <v>1485</v>
      </c>
      <c r="E10" s="3">
        <f t="shared" si="0"/>
        <v>0.20868465430016864</v>
      </c>
    </row>
    <row r="11" spans="1:5" ht="15.75" customHeight="1" x14ac:dyDescent="0.25">
      <c r="A11" s="54" t="s">
        <v>20</v>
      </c>
      <c r="B11" s="286">
        <v>113</v>
      </c>
      <c r="C11" s="286">
        <v>112</v>
      </c>
      <c r="D11">
        <f t="shared" si="1"/>
        <v>225</v>
      </c>
      <c r="E11" s="3">
        <f t="shared" si="0"/>
        <v>3.1618887015177066E-2</v>
      </c>
    </row>
    <row r="12" spans="1:5" x14ac:dyDescent="0.25">
      <c r="A12" s="54" t="s">
        <v>21</v>
      </c>
      <c r="B12" s="286">
        <v>48</v>
      </c>
      <c r="C12" s="286">
        <v>45</v>
      </c>
      <c r="D12">
        <f t="shared" si="1"/>
        <v>93</v>
      </c>
      <c r="E12" s="3">
        <f t="shared" si="0"/>
        <v>1.3069139966273187E-2</v>
      </c>
    </row>
    <row r="14" spans="1:5" x14ac:dyDescent="0.25">
      <c r="A14" t="s">
        <v>139</v>
      </c>
      <c r="D14">
        <f>SUM(D4:D12)</f>
        <v>7116</v>
      </c>
    </row>
    <row r="16" spans="1:5" x14ac:dyDescent="0.25">
      <c r="A16" t="s">
        <v>226</v>
      </c>
    </row>
    <row r="17" spans="1:10" x14ac:dyDescent="0.25">
      <c r="A17" t="s">
        <v>136</v>
      </c>
      <c r="B17" t="s">
        <v>300</v>
      </c>
      <c r="C17" t="s">
        <v>301</v>
      </c>
      <c r="D17" t="s">
        <v>226</v>
      </c>
      <c r="E17" t="s">
        <v>138</v>
      </c>
      <c r="F17" t="s">
        <v>3</v>
      </c>
      <c r="H17" s="287" t="s">
        <v>303</v>
      </c>
      <c r="I17" s="194" t="s">
        <v>304</v>
      </c>
      <c r="J17" s="194" t="s">
        <v>305</v>
      </c>
    </row>
    <row r="18" spans="1:10" x14ac:dyDescent="0.25">
      <c r="A18" s="53" t="s">
        <v>13</v>
      </c>
      <c r="B18" s="28">
        <v>27</v>
      </c>
      <c r="C18" s="28">
        <v>28</v>
      </c>
      <c r="D18">
        <f>SUM(B18:C18)</f>
        <v>55</v>
      </c>
      <c r="E18" s="3">
        <f>D18/$D$28</f>
        <v>0.53398058252427183</v>
      </c>
      <c r="F18" s="3">
        <f>D18/D4</f>
        <v>0.22727272727272727</v>
      </c>
      <c r="H18" s="288">
        <v>0.14799999999999999</v>
      </c>
      <c r="I18" s="288">
        <v>0.20200000000000001</v>
      </c>
      <c r="J18" s="288">
        <v>0.156</v>
      </c>
    </row>
    <row r="19" spans="1:10" x14ac:dyDescent="0.25">
      <c r="A19" s="53" t="s">
        <v>14</v>
      </c>
      <c r="B19" s="28">
        <v>22</v>
      </c>
      <c r="C19" s="28">
        <v>12</v>
      </c>
      <c r="D19">
        <f t="shared" ref="D19:D26" si="2">SUM(B19:C19)</f>
        <v>34</v>
      </c>
      <c r="E19" s="3">
        <f t="shared" ref="E19:E26" si="3">D19/$D$28</f>
        <v>0.3300970873786408</v>
      </c>
      <c r="F19" s="3">
        <f t="shared" ref="F19:F26" si="4">D19/D5</f>
        <v>4.5333333333333337E-2</v>
      </c>
      <c r="H19" s="289">
        <v>0.08</v>
      </c>
      <c r="I19" s="289">
        <v>0.128</v>
      </c>
      <c r="J19" s="289">
        <v>4.8000000000000001E-2</v>
      </c>
    </row>
    <row r="20" spans="1:10" x14ac:dyDescent="0.25">
      <c r="A20" s="53" t="s">
        <v>15</v>
      </c>
      <c r="B20" s="28">
        <v>6</v>
      </c>
      <c r="C20" s="28">
        <v>4</v>
      </c>
      <c r="D20">
        <f t="shared" si="2"/>
        <v>10</v>
      </c>
      <c r="E20" s="3">
        <f t="shared" si="3"/>
        <v>9.7087378640776698E-2</v>
      </c>
      <c r="F20" s="3">
        <f t="shared" si="4"/>
        <v>8.6132644272179162E-3</v>
      </c>
      <c r="H20" s="289">
        <v>3.5999999999999997E-2</v>
      </c>
      <c r="I20" s="289">
        <v>3.5000000000000003E-2</v>
      </c>
      <c r="J20" s="289">
        <v>1.9E-2</v>
      </c>
    </row>
    <row r="21" spans="1:10" x14ac:dyDescent="0.25">
      <c r="A21" s="53" t="s">
        <v>16</v>
      </c>
      <c r="B21" s="59">
        <v>1</v>
      </c>
      <c r="C21" s="59">
        <v>1</v>
      </c>
      <c r="D21">
        <f t="shared" si="2"/>
        <v>2</v>
      </c>
      <c r="E21" s="3">
        <f t="shared" si="3"/>
        <v>1.9417475728155338E-2</v>
      </c>
      <c r="F21" s="3">
        <f>D21/D7</f>
        <v>1.7730496453900709E-3</v>
      </c>
      <c r="H21" s="289">
        <v>1.2999999999999999E-2</v>
      </c>
      <c r="I21" s="289">
        <v>0.01</v>
      </c>
      <c r="J21" s="289">
        <v>4.0000000000000001E-3</v>
      </c>
    </row>
    <row r="22" spans="1:10" x14ac:dyDescent="0.25">
      <c r="A22" s="53" t="s">
        <v>17</v>
      </c>
      <c r="B22" s="59">
        <v>1</v>
      </c>
      <c r="C22" s="59">
        <v>0</v>
      </c>
      <c r="D22">
        <f t="shared" si="2"/>
        <v>1</v>
      </c>
      <c r="E22" s="3">
        <f t="shared" si="3"/>
        <v>9.7087378640776691E-3</v>
      </c>
      <c r="F22" s="3">
        <f t="shared" si="4"/>
        <v>1.1061946902654867E-3</v>
      </c>
      <c r="H22" s="289">
        <v>4.0000000000000001E-3</v>
      </c>
      <c r="I22" s="289">
        <v>4.0000000000000001E-3</v>
      </c>
      <c r="J22" s="289">
        <v>3.0000000000000001E-3</v>
      </c>
    </row>
    <row r="23" spans="1:10" x14ac:dyDescent="0.25">
      <c r="A23" s="53" t="s">
        <v>18</v>
      </c>
      <c r="B23" s="59">
        <v>1</v>
      </c>
      <c r="C23" s="59">
        <v>0</v>
      </c>
      <c r="D23">
        <f t="shared" si="2"/>
        <v>1</v>
      </c>
      <c r="E23" s="3">
        <f t="shared" si="3"/>
        <v>9.7087378640776691E-3</v>
      </c>
      <c r="F23" s="3">
        <f t="shared" si="4"/>
        <v>8.8652482269503544E-4</v>
      </c>
      <c r="H23" s="289">
        <v>2E-3</v>
      </c>
      <c r="I23" s="289">
        <v>3.0000000000000001E-3</v>
      </c>
      <c r="J23" s="289">
        <v>1.4E-3</v>
      </c>
    </row>
    <row r="24" spans="1:10" x14ac:dyDescent="0.25">
      <c r="A24" s="53" t="s">
        <v>19</v>
      </c>
      <c r="B24" s="59">
        <v>0</v>
      </c>
      <c r="C24" s="59">
        <v>0</v>
      </c>
      <c r="D24">
        <f t="shared" si="2"/>
        <v>0</v>
      </c>
      <c r="E24" s="3">
        <f t="shared" si="3"/>
        <v>0</v>
      </c>
      <c r="F24" s="3">
        <f t="shared" si="4"/>
        <v>0</v>
      </c>
      <c r="H24" s="289">
        <v>2E-3</v>
      </c>
      <c r="I24" s="289">
        <v>0</v>
      </c>
      <c r="J24" s="289">
        <v>2.2000000000000001E-3</v>
      </c>
    </row>
    <row r="25" spans="1:10" x14ac:dyDescent="0.25">
      <c r="A25" s="54" t="s">
        <v>20</v>
      </c>
      <c r="B25" s="286">
        <v>0</v>
      </c>
      <c r="C25" s="286">
        <v>0</v>
      </c>
      <c r="D25">
        <f t="shared" si="2"/>
        <v>0</v>
      </c>
      <c r="E25" s="3">
        <f t="shared" si="3"/>
        <v>0</v>
      </c>
      <c r="F25" s="3">
        <f t="shared" si="4"/>
        <v>0</v>
      </c>
      <c r="H25" s="289">
        <v>2E-3</v>
      </c>
      <c r="I25" s="289">
        <v>0</v>
      </c>
      <c r="J25" s="289">
        <v>0</v>
      </c>
    </row>
    <row r="26" spans="1:10" x14ac:dyDescent="0.25">
      <c r="A26" s="54" t="s">
        <v>21</v>
      </c>
      <c r="B26" s="286">
        <v>0</v>
      </c>
      <c r="C26" s="286">
        <v>0</v>
      </c>
      <c r="D26">
        <f t="shared" si="2"/>
        <v>0</v>
      </c>
      <c r="E26" s="3">
        <f t="shared" si="3"/>
        <v>0</v>
      </c>
      <c r="F26" s="3">
        <f t="shared" si="4"/>
        <v>0</v>
      </c>
      <c r="H26" s="290">
        <v>0</v>
      </c>
      <c r="I26" s="290">
        <v>0</v>
      </c>
      <c r="J26" s="290">
        <v>0</v>
      </c>
    </row>
    <row r="28" spans="1:10" x14ac:dyDescent="0.25">
      <c r="A28" t="s">
        <v>139</v>
      </c>
      <c r="B28">
        <f t="shared" ref="B28:C28" si="5">SUM(B18:B26)</f>
        <v>58</v>
      </c>
      <c r="C28">
        <f t="shared" si="5"/>
        <v>45</v>
      </c>
      <c r="D28">
        <f>SUM(D18:D26)</f>
        <v>103</v>
      </c>
    </row>
    <row r="29" spans="1:10" x14ac:dyDescent="0.25">
      <c r="B29" s="3">
        <f>B28/D28</f>
        <v>0.56310679611650483</v>
      </c>
      <c r="C29" s="3">
        <f>C28/D28</f>
        <v>0.43689320388349512</v>
      </c>
    </row>
  </sheetData>
  <hyperlinks>
    <hyperlink ref="H17" r:id="rId1" location="case-fatality-rate-of-covid-19-by-age" display="Initial Chinese mortality" xr:uid="{0A2D38F3-CFFD-4A54-9984-E798414EC30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ABS Population by Age Range</vt:lpstr>
      <vt:lpstr>AU 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2020-05-30T05:13:48Z</dcterms:modified>
</cp:coreProperties>
</file>