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237B182B-6E1B-4C1A-96A0-5AAC5F2E6B95}"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50" i="1" l="1"/>
  <c r="B11" i="1" l="1"/>
  <c r="W50" i="1" l="1"/>
  <c r="V50" i="1" l="1"/>
  <c r="Y47" i="1"/>
  <c r="Z47" i="1"/>
  <c r="AA47" i="1"/>
  <c r="AB47" i="1"/>
  <c r="AC47" i="1"/>
  <c r="AD47" i="1"/>
  <c r="AE47" i="1"/>
  <c r="AF47" i="1"/>
  <c r="AG47" i="1"/>
  <c r="U50" i="1" l="1"/>
  <c r="M50" i="1" l="1"/>
  <c r="N50" i="1"/>
  <c r="O50" i="1"/>
  <c r="P50" i="1"/>
  <c r="Q50" i="1"/>
  <c r="R50" i="1"/>
  <c r="S50" i="1"/>
  <c r="T50" i="1"/>
  <c r="L50" i="1"/>
  <c r="E34" i="4" l="1"/>
  <c r="C45" i="4"/>
  <c r="C21" i="5" l="1"/>
  <c r="D14" i="1"/>
  <c r="C14" i="1"/>
  <c r="C13" i="1"/>
  <c r="B14" i="3"/>
  <c r="AJ27" i="1"/>
  <c r="AJ29" i="1" s="1"/>
  <c r="L46" i="1"/>
  <c r="B71" i="1"/>
  <c r="B69" i="1"/>
  <c r="B67" i="1"/>
  <c r="B65" i="1"/>
  <c r="B63" i="1"/>
  <c r="B61" i="1"/>
  <c r="B59" i="1"/>
  <c r="B57" i="1"/>
  <c r="B55" i="1"/>
  <c r="C23" i="2"/>
  <c r="D23" i="2" s="1"/>
  <c r="D24" i="2"/>
  <c r="D18" i="2"/>
  <c r="D16" i="2"/>
  <c r="D14" i="2"/>
  <c r="D12" i="2"/>
  <c r="D10" i="2"/>
  <c r="D8" i="2"/>
  <c r="D6" i="2"/>
  <c r="D4" i="2"/>
  <c r="C18" i="2"/>
  <c r="C16" i="2"/>
  <c r="C14" i="2"/>
  <c r="C12" i="2"/>
  <c r="C10" i="2"/>
  <c r="C8" i="2"/>
  <c r="C6" i="2"/>
  <c r="C4" i="2"/>
  <c r="B25" i="2"/>
  <c r="AJ28" i="1" l="1"/>
  <c r="AM27" i="1"/>
  <c r="AM23" i="1"/>
  <c r="AM31" i="1" s="1"/>
  <c r="AM24" i="1"/>
  <c r="AI27" i="1"/>
  <c r="AK27" i="1"/>
  <c r="AM29" i="1" l="1"/>
  <c r="AM28" i="1"/>
  <c r="C5" i="5"/>
  <c r="C4" i="5"/>
  <c r="M22" i="1"/>
  <c r="N22" i="1" l="1"/>
  <c r="O22" i="1" s="1"/>
  <c r="M48" i="1"/>
  <c r="P22" i="1" l="1"/>
  <c r="M46" i="1"/>
  <c r="L48" i="1"/>
  <c r="L45" i="1"/>
  <c r="Q22" i="1" l="1"/>
  <c r="N46" i="1"/>
  <c r="L33" i="1"/>
  <c r="L34" i="1" s="1"/>
  <c r="L35" i="1"/>
  <c r="L36" i="1" s="1"/>
  <c r="AH47" i="1"/>
  <c r="AI47" i="1" s="1"/>
  <c r="AK47" i="1" l="1"/>
  <c r="AJ47" i="1"/>
  <c r="R22" i="1"/>
  <c r="O46" i="1"/>
  <c r="L31" i="1"/>
  <c r="L32" i="1" s="1"/>
  <c r="L27" i="1"/>
  <c r="L29" i="1" s="1"/>
  <c r="L30" i="1" s="1"/>
  <c r="C12" i="5"/>
  <c r="C7" i="5"/>
  <c r="C8" i="5" s="1"/>
  <c r="C9" i="5" s="1"/>
  <c r="C18" i="5"/>
  <c r="C15" i="5"/>
  <c r="C24" i="5"/>
  <c r="C3" i="5"/>
  <c r="S22" i="1" l="1"/>
  <c r="C30" i="5"/>
  <c r="L28" i="1"/>
  <c r="P46" i="1"/>
  <c r="L25" i="1"/>
  <c r="L26" i="1" s="1"/>
  <c r="C34" i="5"/>
  <c r="T22" i="1" l="1"/>
  <c r="T48" i="1" s="1"/>
  <c r="Q46" i="1"/>
  <c r="C13" i="5"/>
  <c r="C14" i="5" s="1"/>
  <c r="AL23" i="1"/>
  <c r="L41" i="1"/>
  <c r="L39" i="1"/>
  <c r="L42" i="1"/>
  <c r="L40" i="1"/>
  <c r="U22" i="1" l="1"/>
  <c r="AL80" i="1"/>
  <c r="AL81" i="1" s="1"/>
  <c r="AL78" i="1"/>
  <c r="AL84" i="1"/>
  <c r="AL85" i="1" s="1"/>
  <c r="AL88" i="1"/>
  <c r="AL82" i="1"/>
  <c r="AL83" i="1" s="1"/>
  <c r="AL86" i="1"/>
  <c r="AL87" i="1" s="1"/>
  <c r="R46" i="1"/>
  <c r="AL24" i="1"/>
  <c r="AM37" i="1"/>
  <c r="AM35" i="1"/>
  <c r="AM33" i="1"/>
  <c r="AL47" i="1"/>
  <c r="AM47" i="1" s="1"/>
  <c r="AL31" i="1"/>
  <c r="AL27" i="1"/>
  <c r="AL29" i="1" s="1"/>
  <c r="C22" i="5"/>
  <c r="C23" i="5" s="1"/>
  <c r="C35" i="5"/>
  <c r="C40" i="5" s="1"/>
  <c r="C25" i="5"/>
  <c r="C19" i="5"/>
  <c r="C20" i="5" s="1"/>
  <c r="C16" i="5"/>
  <c r="C17" i="5" s="1"/>
  <c r="C31" i="5"/>
  <c r="AP25" i="4"/>
  <c r="E31" i="4"/>
  <c r="B17" i="4" s="1"/>
  <c r="K20" i="4" l="1"/>
  <c r="B18" i="4"/>
  <c r="B19" i="4" s="1"/>
  <c r="V22" i="1"/>
  <c r="AL79" i="1"/>
  <c r="AL91" i="1" s="1"/>
  <c r="AL90"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W22" i="1"/>
  <c r="E18" i="4"/>
  <c r="K21" i="4" s="1"/>
  <c r="N20" i="4"/>
  <c r="H17" i="4"/>
  <c r="L78" i="1"/>
  <c r="L79" i="1" s="1"/>
  <c r="X22" i="1" l="1"/>
  <c r="E19" i="4"/>
  <c r="Q20" i="4"/>
  <c r="H18" i="4"/>
  <c r="N22" i="4" s="1"/>
  <c r="K17" i="4"/>
  <c r="Y24" i="4"/>
  <c r="Y22" i="1" l="1"/>
  <c r="H19" i="4"/>
  <c r="T20" i="4"/>
  <c r="K18" i="4"/>
  <c r="K19" i="4" s="1"/>
  <c r="N21" i="4"/>
  <c r="AB24" i="4" s="1"/>
  <c r="N17" i="4"/>
  <c r="Z22" i="1" l="1"/>
  <c r="Q17" i="4"/>
  <c r="T17" i="4" s="1"/>
  <c r="W20" i="4"/>
  <c r="N18" i="4"/>
  <c r="N19" i="4" s="1"/>
  <c r="Q21" i="4"/>
  <c r="AE24" i="4" s="1"/>
  <c r="Q22" i="4"/>
  <c r="AA22" i="1" l="1"/>
  <c r="AB22" i="1" s="1"/>
  <c r="AC22" i="1" s="1"/>
  <c r="AD22" i="1" s="1"/>
  <c r="AE22" i="1" s="1"/>
  <c r="AF22" i="1" s="1"/>
  <c r="AG22" i="1" s="1"/>
  <c r="D19" i="1" s="1"/>
  <c r="T18" i="4"/>
  <c r="T19" i="4" s="1"/>
  <c r="AC20" i="4"/>
  <c r="Z20" i="4"/>
  <c r="Q18" i="4"/>
  <c r="Q19" i="4" s="1"/>
  <c r="T21" i="4"/>
  <c r="AH24" i="4" s="1"/>
  <c r="T22" i="4"/>
  <c r="T23" i="4"/>
  <c r="W21" i="4"/>
  <c r="AK24" i="4" s="1"/>
  <c r="W17" i="4"/>
  <c r="W23" i="4" l="1"/>
  <c r="AF45" i="1"/>
  <c r="AF46" i="1"/>
  <c r="AF48" i="1"/>
  <c r="W18" i="4"/>
  <c r="W19" i="4" s="1"/>
  <c r="AF20" i="4"/>
  <c r="W22" i="4"/>
  <c r="Z21" i="4"/>
  <c r="AN24" i="4" s="1"/>
  <c r="Z23" i="4"/>
  <c r="Z22" i="4"/>
  <c r="Z17" i="4"/>
  <c r="C88" i="1"/>
  <c r="C86" i="1"/>
  <c r="C84" i="1"/>
  <c r="C82" i="1"/>
  <c r="C80" i="1"/>
  <c r="C78" i="1"/>
  <c r="L37" i="1"/>
  <c r="D57" i="1"/>
  <c r="AH22" i="1" l="1"/>
  <c r="AG45" i="1"/>
  <c r="AG46" i="1"/>
  <c r="AG48" i="1"/>
  <c r="Z18" i="4"/>
  <c r="Z19" i="4" s="1"/>
  <c r="AI20" i="4"/>
  <c r="AL57" i="1"/>
  <c r="AL58" i="1"/>
  <c r="AC21" i="4"/>
  <c r="AC22" i="4"/>
  <c r="AC23" i="4"/>
  <c r="AC17" i="4"/>
  <c r="AL37" i="1"/>
  <c r="D61" i="1"/>
  <c r="D55" i="1"/>
  <c r="D71" i="1"/>
  <c r="D69" i="1"/>
  <c r="D67" i="1"/>
  <c r="D65" i="1"/>
  <c r="D63" i="1"/>
  <c r="D59" i="1"/>
  <c r="C10" i="5"/>
  <c r="C26" i="5" s="1"/>
  <c r="C27" i="5" s="1"/>
  <c r="C11" i="5"/>
  <c r="L58" i="1"/>
  <c r="L88" i="1"/>
  <c r="L86" i="1"/>
  <c r="L84" i="1"/>
  <c r="L85" i="1" s="1"/>
  <c r="L82" i="1"/>
  <c r="L83" i="1" s="1"/>
  <c r="L80" i="1"/>
  <c r="L81" i="1" s="1"/>
  <c r="C57" i="1"/>
  <c r="C59" i="1"/>
  <c r="C61" i="1"/>
  <c r="C63" i="1"/>
  <c r="C65" i="1"/>
  <c r="C67" i="1"/>
  <c r="C69" i="1"/>
  <c r="C71" i="1"/>
  <c r="C55" i="1"/>
  <c r="L24" i="1"/>
  <c r="M23" i="1"/>
  <c r="C28" i="5" l="1"/>
  <c r="C29" i="5" s="1"/>
  <c r="AI22" i="1"/>
  <c r="AJ22" i="1" s="1"/>
  <c r="AH45" i="1"/>
  <c r="AH46" i="1"/>
  <c r="AH48" i="1"/>
  <c r="AL55" i="1"/>
  <c r="AL56" i="1"/>
  <c r="AL20" i="4"/>
  <c r="AC18" i="4"/>
  <c r="AC19" i="4" s="1"/>
  <c r="AL67" i="1"/>
  <c r="AL68" i="1"/>
  <c r="AL60" i="1"/>
  <c r="AL59" i="1"/>
  <c r="AL63" i="1"/>
  <c r="AL64" i="1"/>
  <c r="AL70" i="1"/>
  <c r="AL69" i="1"/>
  <c r="AL62" i="1"/>
  <c r="AL61" i="1"/>
  <c r="AL66" i="1"/>
  <c r="AL65" i="1"/>
  <c r="L72" i="1"/>
  <c r="AL72" i="1"/>
  <c r="AL71" i="1"/>
  <c r="M33" i="1"/>
  <c r="M35" i="1"/>
  <c r="M36" i="1" s="1"/>
  <c r="M31" i="1"/>
  <c r="M32" i="1" s="1"/>
  <c r="M39" i="1"/>
  <c r="M42" i="1"/>
  <c r="M45" i="1"/>
  <c r="M40" i="1"/>
  <c r="M41" i="1"/>
  <c r="M27" i="1"/>
  <c r="AF22" i="4"/>
  <c r="AF23" i="4"/>
  <c r="AF21" i="4"/>
  <c r="AF17" i="4"/>
  <c r="L56" i="1"/>
  <c r="L55" i="1"/>
  <c r="L64" i="1"/>
  <c r="L63" i="1"/>
  <c r="L67" i="1"/>
  <c r="L66" i="1"/>
  <c r="L69" i="1"/>
  <c r="L59" i="1"/>
  <c r="N23" i="1"/>
  <c r="N31" i="1" s="1"/>
  <c r="N32" i="1" s="1"/>
  <c r="M82" i="1"/>
  <c r="M83" i="1" s="1"/>
  <c r="L60" i="1"/>
  <c r="M71" i="1"/>
  <c r="M80" i="1"/>
  <c r="M81" i="1" s="1"/>
  <c r="L68" i="1"/>
  <c r="M69" i="1"/>
  <c r="M88" i="1"/>
  <c r="L57" i="1"/>
  <c r="L65" i="1"/>
  <c r="M86" i="1"/>
  <c r="M87" i="1" s="1"/>
  <c r="M84" i="1"/>
  <c r="M85" i="1" s="1"/>
  <c r="M67" i="1"/>
  <c r="M60" i="1"/>
  <c r="M64" i="1"/>
  <c r="M68" i="1"/>
  <c r="M72" i="1"/>
  <c r="L90" i="1"/>
  <c r="M78" i="1"/>
  <c r="M79" i="1" s="1"/>
  <c r="L61" i="1"/>
  <c r="M57" i="1"/>
  <c r="L62" i="1"/>
  <c r="L70" i="1"/>
  <c r="M61" i="1"/>
  <c r="M58" i="1"/>
  <c r="M65" i="1"/>
  <c r="L71" i="1"/>
  <c r="M55" i="1"/>
  <c r="M62" i="1"/>
  <c r="M66" i="1"/>
  <c r="M70" i="1"/>
  <c r="M59" i="1"/>
  <c r="M56" i="1"/>
  <c r="M63" i="1"/>
  <c r="L87" i="1"/>
  <c r="L91" i="1" s="1"/>
  <c r="M24" i="1"/>
  <c r="M37" i="1"/>
  <c r="AJ45" i="1" l="1"/>
  <c r="AJ48" i="1"/>
  <c r="AJ46" i="1"/>
  <c r="AK22" i="1"/>
  <c r="AI45" i="1"/>
  <c r="AI46" i="1"/>
  <c r="AI48" i="1"/>
  <c r="AO20" i="4"/>
  <c r="AF18" i="4"/>
  <c r="AF19" i="4" s="1"/>
  <c r="AL74" i="1"/>
  <c r="AL73" i="1"/>
  <c r="M34" i="1"/>
  <c r="M25" i="1" s="1"/>
  <c r="M26" i="1" s="1"/>
  <c r="N80" i="1"/>
  <c r="N81" i="1" s="1"/>
  <c r="N61" i="1"/>
  <c r="N35" i="1"/>
  <c r="N36" i="1" s="1"/>
  <c r="N86" i="1"/>
  <c r="N87" i="1" s="1"/>
  <c r="N57" i="1"/>
  <c r="N56" i="1"/>
  <c r="N78" i="1"/>
  <c r="N79" i="1" s="1"/>
  <c r="N58" i="1"/>
  <c r="N24" i="1"/>
  <c r="M28" i="1"/>
  <c r="M29" i="1"/>
  <c r="M30" i="1" s="1"/>
  <c r="N48" i="1"/>
  <c r="O23" i="1"/>
  <c r="O31" i="1" s="1"/>
  <c r="N27" i="1"/>
  <c r="N37" i="1"/>
  <c r="N71" i="1"/>
  <c r="N70" i="1"/>
  <c r="N82" i="1"/>
  <c r="N83" i="1" s="1"/>
  <c r="N66" i="1"/>
  <c r="N65" i="1"/>
  <c r="N41" i="1"/>
  <c r="N39" i="1"/>
  <c r="N42" i="1"/>
  <c r="N45" i="1"/>
  <c r="N40" i="1"/>
  <c r="AI23" i="4"/>
  <c r="AI21" i="4"/>
  <c r="AI22" i="4"/>
  <c r="AI17" i="4"/>
  <c r="AI18" i="4" s="1"/>
  <c r="L74" i="1"/>
  <c r="M74" i="1"/>
  <c r="N68" i="1"/>
  <c r="N67" i="1"/>
  <c r="N63" i="1"/>
  <c r="N60" i="1"/>
  <c r="N62" i="1"/>
  <c r="N55" i="1"/>
  <c r="N64" i="1"/>
  <c r="N69" i="1"/>
  <c r="N88" i="1"/>
  <c r="N59" i="1"/>
  <c r="N84" i="1"/>
  <c r="N85" i="1" s="1"/>
  <c r="N72" i="1"/>
  <c r="M90" i="1"/>
  <c r="L73" i="1"/>
  <c r="M73" i="1"/>
  <c r="M91" i="1"/>
  <c r="AL22" i="1" l="1"/>
  <c r="AL45" i="1" s="1"/>
  <c r="AK48" i="1"/>
  <c r="AK45" i="1"/>
  <c r="AK46" i="1"/>
  <c r="O62" i="1"/>
  <c r="O60" i="1"/>
  <c r="O58" i="1"/>
  <c r="O72" i="1"/>
  <c r="O80" i="1"/>
  <c r="O81" i="1" s="1"/>
  <c r="O68" i="1"/>
  <c r="O67" i="1"/>
  <c r="O59" i="1"/>
  <c r="O70" i="1"/>
  <c r="O65" i="1"/>
  <c r="O88" i="1"/>
  <c r="O55" i="1"/>
  <c r="O66" i="1"/>
  <c r="O64" i="1"/>
  <c r="O57" i="1"/>
  <c r="O78" i="1"/>
  <c r="O79" i="1" s="1"/>
  <c r="O61" i="1"/>
  <c r="P23" i="1"/>
  <c r="P67" i="1" s="1"/>
  <c r="O71" i="1"/>
  <c r="O69" i="1"/>
  <c r="O37" i="1"/>
  <c r="O82" i="1"/>
  <c r="O83" i="1" s="1"/>
  <c r="N91" i="1"/>
  <c r="O56" i="1"/>
  <c r="O84" i="1"/>
  <c r="O85" i="1" s="1"/>
  <c r="O86" i="1"/>
  <c r="O87" i="1" s="1"/>
  <c r="O24" i="1"/>
  <c r="O63" i="1"/>
  <c r="O48" i="1"/>
  <c r="N28" i="1"/>
  <c r="N29" i="1"/>
  <c r="N30" i="1" s="1"/>
  <c r="O40" i="1"/>
  <c r="O41" i="1"/>
  <c r="O42" i="1"/>
  <c r="O45" i="1"/>
  <c r="O39" i="1"/>
  <c r="N90" i="1"/>
  <c r="O27" i="1"/>
  <c r="AL22" i="4"/>
  <c r="AL21" i="4"/>
  <c r="AL23" i="4"/>
  <c r="AL17" i="4"/>
  <c r="AL18" i="4" s="1"/>
  <c r="AI19" i="4"/>
  <c r="N73" i="1"/>
  <c r="N74" i="1"/>
  <c r="P71" i="1" l="1"/>
  <c r="P68" i="1"/>
  <c r="P80" i="1"/>
  <c r="P81" i="1" s="1"/>
  <c r="P65" i="1"/>
  <c r="P66" i="1"/>
  <c r="P57" i="1"/>
  <c r="P63" i="1"/>
  <c r="P78" i="1"/>
  <c r="P79" i="1" s="1"/>
  <c r="O74" i="1"/>
  <c r="P64" i="1"/>
  <c r="P56" i="1"/>
  <c r="P86" i="1"/>
  <c r="P87" i="1" s="1"/>
  <c r="P70" i="1"/>
  <c r="P62" i="1"/>
  <c r="P69" i="1"/>
  <c r="P84" i="1"/>
  <c r="P85" i="1" s="1"/>
  <c r="O91" i="1"/>
  <c r="P31" i="1"/>
  <c r="P24" i="1"/>
  <c r="P58" i="1"/>
  <c r="P59" i="1"/>
  <c r="P82" i="1"/>
  <c r="P83" i="1" s="1"/>
  <c r="P27" i="1"/>
  <c r="P29" i="1" s="1"/>
  <c r="P37" i="1"/>
  <c r="P61" i="1"/>
  <c r="Q23" i="1"/>
  <c r="Q68" i="1" s="1"/>
  <c r="P72" i="1"/>
  <c r="O73" i="1"/>
  <c r="P60" i="1"/>
  <c r="P88" i="1"/>
  <c r="O90" i="1"/>
  <c r="P55" i="1"/>
  <c r="P48" i="1"/>
  <c r="O28" i="1"/>
  <c r="O29" i="1"/>
  <c r="P40" i="1"/>
  <c r="P45" i="1"/>
  <c r="P41" i="1"/>
  <c r="P42" i="1"/>
  <c r="P39" i="1"/>
  <c r="AO21" i="4"/>
  <c r="AO22" i="4"/>
  <c r="AO23" i="4"/>
  <c r="AO17" i="4"/>
  <c r="AO18" i="4" s="1"/>
  <c r="AO19" i="4" s="1"/>
  <c r="AL19" i="4"/>
  <c r="Q65" i="1"/>
  <c r="Q55" i="1"/>
  <c r="Q58" i="1" l="1"/>
  <c r="P73" i="1"/>
  <c r="P91" i="1"/>
  <c r="Q71" i="1"/>
  <c r="Q37" i="1"/>
  <c r="R23" i="1"/>
  <c r="R69" i="1" s="1"/>
  <c r="Q60" i="1"/>
  <c r="Q86" i="1"/>
  <c r="Q87" i="1" s="1"/>
  <c r="Q66" i="1"/>
  <c r="Q67" i="1"/>
  <c r="P90" i="1"/>
  <c r="Q63" i="1"/>
  <c r="P74" i="1"/>
  <c r="Q24" i="1"/>
  <c r="Q61" i="1"/>
  <c r="Q84" i="1"/>
  <c r="Q85" i="1" s="1"/>
  <c r="Q31" i="1"/>
  <c r="Q80" i="1"/>
  <c r="Q81" i="1" s="1"/>
  <c r="Q62" i="1"/>
  <c r="Q27" i="1"/>
  <c r="Q28" i="1" s="1"/>
  <c r="Q70" i="1"/>
  <c r="Q69" i="1"/>
  <c r="Q64" i="1"/>
  <c r="Q82" i="1"/>
  <c r="Q83" i="1" s="1"/>
  <c r="Q57" i="1"/>
  <c r="Q78" i="1"/>
  <c r="Q79" i="1" s="1"/>
  <c r="Q88" i="1"/>
  <c r="Q59" i="1"/>
  <c r="P28" i="1"/>
  <c r="Q56" i="1"/>
  <c r="Q72" i="1"/>
  <c r="R27" i="1"/>
  <c r="R31" i="1"/>
  <c r="Q48" i="1"/>
  <c r="Q40" i="1"/>
  <c r="Q41" i="1"/>
  <c r="Q39" i="1"/>
  <c r="Q42" i="1"/>
  <c r="Q45" i="1"/>
  <c r="R37" i="1" l="1"/>
  <c r="R66" i="1"/>
  <c r="R78" i="1"/>
  <c r="R79" i="1" s="1"/>
  <c r="R88" i="1"/>
  <c r="R63" i="1"/>
  <c r="R64" i="1"/>
  <c r="R56" i="1"/>
  <c r="R70" i="1"/>
  <c r="R57" i="1"/>
  <c r="R55" i="1"/>
  <c r="R60" i="1"/>
  <c r="R67" i="1"/>
  <c r="R68" i="1"/>
  <c r="R24" i="1"/>
  <c r="R80" i="1"/>
  <c r="R81" i="1" s="1"/>
  <c r="R65" i="1"/>
  <c r="R58" i="1"/>
  <c r="R84" i="1"/>
  <c r="R85" i="1" s="1"/>
  <c r="R82" i="1"/>
  <c r="R83" i="1" s="1"/>
  <c r="R62" i="1"/>
  <c r="R61" i="1"/>
  <c r="S23" i="1"/>
  <c r="S65" i="1" s="1"/>
  <c r="R72" i="1"/>
  <c r="R71" i="1"/>
  <c r="R86" i="1"/>
  <c r="R87" i="1" s="1"/>
  <c r="R59" i="1"/>
  <c r="Q91" i="1"/>
  <c r="Q74" i="1"/>
  <c r="Q90" i="1"/>
  <c r="Q73" i="1"/>
  <c r="Q29" i="1"/>
  <c r="R48" i="1"/>
  <c r="R28" i="1"/>
  <c r="R29" i="1"/>
  <c r="R40" i="1"/>
  <c r="R41" i="1"/>
  <c r="R42" i="1"/>
  <c r="R39" i="1"/>
  <c r="R45" i="1"/>
  <c r="S68" i="1" l="1"/>
  <c r="S80" i="1"/>
  <c r="S81" i="1" s="1"/>
  <c r="S55" i="1"/>
  <c r="S78" i="1"/>
  <c r="S79" i="1" s="1"/>
  <c r="S37" i="1"/>
  <c r="S66" i="1"/>
  <c r="S71" i="1"/>
  <c r="S88" i="1"/>
  <c r="S60" i="1"/>
  <c r="T23" i="1"/>
  <c r="T31" i="1" s="1"/>
  <c r="S67" i="1"/>
  <c r="S72" i="1"/>
  <c r="S56" i="1"/>
  <c r="R73" i="1"/>
  <c r="S62" i="1"/>
  <c r="R74" i="1"/>
  <c r="R90" i="1"/>
  <c r="S58" i="1"/>
  <c r="S69" i="1"/>
  <c r="S64" i="1"/>
  <c r="S63" i="1"/>
  <c r="S82" i="1"/>
  <c r="S83" i="1" s="1"/>
  <c r="R91" i="1"/>
  <c r="S27" i="1"/>
  <c r="S28" i="1" s="1"/>
  <c r="S84" i="1"/>
  <c r="S85" i="1" s="1"/>
  <c r="S31" i="1"/>
  <c r="S24" i="1"/>
  <c r="S57" i="1"/>
  <c r="S59" i="1"/>
  <c r="S70" i="1"/>
  <c r="S86" i="1"/>
  <c r="S87" i="1" s="1"/>
  <c r="S61" i="1"/>
  <c r="S48" i="1"/>
  <c r="S46" i="1"/>
  <c r="S45" i="1"/>
  <c r="S40" i="1"/>
  <c r="S42" i="1"/>
  <c r="S41" i="1"/>
  <c r="S39" i="1"/>
  <c r="T68" i="1" l="1"/>
  <c r="T71" i="1"/>
  <c r="T72" i="1"/>
  <c r="T24" i="1"/>
  <c r="T86" i="1"/>
  <c r="T87" i="1" s="1"/>
  <c r="T84" i="1"/>
  <c r="T85" i="1" s="1"/>
  <c r="T82" i="1"/>
  <c r="T83" i="1" s="1"/>
  <c r="T63" i="1"/>
  <c r="T80" i="1"/>
  <c r="T81" i="1" s="1"/>
  <c r="T66" i="1"/>
  <c r="T58" i="1"/>
  <c r="T56" i="1"/>
  <c r="T55" i="1"/>
  <c r="T64" i="1"/>
  <c r="T70" i="1"/>
  <c r="T37" i="1"/>
  <c r="T57" i="1"/>
  <c r="T65" i="1"/>
  <c r="T69" i="1"/>
  <c r="T78" i="1"/>
  <c r="T79" i="1" s="1"/>
  <c r="T62" i="1"/>
  <c r="T67" i="1"/>
  <c r="T61" i="1"/>
  <c r="T60" i="1"/>
  <c r="U23" i="1"/>
  <c r="U37" i="1" s="1"/>
  <c r="T59" i="1"/>
  <c r="T88" i="1"/>
  <c r="T27" i="1"/>
  <c r="T28" i="1" s="1"/>
  <c r="S74" i="1"/>
  <c r="S29" i="1"/>
  <c r="S73" i="1"/>
  <c r="S90" i="1"/>
  <c r="S91" i="1"/>
  <c r="T45" i="1"/>
  <c r="T46" i="1"/>
  <c r="T40" i="1"/>
  <c r="T42" i="1"/>
  <c r="T39" i="1"/>
  <c r="T41" i="1"/>
  <c r="U27" i="1" l="1"/>
  <c r="U24" i="1"/>
  <c r="U61" i="1"/>
  <c r="U84" i="1"/>
  <c r="U85" i="1" s="1"/>
  <c r="U88" i="1"/>
  <c r="T91" i="1"/>
  <c r="T90" i="1"/>
  <c r="T74" i="1"/>
  <c r="T73" i="1"/>
  <c r="U58" i="1"/>
  <c r="U60" i="1"/>
  <c r="U68" i="1"/>
  <c r="U55" i="1"/>
  <c r="V23" i="1"/>
  <c r="V31" i="1" s="1"/>
  <c r="U69" i="1"/>
  <c r="U82" i="1"/>
  <c r="U83" i="1" s="1"/>
  <c r="U78" i="1"/>
  <c r="U79" i="1" s="1"/>
  <c r="U71" i="1"/>
  <c r="U80" i="1"/>
  <c r="U81" i="1" s="1"/>
  <c r="U66" i="1"/>
  <c r="U62" i="1"/>
  <c r="U67" i="1"/>
  <c r="U57" i="1"/>
  <c r="U31" i="1"/>
  <c r="U65" i="1"/>
  <c r="U63" i="1"/>
  <c r="U56" i="1"/>
  <c r="U72" i="1"/>
  <c r="U64" i="1"/>
  <c r="U86" i="1"/>
  <c r="U87" i="1" s="1"/>
  <c r="U70" i="1"/>
  <c r="U59" i="1"/>
  <c r="T29" i="1"/>
  <c r="U28" i="1"/>
  <c r="U29" i="1"/>
  <c r="U48" i="1"/>
  <c r="U46" i="1"/>
  <c r="U45" i="1"/>
  <c r="U41" i="1"/>
  <c r="U42" i="1"/>
  <c r="U39" i="1"/>
  <c r="U40" i="1"/>
  <c r="V60" i="1" l="1"/>
  <c r="V65" i="1"/>
  <c r="V63" i="1"/>
  <c r="V80" i="1"/>
  <c r="V81" i="1" s="1"/>
  <c r="V67" i="1"/>
  <c r="U73" i="1"/>
  <c r="V71" i="1"/>
  <c r="V78" i="1"/>
  <c r="V79" i="1" s="1"/>
  <c r="V57" i="1"/>
  <c r="V64" i="1"/>
  <c r="V37" i="1"/>
  <c r="V82" i="1"/>
  <c r="V83" i="1" s="1"/>
  <c r="V69" i="1"/>
  <c r="V66" i="1"/>
  <c r="V72" i="1"/>
  <c r="V58" i="1"/>
  <c r="V62" i="1"/>
  <c r="V84" i="1"/>
  <c r="V85" i="1" s="1"/>
  <c r="V70" i="1"/>
  <c r="W23" i="1"/>
  <c r="W24" i="1" s="1"/>
  <c r="V55" i="1"/>
  <c r="V27" i="1"/>
  <c r="V29" i="1" s="1"/>
  <c r="U74" i="1"/>
  <c r="V68" i="1"/>
  <c r="V61" i="1"/>
  <c r="V86" i="1"/>
  <c r="V87" i="1" s="1"/>
  <c r="V56" i="1"/>
  <c r="V59" i="1"/>
  <c r="V88" i="1"/>
  <c r="V24" i="1"/>
  <c r="U90" i="1"/>
  <c r="U91" i="1"/>
  <c r="V48" i="1"/>
  <c r="V46" i="1"/>
  <c r="V45" i="1"/>
  <c r="V42" i="1"/>
  <c r="V39" i="1"/>
  <c r="V41" i="1"/>
  <c r="V40" i="1"/>
  <c r="V28" i="1" l="1"/>
  <c r="W69" i="1"/>
  <c r="W82" i="1"/>
  <c r="W83" i="1" s="1"/>
  <c r="W67" i="1"/>
  <c r="W60" i="1"/>
  <c r="W86" i="1"/>
  <c r="W87" i="1" s="1"/>
  <c r="W88" i="1"/>
  <c r="W72" i="1"/>
  <c r="W62" i="1"/>
  <c r="W63" i="1"/>
  <c r="W61" i="1"/>
  <c r="W58" i="1"/>
  <c r="W71" i="1"/>
  <c r="W55" i="1"/>
  <c r="V90" i="1"/>
  <c r="V73" i="1"/>
  <c r="W65" i="1"/>
  <c r="W70" i="1"/>
  <c r="W37" i="1"/>
  <c r="W68" i="1"/>
  <c r="W31" i="1"/>
  <c r="W59" i="1"/>
  <c r="W57" i="1"/>
  <c r="X23" i="1"/>
  <c r="X31" i="1" s="1"/>
  <c r="W56" i="1"/>
  <c r="W27" i="1"/>
  <c r="W29" i="1" s="1"/>
  <c r="W66" i="1"/>
  <c r="W84" i="1"/>
  <c r="W85" i="1" s="1"/>
  <c r="W64" i="1"/>
  <c r="V74" i="1"/>
  <c r="V91" i="1"/>
  <c r="W80" i="1"/>
  <c r="W81" i="1" s="1"/>
  <c r="W78" i="1"/>
  <c r="W79" i="1" s="1"/>
  <c r="W46" i="1"/>
  <c r="W48" i="1"/>
  <c r="W39" i="1"/>
  <c r="W41" i="1"/>
  <c r="W45" i="1"/>
  <c r="W40" i="1"/>
  <c r="W42" i="1"/>
  <c r="X80" i="1" l="1"/>
  <c r="X81" i="1" s="1"/>
  <c r="X69" i="1"/>
  <c r="X62" i="1"/>
  <c r="X59" i="1"/>
  <c r="X65" i="1"/>
  <c r="X88" i="1"/>
  <c r="X24" i="1"/>
  <c r="X82" i="1"/>
  <c r="X83" i="1" s="1"/>
  <c r="X58" i="1"/>
  <c r="X27" i="1"/>
  <c r="X28" i="1" s="1"/>
  <c r="W74" i="1"/>
  <c r="X66" i="1"/>
  <c r="X63" i="1"/>
  <c r="W73" i="1"/>
  <c r="X55" i="1"/>
  <c r="X56" i="1"/>
  <c r="X64" i="1"/>
  <c r="X60" i="1"/>
  <c r="X57" i="1"/>
  <c r="X67" i="1"/>
  <c r="X84" i="1"/>
  <c r="X85" i="1" s="1"/>
  <c r="X70" i="1"/>
  <c r="X61" i="1"/>
  <c r="W28" i="1"/>
  <c r="X71" i="1"/>
  <c r="Y23" i="1"/>
  <c r="Y31" i="1" s="1"/>
  <c r="X86" i="1"/>
  <c r="X87" i="1" s="1"/>
  <c r="W90" i="1"/>
  <c r="X78" i="1"/>
  <c r="X79" i="1" s="1"/>
  <c r="X68" i="1"/>
  <c r="X72" i="1"/>
  <c r="X37" i="1"/>
  <c r="W91" i="1"/>
  <c r="X46" i="1"/>
  <c r="X48" i="1"/>
  <c r="X39" i="1"/>
  <c r="X41" i="1"/>
  <c r="X42" i="1"/>
  <c r="X45" i="1"/>
  <c r="X40" i="1"/>
  <c r="X73" i="1" l="1"/>
  <c r="X29" i="1"/>
  <c r="Y61" i="1"/>
  <c r="X91" i="1"/>
  <c r="Y59" i="1"/>
  <c r="Y65" i="1"/>
  <c r="Y60" i="1"/>
  <c r="Z23" i="1"/>
  <c r="Z72" i="1" s="1"/>
  <c r="Y27" i="1"/>
  <c r="Y29" i="1" s="1"/>
  <c r="Y82" i="1"/>
  <c r="Y83" i="1" s="1"/>
  <c r="Y67" i="1"/>
  <c r="Y37" i="1"/>
  <c r="Y68" i="1"/>
  <c r="Y62" i="1"/>
  <c r="Y71" i="1"/>
  <c r="Y57" i="1"/>
  <c r="Y69" i="1"/>
  <c r="X74" i="1"/>
  <c r="Y58" i="1"/>
  <c r="Y80" i="1"/>
  <c r="Y81" i="1" s="1"/>
  <c r="Y24" i="1"/>
  <c r="Y72" i="1"/>
  <c r="Y55" i="1"/>
  <c r="Y66" i="1"/>
  <c r="Y88" i="1"/>
  <c r="Y56" i="1"/>
  <c r="Y64" i="1"/>
  <c r="X90" i="1"/>
  <c r="Y78" i="1"/>
  <c r="Y63" i="1"/>
  <c r="Y70" i="1"/>
  <c r="Y86" i="1"/>
  <c r="Y87" i="1" s="1"/>
  <c r="Y84" i="1"/>
  <c r="Y85" i="1" s="1"/>
  <c r="Y46" i="1"/>
  <c r="Y48" i="1"/>
  <c r="Z27" i="1"/>
  <c r="Z31" i="1"/>
  <c r="Y42" i="1"/>
  <c r="Y41" i="1"/>
  <c r="Y39" i="1"/>
  <c r="Y45" i="1"/>
  <c r="Y40" i="1"/>
  <c r="AA23" i="1"/>
  <c r="Z58" i="1"/>
  <c r="Z61" i="1"/>
  <c r="Z63" i="1"/>
  <c r="Z62" i="1"/>
  <c r="Z59" i="1"/>
  <c r="Z80" i="1"/>
  <c r="Z81" i="1" s="1"/>
  <c r="Z68" i="1"/>
  <c r="Z88" i="1"/>
  <c r="Z56" i="1"/>
  <c r="Z66" i="1"/>
  <c r="Z57" i="1"/>
  <c r="Z55" i="1"/>
  <c r="Z71" i="1"/>
  <c r="Z70" i="1"/>
  <c r="Z67" i="1"/>
  <c r="AJ33" i="1" l="1"/>
  <c r="AJ35" i="1"/>
  <c r="AJ30" i="1"/>
  <c r="Z82" i="1"/>
  <c r="Z83" i="1" s="1"/>
  <c r="Z64" i="1"/>
  <c r="Z74" i="1" s="1"/>
  <c r="Y28" i="1"/>
  <c r="Y74" i="1"/>
  <c r="N33" i="1"/>
  <c r="N34" i="1" s="1"/>
  <c r="O35" i="1"/>
  <c r="O36" i="1" s="1"/>
  <c r="O30" i="1"/>
  <c r="O33" i="1"/>
  <c r="O34" i="1" s="1"/>
  <c r="P30" i="1"/>
  <c r="P35" i="1"/>
  <c r="P36" i="1" s="1"/>
  <c r="Q30" i="1"/>
  <c r="Q35" i="1"/>
  <c r="Q36" i="1" s="1"/>
  <c r="R35" i="1"/>
  <c r="R36" i="1" s="1"/>
  <c r="R30" i="1"/>
  <c r="S30" i="1"/>
  <c r="S35" i="1"/>
  <c r="S36" i="1" s="1"/>
  <c r="T38" i="1"/>
  <c r="U38" i="1"/>
  <c r="V38" i="1"/>
  <c r="W38" i="1"/>
  <c r="X38" i="1"/>
  <c r="Y38" i="1"/>
  <c r="Z38" i="1"/>
  <c r="O32" i="1"/>
  <c r="P32" i="1"/>
  <c r="Q32" i="1"/>
  <c r="R32" i="1"/>
  <c r="S32" i="1"/>
  <c r="Y90" i="1"/>
  <c r="Y73" i="1"/>
  <c r="Z24" i="1"/>
  <c r="Z69" i="1"/>
  <c r="Y79" i="1"/>
  <c r="Y91" i="1" s="1"/>
  <c r="Z60" i="1"/>
  <c r="Z65" i="1"/>
  <c r="Z37" i="1"/>
  <c r="Z78" i="1"/>
  <c r="Z79" i="1" s="1"/>
  <c r="Z84" i="1"/>
  <c r="Z85" i="1" s="1"/>
  <c r="Z86" i="1"/>
  <c r="Z87" i="1" s="1"/>
  <c r="U30" i="1"/>
  <c r="V30" i="1"/>
  <c r="T30" i="1"/>
  <c r="W30" i="1"/>
  <c r="X30" i="1"/>
  <c r="Y30" i="1"/>
  <c r="P33" i="1"/>
  <c r="V32" i="1"/>
  <c r="Q33" i="1"/>
  <c r="Q34" i="1" s="1"/>
  <c r="V35" i="1"/>
  <c r="V36" i="1" s="1"/>
  <c r="T32" i="1"/>
  <c r="U33" i="1"/>
  <c r="U35" i="1"/>
  <c r="U36" i="1" s="1"/>
  <c r="S33" i="1"/>
  <c r="S34" i="1" s="1"/>
  <c r="U32" i="1"/>
  <c r="T35" i="1"/>
  <c r="T36" i="1" s="1"/>
  <c r="T33" i="1"/>
  <c r="T34" i="1" s="1"/>
  <c r="R33" i="1"/>
  <c r="R34" i="1" s="1"/>
  <c r="V33" i="1"/>
  <c r="AA27" i="1"/>
  <c r="AA31" i="1"/>
  <c r="Z46" i="1"/>
  <c r="Z48" i="1"/>
  <c r="Z28" i="1"/>
  <c r="Z29" i="1"/>
  <c r="Z30" i="1" s="1"/>
  <c r="Z42" i="1"/>
  <c r="Z39" i="1"/>
  <c r="Z41" i="1"/>
  <c r="Z45" i="1"/>
  <c r="Z40" i="1"/>
  <c r="AA37" i="1"/>
  <c r="AB23" i="1"/>
  <c r="AA82" i="1"/>
  <c r="AA83" i="1" s="1"/>
  <c r="AA60" i="1"/>
  <c r="AA56" i="1"/>
  <c r="AA65" i="1"/>
  <c r="AA86" i="1"/>
  <c r="AA87" i="1" s="1"/>
  <c r="AA58" i="1"/>
  <c r="AA84" i="1"/>
  <c r="AA85" i="1" s="1"/>
  <c r="AA64" i="1"/>
  <c r="AA57" i="1"/>
  <c r="AA62" i="1"/>
  <c r="AA78" i="1"/>
  <c r="AA61" i="1"/>
  <c r="AA66" i="1"/>
  <c r="AA68" i="1"/>
  <c r="AA24" i="1"/>
  <c r="AA80" i="1"/>
  <c r="AA81" i="1" s="1"/>
  <c r="AA71" i="1"/>
  <c r="AA59" i="1"/>
  <c r="AA72" i="1"/>
  <c r="AA55" i="1"/>
  <c r="AA70" i="1"/>
  <c r="AA69" i="1"/>
  <c r="AA63" i="1"/>
  <c r="AA88" i="1"/>
  <c r="AA67" i="1"/>
  <c r="Z73" i="1" l="1"/>
  <c r="U34" i="1"/>
  <c r="U25" i="1" s="1"/>
  <c r="U26" i="1" s="1"/>
  <c r="N25" i="1"/>
  <c r="N26" i="1" s="1"/>
  <c r="V34" i="1"/>
  <c r="V25" i="1" s="1"/>
  <c r="V26" i="1" s="1"/>
  <c r="Z90" i="1"/>
  <c r="O25" i="1"/>
  <c r="O26" i="1" s="1"/>
  <c r="Z91" i="1"/>
  <c r="P34" i="1"/>
  <c r="P25" i="1" s="1"/>
  <c r="P26" i="1" s="1"/>
  <c r="Q25" i="1"/>
  <c r="Q26" i="1" s="1"/>
  <c r="R25" i="1"/>
  <c r="R26" i="1" s="1"/>
  <c r="T25" i="1"/>
  <c r="T26" i="1" s="1"/>
  <c r="S25" i="1"/>
  <c r="S26" i="1" s="1"/>
  <c r="AA48" i="1"/>
  <c r="AA46" i="1"/>
  <c r="AB27" i="1"/>
  <c r="AB31" i="1"/>
  <c r="AA28" i="1"/>
  <c r="AA29" i="1"/>
  <c r="AA39" i="1"/>
  <c r="AA41" i="1"/>
  <c r="AA45" i="1"/>
  <c r="AA40" i="1"/>
  <c r="AA42" i="1"/>
  <c r="AB37" i="1"/>
  <c r="AC23" i="1"/>
  <c r="AA73" i="1"/>
  <c r="AA74" i="1"/>
  <c r="AA79" i="1"/>
  <c r="AA91" i="1" s="1"/>
  <c r="AA90" i="1"/>
  <c r="AB61" i="1"/>
  <c r="AB67" i="1"/>
  <c r="AB64" i="1"/>
  <c r="AB56" i="1"/>
  <c r="AB58" i="1"/>
  <c r="AB55" i="1"/>
  <c r="AB88" i="1"/>
  <c r="AB65" i="1"/>
  <c r="AB86" i="1"/>
  <c r="AB87" i="1" s="1"/>
  <c r="AB59" i="1"/>
  <c r="AB68" i="1"/>
  <c r="AB62" i="1"/>
  <c r="AB70" i="1"/>
  <c r="AB84" i="1"/>
  <c r="AB85" i="1" s="1"/>
  <c r="AB80" i="1"/>
  <c r="AB81" i="1" s="1"/>
  <c r="AB78" i="1"/>
  <c r="AB57" i="1"/>
  <c r="AB71" i="1"/>
  <c r="AB72" i="1"/>
  <c r="AB69" i="1"/>
  <c r="AB82" i="1"/>
  <c r="AB83" i="1" s="1"/>
  <c r="AB63" i="1"/>
  <c r="AB66" i="1"/>
  <c r="AB60" i="1"/>
  <c r="AB24" i="1"/>
  <c r="AC27" i="1" l="1"/>
  <c r="AC29" i="1" s="1"/>
  <c r="AC31" i="1"/>
  <c r="AB48" i="1"/>
  <c r="AB46" i="1"/>
  <c r="AB28" i="1"/>
  <c r="AB29" i="1"/>
  <c r="AB45" i="1"/>
  <c r="AB40" i="1"/>
  <c r="AB39" i="1"/>
  <c r="AB41" i="1"/>
  <c r="AB42" i="1"/>
  <c r="AC37" i="1"/>
  <c r="AD23" i="1"/>
  <c r="AC78" i="1"/>
  <c r="AC84" i="1"/>
  <c r="AC85" i="1" s="1"/>
  <c r="AC80" i="1"/>
  <c r="AC81" i="1" s="1"/>
  <c r="AC24" i="1"/>
  <c r="AC86" i="1"/>
  <c r="AC87" i="1" s="1"/>
  <c r="AC82" i="1"/>
  <c r="AC83" i="1" s="1"/>
  <c r="AC88" i="1"/>
  <c r="AC57" i="1"/>
  <c r="AC58" i="1"/>
  <c r="AC64" i="1"/>
  <c r="AC59" i="1"/>
  <c r="AC72" i="1"/>
  <c r="AC63" i="1"/>
  <c r="AC71" i="1"/>
  <c r="AC69" i="1"/>
  <c r="AC55" i="1"/>
  <c r="AC60" i="1"/>
  <c r="AC70" i="1"/>
  <c r="AC65" i="1"/>
  <c r="AC56" i="1"/>
  <c r="AC66" i="1"/>
  <c r="AC67" i="1"/>
  <c r="AC61" i="1"/>
  <c r="AC68" i="1"/>
  <c r="AC62" i="1"/>
  <c r="AB73" i="1"/>
  <c r="AB79" i="1"/>
  <c r="AB91" i="1" s="1"/>
  <c r="AB90" i="1"/>
  <c r="AB74" i="1"/>
  <c r="AA30" i="1" l="1"/>
  <c r="AB30" i="1"/>
  <c r="AC30" i="1"/>
  <c r="X32" i="1"/>
  <c r="Y32" i="1"/>
  <c r="Z32" i="1"/>
  <c r="W32" i="1"/>
  <c r="W35" i="1"/>
  <c r="W36" i="1" s="1"/>
  <c r="W33" i="1"/>
  <c r="X33" i="1"/>
  <c r="X35" i="1"/>
  <c r="X36" i="1" s="1"/>
  <c r="Y35" i="1"/>
  <c r="Y36" i="1" s="1"/>
  <c r="Y33" i="1"/>
  <c r="Z35" i="1"/>
  <c r="Z36" i="1" s="1"/>
  <c r="AA35" i="1"/>
  <c r="AA36" i="1" s="1"/>
  <c r="AA38" i="1"/>
  <c r="AB38" i="1"/>
  <c r="AD27" i="1"/>
  <c r="AD29" i="1" s="1"/>
  <c r="AD31" i="1"/>
  <c r="AC46" i="1"/>
  <c r="AC48" i="1"/>
  <c r="AC28" i="1"/>
  <c r="AC40" i="1"/>
  <c r="AC41" i="1"/>
  <c r="AC39" i="1"/>
  <c r="AC42" i="1"/>
  <c r="AC45" i="1"/>
  <c r="AD37" i="1"/>
  <c r="AC79" i="1"/>
  <c r="AC91" i="1" s="1"/>
  <c r="AC90" i="1"/>
  <c r="AC73" i="1"/>
  <c r="AC74" i="1"/>
  <c r="AD78" i="1"/>
  <c r="AD84" i="1"/>
  <c r="AD85" i="1" s="1"/>
  <c r="AD86" i="1"/>
  <c r="AD87" i="1" s="1"/>
  <c r="AD82" i="1"/>
  <c r="AD83" i="1" s="1"/>
  <c r="AD88" i="1"/>
  <c r="AD80" i="1"/>
  <c r="AD81" i="1" s="1"/>
  <c r="AD58" i="1"/>
  <c r="AE23" i="1"/>
  <c r="AE27" i="1" s="1"/>
  <c r="AE29" i="1" s="1"/>
  <c r="AD24" i="1"/>
  <c r="AD57" i="1"/>
  <c r="AD63" i="1"/>
  <c r="AD59" i="1"/>
  <c r="AD72" i="1"/>
  <c r="AD56" i="1"/>
  <c r="AD64" i="1"/>
  <c r="AD60" i="1"/>
  <c r="AD66" i="1"/>
  <c r="AD71" i="1"/>
  <c r="AD62" i="1"/>
  <c r="AD55" i="1"/>
  <c r="AD65" i="1"/>
  <c r="AD67" i="1"/>
  <c r="AD61" i="1"/>
  <c r="AD70" i="1"/>
  <c r="AD69" i="1"/>
  <c r="AD68" i="1"/>
  <c r="X34" i="1" l="1"/>
  <c r="X25" i="1" s="1"/>
  <c r="X26" i="1" s="1"/>
  <c r="W34" i="1"/>
  <c r="W25" i="1" s="1"/>
  <c r="W26" i="1" s="1"/>
  <c r="Y34" i="1"/>
  <c r="Y25" i="1" s="1"/>
  <c r="Y26" i="1" s="1"/>
  <c r="AE28" i="1"/>
  <c r="AE67" i="1"/>
  <c r="AF23" i="1"/>
  <c r="AA32" i="1"/>
  <c r="AD46" i="1"/>
  <c r="AD48" i="1"/>
  <c r="AE37" i="1"/>
  <c r="AE31" i="1"/>
  <c r="AD28" i="1"/>
  <c r="AD41" i="1"/>
  <c r="AD40" i="1"/>
  <c r="AD39" i="1"/>
  <c r="AD42" i="1"/>
  <c r="AD45" i="1"/>
  <c r="AD74" i="1"/>
  <c r="AD90" i="1"/>
  <c r="AD79" i="1"/>
  <c r="AD91" i="1" s="1"/>
  <c r="AD73" i="1"/>
  <c r="AE82" i="1"/>
  <c r="AE83" i="1" s="1"/>
  <c r="AE78" i="1"/>
  <c r="AE84" i="1"/>
  <c r="AE85" i="1" s="1"/>
  <c r="AE80" i="1"/>
  <c r="AE81" i="1" s="1"/>
  <c r="AE86" i="1"/>
  <c r="AE87" i="1" s="1"/>
  <c r="AE88" i="1"/>
  <c r="AE58" i="1"/>
  <c r="AE57" i="1"/>
  <c r="AE68" i="1"/>
  <c r="AE62" i="1"/>
  <c r="AE65" i="1"/>
  <c r="AE56" i="1"/>
  <c r="AE63" i="1"/>
  <c r="AE61" i="1"/>
  <c r="AE69" i="1"/>
  <c r="AE66" i="1"/>
  <c r="AE71" i="1"/>
  <c r="AE64" i="1"/>
  <c r="AE59" i="1"/>
  <c r="AE24" i="1"/>
  <c r="AE55" i="1"/>
  <c r="AE72" i="1"/>
  <c r="AE60" i="1"/>
  <c r="AE70" i="1"/>
  <c r="AI33" i="1" l="1"/>
  <c r="AD30" i="1"/>
  <c r="AE30" i="1"/>
  <c r="AF27" i="1"/>
  <c r="AF29" i="1" s="1"/>
  <c r="AF82" i="1"/>
  <c r="AF83" i="1" s="1"/>
  <c r="AF86" i="1"/>
  <c r="AF87" i="1" s="1"/>
  <c r="AF55" i="1"/>
  <c r="AF57" i="1"/>
  <c r="AF59" i="1"/>
  <c r="AF61" i="1"/>
  <c r="AF63" i="1"/>
  <c r="AF65" i="1"/>
  <c r="AF67" i="1"/>
  <c r="AF69" i="1"/>
  <c r="AF71" i="1"/>
  <c r="AF80" i="1"/>
  <c r="AF81" i="1" s="1"/>
  <c r="AF78" i="1"/>
  <c r="AF84" i="1"/>
  <c r="AF85" i="1" s="1"/>
  <c r="AF88" i="1"/>
  <c r="AF56" i="1"/>
  <c r="AF58" i="1"/>
  <c r="AF60" i="1"/>
  <c r="AF62" i="1"/>
  <c r="AF64" i="1"/>
  <c r="AF66" i="1"/>
  <c r="AF68" i="1"/>
  <c r="AF70" i="1"/>
  <c r="AF72" i="1"/>
  <c r="AF38" i="1"/>
  <c r="AG23" i="1"/>
  <c r="AF24" i="1"/>
  <c r="AF31" i="1"/>
  <c r="AF37" i="1"/>
  <c r="AE46" i="1"/>
  <c r="AF30" i="1" s="1"/>
  <c r="AE48" i="1"/>
  <c r="AK38" i="1" s="1"/>
  <c r="AE42" i="1"/>
  <c r="AE39" i="1"/>
  <c r="AE45" i="1"/>
  <c r="AE40" i="1"/>
  <c r="AE41" i="1"/>
  <c r="AE74" i="1"/>
  <c r="AE73" i="1"/>
  <c r="AE79" i="1"/>
  <c r="AE91" i="1" s="1"/>
  <c r="AE90" i="1"/>
  <c r="AJ36" i="1" l="1"/>
  <c r="AJ34" i="1" s="1"/>
  <c r="AJ38" i="1"/>
  <c r="AK35" i="1"/>
  <c r="AK36" i="1" s="1"/>
  <c r="AI35" i="1"/>
  <c r="AI36" i="1" s="1"/>
  <c r="AI34" i="1" s="1"/>
  <c r="AH33" i="1"/>
  <c r="AF73" i="1"/>
  <c r="AF74" i="1"/>
  <c r="AG88" i="1"/>
  <c r="AG56" i="1"/>
  <c r="AG58" i="1"/>
  <c r="AG60" i="1"/>
  <c r="AG62" i="1"/>
  <c r="AG64" i="1"/>
  <c r="AG66" i="1"/>
  <c r="AG68" i="1"/>
  <c r="AG70" i="1"/>
  <c r="AG72" i="1"/>
  <c r="AG27" i="1"/>
  <c r="AG82" i="1"/>
  <c r="AG83" i="1" s="1"/>
  <c r="AG86" i="1"/>
  <c r="AG87" i="1" s="1"/>
  <c r="AG55" i="1"/>
  <c r="AG57" i="1"/>
  <c r="AG59" i="1"/>
  <c r="AG61" i="1"/>
  <c r="AG63" i="1"/>
  <c r="AG65" i="1"/>
  <c r="AG67" i="1"/>
  <c r="AG69" i="1"/>
  <c r="AG71" i="1"/>
  <c r="AG80" i="1"/>
  <c r="AG81" i="1" s="1"/>
  <c r="AG78" i="1"/>
  <c r="AG84" i="1"/>
  <c r="AG85" i="1" s="1"/>
  <c r="AF79" i="1"/>
  <c r="AF91" i="1" s="1"/>
  <c r="AF90" i="1"/>
  <c r="AF28" i="1"/>
  <c r="AF32" i="1"/>
  <c r="AF35" i="1"/>
  <c r="AF36" i="1" s="1"/>
  <c r="AG38" i="1"/>
  <c r="AI38" i="1"/>
  <c r="AH38" i="1"/>
  <c r="AG24" i="1"/>
  <c r="AG37" i="1"/>
  <c r="AG31" i="1"/>
  <c r="AG32" i="1" s="1"/>
  <c r="AH23" i="1"/>
  <c r="AH27" i="1" s="1"/>
  <c r="AH28" i="1" s="1"/>
  <c r="AH35" i="1"/>
  <c r="AH36" i="1" s="1"/>
  <c r="AF33" i="1"/>
  <c r="AG35" i="1"/>
  <c r="AG36" i="1" s="1"/>
  <c r="AG33" i="1"/>
  <c r="Z33" i="1"/>
  <c r="Z34" i="1" s="1"/>
  <c r="AC38" i="1"/>
  <c r="AD38" i="1"/>
  <c r="AE38" i="1"/>
  <c r="AE33" i="1"/>
  <c r="AL46" i="1"/>
  <c r="AL30" i="1" s="1"/>
  <c r="AL48" i="1"/>
  <c r="AL33" i="1" s="1"/>
  <c r="AL42" i="1"/>
  <c r="AL39" i="1"/>
  <c r="AM22" i="1"/>
  <c r="AL41" i="1"/>
  <c r="AL40" i="1"/>
  <c r="AH34" i="1" l="1"/>
  <c r="AG74" i="1"/>
  <c r="AG73" i="1"/>
  <c r="AG79" i="1"/>
  <c r="AG91" i="1" s="1"/>
  <c r="AG90" i="1"/>
  <c r="AH78" i="1"/>
  <c r="AH84" i="1"/>
  <c r="AH85" i="1" s="1"/>
  <c r="AH69" i="1"/>
  <c r="AH88" i="1"/>
  <c r="AH56" i="1"/>
  <c r="AH58" i="1"/>
  <c r="AH60" i="1"/>
  <c r="AH62" i="1"/>
  <c r="AH64" i="1"/>
  <c r="AH66" i="1"/>
  <c r="AH68" i="1"/>
  <c r="AH70" i="1"/>
  <c r="AH72" i="1"/>
  <c r="AH59" i="1"/>
  <c r="AH71" i="1"/>
  <c r="AH55" i="1"/>
  <c r="AH63" i="1"/>
  <c r="AH82" i="1"/>
  <c r="AH83" i="1" s="1"/>
  <c r="AH86" i="1"/>
  <c r="AH87" i="1" s="1"/>
  <c r="AH61" i="1"/>
  <c r="AH57" i="1"/>
  <c r="AH80" i="1"/>
  <c r="AH81" i="1" s="1"/>
  <c r="AH67" i="1"/>
  <c r="AH65" i="1"/>
  <c r="AG28" i="1"/>
  <c r="AG29" i="1"/>
  <c r="AG30" i="1" s="1"/>
  <c r="AF34" i="1"/>
  <c r="AF25" i="1" s="1"/>
  <c r="AF26" i="1" s="1"/>
  <c r="Z25" i="1"/>
  <c r="Z26" i="1" s="1"/>
  <c r="AD32" i="1"/>
  <c r="AG34" i="1"/>
  <c r="AG25" i="1" s="1"/>
  <c r="AG26" i="1" s="1"/>
  <c r="AH24" i="1"/>
  <c r="AH31" i="1"/>
  <c r="AH37" i="1"/>
  <c r="AI23" i="1"/>
  <c r="AJ23" i="1" s="1"/>
  <c r="AE35" i="1"/>
  <c r="AE36" i="1" s="1"/>
  <c r="AE34" i="1" s="1"/>
  <c r="AC33" i="1"/>
  <c r="AL38" i="1"/>
  <c r="AA33" i="1"/>
  <c r="AA34" i="1" s="1"/>
  <c r="AC32" i="1"/>
  <c r="AE32" i="1"/>
  <c r="AB33" i="1"/>
  <c r="AD35" i="1"/>
  <c r="AD36" i="1" s="1"/>
  <c r="AB35" i="1"/>
  <c r="AB36" i="1" s="1"/>
  <c r="AB32" i="1"/>
  <c r="AD33" i="1"/>
  <c r="AC35" i="1"/>
  <c r="AC36" i="1" s="1"/>
  <c r="AL32" i="1"/>
  <c r="AL35" i="1"/>
  <c r="AL36" i="1" s="1"/>
  <c r="AL34" i="1" s="1"/>
  <c r="AM46" i="1"/>
  <c r="AK33" i="1" s="1"/>
  <c r="AK34" i="1" s="1"/>
  <c r="AM45" i="1"/>
  <c r="AM48" i="1"/>
  <c r="AM38" i="1" s="1"/>
  <c r="AJ56" i="1" l="1"/>
  <c r="AJ68" i="1"/>
  <c r="AJ57" i="1"/>
  <c r="AJ69" i="1"/>
  <c r="AJ58" i="1"/>
  <c r="AJ70" i="1"/>
  <c r="AJ65" i="1"/>
  <c r="AJ59" i="1"/>
  <c r="AJ71" i="1"/>
  <c r="AJ72" i="1"/>
  <c r="AJ82" i="1"/>
  <c r="AJ83" i="1" s="1"/>
  <c r="AJ66" i="1"/>
  <c r="AJ78" i="1"/>
  <c r="AJ60" i="1"/>
  <c r="AJ80" i="1"/>
  <c r="AJ81" i="1" s="1"/>
  <c r="AJ61" i="1"/>
  <c r="AJ62" i="1"/>
  <c r="AJ55" i="1"/>
  <c r="AJ67" i="1"/>
  <c r="AJ84" i="1"/>
  <c r="AJ85" i="1" s="1"/>
  <c r="AJ63" i="1"/>
  <c r="AJ86" i="1"/>
  <c r="AJ87" i="1" s="1"/>
  <c r="AJ64" i="1"/>
  <c r="AJ88" i="1"/>
  <c r="AK23" i="1"/>
  <c r="AJ24" i="1"/>
  <c r="AJ31" i="1"/>
  <c r="AJ32" i="1" s="1"/>
  <c r="AJ25" i="1" s="1"/>
  <c r="AJ26" i="1" s="1"/>
  <c r="AJ37" i="1"/>
  <c r="AH73" i="1"/>
  <c r="AH74" i="1"/>
  <c r="AH79" i="1"/>
  <c r="AH91" i="1" s="1"/>
  <c r="AH90" i="1"/>
  <c r="AH29" i="1"/>
  <c r="AH30" i="1" s="1"/>
  <c r="AI78" i="1"/>
  <c r="AI84" i="1"/>
  <c r="AI85" i="1" s="1"/>
  <c r="AI82" i="1"/>
  <c r="AI83" i="1" s="1"/>
  <c r="AI88" i="1"/>
  <c r="AI56" i="1"/>
  <c r="AI58" i="1"/>
  <c r="AI60" i="1"/>
  <c r="AI62" i="1"/>
  <c r="AI64" i="1"/>
  <c r="AI66" i="1"/>
  <c r="AI68" i="1"/>
  <c r="AI70" i="1"/>
  <c r="AI72" i="1"/>
  <c r="AI86" i="1"/>
  <c r="AI87" i="1" s="1"/>
  <c r="AI55" i="1"/>
  <c r="AI57" i="1"/>
  <c r="AI59" i="1"/>
  <c r="AI61" i="1"/>
  <c r="AI63" i="1"/>
  <c r="AI65" i="1"/>
  <c r="AI67" i="1"/>
  <c r="AI69" i="1"/>
  <c r="AI71" i="1"/>
  <c r="AI80" i="1"/>
  <c r="AI81" i="1" s="1"/>
  <c r="AA25" i="1"/>
  <c r="AA26" i="1" s="1"/>
  <c r="AL25" i="1"/>
  <c r="AL26" i="1" s="1"/>
  <c r="AI24" i="1"/>
  <c r="AI37" i="1"/>
  <c r="AI31" i="1"/>
  <c r="AI32" i="1" s="1"/>
  <c r="AI25" i="1" s="1"/>
  <c r="AI26" i="1" s="1"/>
  <c r="AH32" i="1"/>
  <c r="AH25" i="1" s="1"/>
  <c r="AH26" i="1" s="1"/>
  <c r="AC34" i="1"/>
  <c r="AC25" i="1" s="1"/>
  <c r="AC26" i="1" s="1"/>
  <c r="AB34" i="1"/>
  <c r="AB25" i="1" s="1"/>
  <c r="AB26" i="1" s="1"/>
  <c r="AD34" i="1"/>
  <c r="AD25" i="1" s="1"/>
  <c r="AD26" i="1" s="1"/>
  <c r="AE25" i="1"/>
  <c r="AE26" i="1" s="1"/>
  <c r="AJ73" i="1" l="1"/>
  <c r="AJ79" i="1"/>
  <c r="AJ91" i="1" s="1"/>
  <c r="AJ90" i="1"/>
  <c r="AJ74" i="1"/>
  <c r="AI74" i="1"/>
  <c r="AK80" i="1"/>
  <c r="AK81" i="1" s="1"/>
  <c r="AK78" i="1"/>
  <c r="AK84" i="1"/>
  <c r="AK85" i="1" s="1"/>
  <c r="AK88" i="1"/>
  <c r="AK56" i="1"/>
  <c r="AK58" i="1"/>
  <c r="AK60" i="1"/>
  <c r="AK62" i="1"/>
  <c r="AK64" i="1"/>
  <c r="AK66" i="1"/>
  <c r="AK68" i="1"/>
  <c r="AK70" i="1"/>
  <c r="AK72" i="1"/>
  <c r="AK82" i="1"/>
  <c r="AK83" i="1" s="1"/>
  <c r="AK86" i="1"/>
  <c r="AK87" i="1" s="1"/>
  <c r="AK55" i="1"/>
  <c r="AK57" i="1"/>
  <c r="AK59" i="1"/>
  <c r="AK61" i="1"/>
  <c r="AK63" i="1"/>
  <c r="AK65" i="1"/>
  <c r="AK67" i="1"/>
  <c r="AK69" i="1"/>
  <c r="AK71" i="1"/>
  <c r="AI29" i="1"/>
  <c r="AI30" i="1" s="1"/>
  <c r="AI28" i="1"/>
  <c r="AI79" i="1"/>
  <c r="AI91" i="1" s="1"/>
  <c r="AI90" i="1"/>
  <c r="AI73" i="1"/>
  <c r="AK37" i="1"/>
  <c r="AK24" i="1"/>
  <c r="AK31" i="1"/>
  <c r="AK32" i="1" s="1"/>
  <c r="AK25" i="1" s="1"/>
  <c r="AK26" i="1" s="1"/>
  <c r="AK73" i="1" l="1"/>
  <c r="AK74" i="1"/>
  <c r="AK28" i="1"/>
  <c r="AK29" i="1"/>
  <c r="AK30" i="1" s="1"/>
  <c r="AK79" i="1"/>
  <c r="AK91" i="1" s="1"/>
  <c r="AK90" i="1"/>
</calcChain>
</file>

<file path=xl/sharedStrings.xml><?xml version="1.0" encoding="utf-8"?>
<sst xmlns="http://schemas.openxmlformats.org/spreadsheetml/2006/main" count="289" uniqueCount="216">
  <si>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</si>
  <si>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</si>
  <si>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</si>
  <si>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</si>
  <si>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</si>
  <si>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</si>
  <si>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</si>
  <si>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</si>
  <si>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</si>
  <si>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</si>
  <si>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</si>
  <si>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</si>
  <si>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</si>
  <si>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</si>
  <si>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</si>
  <si>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</si>
  <si>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</si>
  <si>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</si>
  <si>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</si>
  <si>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</si>
  <si>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</si>
  <si>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</si>
  <si>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</si>
  <si>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</si>
  <si>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</si>
  <si>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</si>
  <si>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</si>
  <si>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</si>
  <si>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</si>
  <si>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</si>
  <si>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</si>
  <si>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</si>
  <si>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</si>
  <si>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</si>
  <si>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</si>
  <si>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</si>
  <si>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</si>
  <si>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</si>
  <si>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</si>
  <si>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</si>
  <si>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</si>
  <si>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</si>
  <si>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</si>
  <si>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</si>
  <si>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</si>
  <si>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</si>
  <si>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</si>
  <si>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</si>
  <si>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</si>
  <si>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</si>
  <si>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</si>
  <si>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</si>
  <si>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</si>
  <si>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</si>
  <si>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</si>
  <si>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</si>
  <si>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</si>
  <si>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</si>
  <si>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</si>
  <si>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</si>
  <si>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</si>
  <si>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</si>
  <si>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</si>
  <si>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</si>
  <si>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</si>
  <si>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</si>
  <si>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</si>
  <si>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</si>
  <si>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</si>
  <si>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</si>
  <si>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</si>
  <si>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</si>
  <si>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</si>
  <si>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</si>
  <si>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</si>
  <si>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</si>
  <si>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</si>
  <si>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</si>
  <si>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</si>
  <si>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</si>
  <si>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</si>
  <si>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</si>
  <si>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</si>
  <si>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</si>
  <si>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</si>
  <si>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</si>
  <si>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</si>
  <si>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</si>
  <si>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</si>
  <si>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</si>
  <si>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</si>
  <si>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</si>
  <si>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</si>
  <si>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</si>
  <si>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</si>
  <si>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</si>
  <si>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</si>
  <si>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</si>
  <si>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</si>
  <si>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</si>
  <si>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</si>
  <si>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</si>
  <si>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</si>
  <si>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</si>
  <si>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</si>
  <si>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</si>
  <si>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</si>
  <si>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</si>
  <si>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</si>
  <si>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</si>
  <si>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</si>
  <si>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</si>
  <si>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</si>
  <si>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</si>
  <si>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</si>
  <si>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</si>
  <si>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</si>
  <si>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</si>
  <si>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</si>
  <si>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</si>
  <si>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</si>
  <si>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</si>
  <si>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</si>
  <si>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</si>
  <si>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</si>
  <si>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</si>
  <si>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</si>
  <si>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</si>
  <si>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</si>
  <si>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</si>
  <si>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</si>
  <si>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</si>
  <si>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</si>
  <si>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</si>
  <si>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</si>
  <si>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</si>
  <si>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</si>
  <si>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</si>
  <si>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</si>
  <si>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</si>
  <si>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</si>
  <si>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</si>
  <si>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</si>
  <si>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</si>
  <si>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</si>
  <si>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</si>
  <si>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</si>
  <si>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</si>
  <si>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</si>
  <si>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</si>
  <si>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</si>
  <si>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</si>
  <si>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</si>
  <si>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</si>
  <si>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</si>
  <si>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</si>
  <si>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</si>
  <si>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</si>
  <si>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</si>
  <si>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</si>
  <si>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</si>
  <si>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</si>
  <si>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</si>
  <si>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</si>
  <si>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</si>
  <si>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</si>
  <si>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</si>
  <si>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</si>
  <si>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</si>
  <si>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</si>
  <si>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</si>
  <si>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</si>
  <si>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</si>
  <si>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</si>
  <si>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</si>
  <si>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</si>
  <si>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</si>
  <si>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</si>
  <si>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</si>
  <si>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</si>
  <si>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</si>
  <si>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</si>
  <si>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</si>
  <si>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</si>
  <si>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</si>
  <si>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</si>
  <si>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</si>
  <si>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</si>
  <si>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</si>
  <si>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</si>
  <si>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</si>
  <si>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</si>
  <si>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</si>
  <si>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</si>
  <si>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</si>
  <si>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</si>
  <si>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</si>
  <si>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</si>
  <si>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</si>
  <si>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</si>
  <si>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</si>
  <si>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</si>
  <si>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</si>
  <si>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</si>
  <si>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</si>
  <si>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</si>
  <si>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</si>
  <si>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</si>
  <si>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</si>
  <si>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</si>
  <si>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</si>
  <si>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</si>
  <si>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</si>
  <si>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</si>
  <si>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</si>
  <si>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Lockdowns to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</si>
</sst>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1">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3" fontId="6"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5" xfId="0" applyNumberFormat="1" applyFont="1" applyFill="1" applyBorder="1"/>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0" xfId="0" applyNumberFormat="1"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14" fontId="0" fillId="0" borderId="21" xfId="0" applyNumberFormat="1" applyFill="1" applyBorder="1"/>
    <xf numFmtId="164" fontId="0" fillId="9" borderId="2"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43941.643229745372</c:v>
                </c:pt>
                <c:pt idx="1">
                  <c:v>43944.643229745372</c:v>
                </c:pt>
                <c:pt idx="2">
                  <c:v>43947.643229745372</c:v>
                </c:pt>
                <c:pt idx="3">
                  <c:v>43950.643229745372</c:v>
                </c:pt>
                <c:pt idx="4">
                  <c:v>43953.643229745372</c:v>
                </c:pt>
                <c:pt idx="5">
                  <c:v>43956.643229745372</c:v>
                </c:pt>
                <c:pt idx="6">
                  <c:v>43959.643229745372</c:v>
                </c:pt>
                <c:pt idx="7">
                  <c:v>43962.643229745372</c:v>
                </c:pt>
                <c:pt idx="8">
                  <c:v>43965.643229745372</c:v>
                </c:pt>
                <c:pt idx="9">
                  <c:v>43968.643229745372</c:v>
                </c:pt>
                <c:pt idx="10">
                  <c:v>43971.643229745372</c:v>
                </c:pt>
                <c:pt idx="11">
                  <c:v>43974.643229745372</c:v>
                </c:pt>
                <c:pt idx="12">
                  <c:v>43977.643229745372</c:v>
                </c:pt>
                <c:pt idx="13">
                  <c:v>43980.643229745372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59.183673469387756</c:v>
                </c:pt>
                <c:pt idx="1">
                  <c:v>118.36734693877551</c:v>
                </c:pt>
                <c:pt idx="2">
                  <c:v>236.73469387755102</c:v>
                </c:pt>
                <c:pt idx="3">
                  <c:v>473.46938775510205</c:v>
                </c:pt>
                <c:pt idx="4">
                  <c:v>946.9387755102041</c:v>
                </c:pt>
                <c:pt idx="5">
                  <c:v>1893.8775510204082</c:v>
                </c:pt>
                <c:pt idx="6">
                  <c:v>3787.7551020408164</c:v>
                </c:pt>
                <c:pt idx="7">
                  <c:v>7575.5102040816328</c:v>
                </c:pt>
                <c:pt idx="8">
                  <c:v>15151.020408163266</c:v>
                </c:pt>
                <c:pt idx="9">
                  <c:v>30302.040816326531</c:v>
                </c:pt>
                <c:pt idx="10">
                  <c:v>60604.081632653062</c:v>
                </c:pt>
                <c:pt idx="11">
                  <c:v>121208.16326530612</c:v>
                </c:pt>
                <c:pt idx="12">
                  <c:v>242416.32653061225</c:v>
                </c:pt>
                <c:pt idx="13">
                  <c:v>484832.6530612245</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43941.643229745372</c:v>
                </c:pt>
                <c:pt idx="1">
                  <c:v>43944.643229745372</c:v>
                </c:pt>
                <c:pt idx="2">
                  <c:v>43947.643229745372</c:v>
                </c:pt>
                <c:pt idx="3">
                  <c:v>43950.643229745372</c:v>
                </c:pt>
                <c:pt idx="4">
                  <c:v>43953.643229745372</c:v>
                </c:pt>
                <c:pt idx="5">
                  <c:v>43956.643229745372</c:v>
                </c:pt>
                <c:pt idx="6">
                  <c:v>43959.643229745372</c:v>
                </c:pt>
                <c:pt idx="7">
                  <c:v>43962.643229745372</c:v>
                </c:pt>
                <c:pt idx="8">
                  <c:v>43965.643229745372</c:v>
                </c:pt>
                <c:pt idx="9">
                  <c:v>43968.643229745372</c:v>
                </c:pt>
                <c:pt idx="10">
                  <c:v>43971.643229745372</c:v>
                </c:pt>
                <c:pt idx="11">
                  <c:v>43974.643229745372</c:v>
                </c:pt>
                <c:pt idx="12">
                  <c:v>43977.643229745372</c:v>
                </c:pt>
                <c:pt idx="13">
                  <c:v>43980.643229745372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30.612244897959187</c:v>
                </c:pt>
                <c:pt idx="1">
                  <c:v>61.224489795918373</c:v>
                </c:pt>
                <c:pt idx="2">
                  <c:v>122.44897959183675</c:v>
                </c:pt>
                <c:pt idx="3">
                  <c:v>244.89795918367349</c:v>
                </c:pt>
                <c:pt idx="4">
                  <c:v>489.79591836734699</c:v>
                </c:pt>
                <c:pt idx="5">
                  <c:v>979.59183673469397</c:v>
                </c:pt>
                <c:pt idx="6">
                  <c:v>1959.1836734693879</c:v>
                </c:pt>
                <c:pt idx="7">
                  <c:v>3918.3673469387759</c:v>
                </c:pt>
                <c:pt idx="8">
                  <c:v>7836.7346938775518</c:v>
                </c:pt>
                <c:pt idx="9">
                  <c:v>15673.469387755104</c:v>
                </c:pt>
                <c:pt idx="10">
                  <c:v>31346.938775510207</c:v>
                </c:pt>
                <c:pt idx="11">
                  <c:v>62693.877551020414</c:v>
                </c:pt>
                <c:pt idx="12">
                  <c:v>125387.75510204083</c:v>
                </c:pt>
                <c:pt idx="13">
                  <c:v>250775.51020408166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43941.643229745372</c:v>
                </c:pt>
                <c:pt idx="1">
                  <c:v>43944.643229745372</c:v>
                </c:pt>
                <c:pt idx="2">
                  <c:v>43947.643229745372</c:v>
                </c:pt>
                <c:pt idx="3">
                  <c:v>43950.643229745372</c:v>
                </c:pt>
                <c:pt idx="4">
                  <c:v>43953.643229745372</c:v>
                </c:pt>
                <c:pt idx="5">
                  <c:v>43956.643229745372</c:v>
                </c:pt>
                <c:pt idx="6">
                  <c:v>43959.643229745372</c:v>
                </c:pt>
                <c:pt idx="7">
                  <c:v>43962.643229745372</c:v>
                </c:pt>
                <c:pt idx="8">
                  <c:v>43965.643229745372</c:v>
                </c:pt>
                <c:pt idx="9">
                  <c:v>43968.643229745372</c:v>
                </c:pt>
                <c:pt idx="10">
                  <c:v>43971.643229745372</c:v>
                </c:pt>
                <c:pt idx="11">
                  <c:v>43974.643229745372</c:v>
                </c:pt>
                <c:pt idx="12">
                  <c:v>43977.643229745372</c:v>
                </c:pt>
                <c:pt idx="13">
                  <c:v>43980.643229745372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Projections!$A$23</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Projections!$L$22:$Y$22</c:f>
              <c:numCache>
                <c:formatCode>m/d/yyyy</c:formatCode>
                <c:ptCount val="1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numCache>
            </c:numRef>
          </c:cat>
          <c:val>
            <c:numRef>
              <c:extLst>
                <c:ext xmlns:c15="http://schemas.microsoft.com/office/drawing/2012/chart" uri="{02D57815-91ED-43cb-92C2-25804820EDAC}">
                  <c15:fullRef>
                    <c15:sqref>Projections!$L$23:$AL$23</c15:sqref>
                  </c15:fullRef>
                </c:ext>
              </c:extLst>
              <c:f>Projections!$L$23:$Y$23</c:f>
              <c:numCache>
                <c:formatCode>#,##0_ ;[Red]\-#,##0\ </c:formatCode>
                <c:ptCount val="1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numCache>
            </c:numRef>
          </c:val>
          <c:smooth val="0"/>
          <c:extLst>
            <c:ext xmlns:c16="http://schemas.microsoft.com/office/drawing/2014/chart" uri="{C3380CC4-5D6E-409C-BE32-E72D297353CC}">
              <c16:uniqueId val="{00000004-8BCC-427B-903C-670C749E04E9}"/>
            </c:ext>
          </c:extLst>
        </c:ser>
        <c:ser>
          <c:idx val="1"/>
          <c:order val="1"/>
          <c:tx>
            <c:strRef>
              <c:f>Projections!$A$47</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Projections!$L$22:$Y$22</c:f>
              <c:numCache>
                <c:formatCode>m/d/yyyy</c:formatCode>
                <c:ptCount val="1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numCache>
            </c:numRef>
          </c:cat>
          <c:val>
            <c:numRef>
              <c:extLst>
                <c:ext xmlns:c15="http://schemas.microsoft.com/office/drawing/2012/chart" uri="{02D57815-91ED-43cb-92C2-25804820EDAC}">
                  <c15:fullRef>
                    <c15:sqref>Projections!$L$47:$AL$47</c15:sqref>
                  </c15:fullRef>
                </c:ext>
              </c:extLst>
              <c:f>Projections!$L$47:$Y$47</c:f>
              <c:numCache>
                <c:formatCode>General</c:formatCode>
                <c:ptCount val="14"/>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256000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Projections!$A$37</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Projections!$L$22:$Y$22</c:f>
              <c:numCache>
                <c:formatCode>m/d/yyyy</c:formatCode>
                <c:ptCount val="1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numCache>
            </c:numRef>
          </c:cat>
          <c:val>
            <c:numRef>
              <c:extLst>
                <c:ext xmlns:c15="http://schemas.microsoft.com/office/drawing/2012/chart" uri="{02D57815-91ED-43cb-92C2-25804820EDAC}">
                  <c15:fullRef>
                    <c15:sqref>Projections!$L$37:$AL$37</c15:sqref>
                  </c15:fullRef>
                </c:ext>
              </c:extLst>
              <c:f>Projections!$L$37:$Y$37</c:f>
              <c:numCache>
                <c:formatCode>#,##0_ ;[Red]\-#,##0\ </c:formatCode>
                <c:ptCount val="14"/>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numCache>
            </c:numRef>
          </c:val>
          <c:smooth val="0"/>
          <c:extLst>
            <c:ext xmlns:c16="http://schemas.microsoft.com/office/drawing/2014/chart" uri="{C3380CC4-5D6E-409C-BE32-E72D297353CC}">
              <c16:uniqueId val="{00000000-50BE-40C1-B679-81AF0BCE3FCD}"/>
            </c:ext>
          </c:extLst>
        </c:ser>
        <c:ser>
          <c:idx val="1"/>
          <c:order val="1"/>
          <c:tx>
            <c:strRef>
              <c:f>Projections!$A$51</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Projections!$L$22:$Y$22</c:f>
              <c:numCache>
                <c:formatCode>m/d/yyyy</c:formatCode>
                <c:ptCount val="1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numCache>
            </c:numRef>
          </c:cat>
          <c:val>
            <c:numRef>
              <c:extLst>
                <c:ext xmlns:c15="http://schemas.microsoft.com/office/drawing/2012/chart" uri="{02D57815-91ED-43cb-92C2-25804820EDAC}">
                  <c15:fullRef>
                    <c15:sqref>Projections!$L$51:$AL$51</c15:sqref>
                  </c15:fullRef>
                </c:ext>
              </c:extLst>
              <c:f>Projections!$L$51:$Y$51</c:f>
              <c:numCache>
                <c:formatCode>General</c:formatCode>
                <c:ptCount val="14"/>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4980</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Projections!$A$33</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Projections!$L$33:$AL$33</c15:sqref>
                  </c15:fullRef>
                </c:ext>
              </c:extLst>
              <c:f>Projections!$L$33:$AG$33</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42137.415728049069</c:v>
                </c:pt>
                <c:pt idx="14">
                  <c:v>83775.652124757922</c:v>
                </c:pt>
                <c:pt idx="15">
                  <c:v>163384.40422015599</c:v>
                </c:pt>
                <c:pt idx="16">
                  <c:v>320336.15013261209</c:v>
                </c:pt>
                <c:pt idx="17">
                  <c:v>630443.24926000752</c:v>
                </c:pt>
                <c:pt idx="18">
                  <c:v>1244232.923073899</c:v>
                </c:pt>
                <c:pt idx="19">
                  <c:v>2460828.0462744394</c:v>
                </c:pt>
                <c:pt idx="20">
                  <c:v>4875053.9601374241</c:v>
                </c:pt>
                <c:pt idx="21">
                  <c:v>9670468.0593217257</c:v>
                </c:pt>
              </c:numCache>
            </c:numRef>
          </c:val>
          <c:smooth val="0"/>
          <c:extLst>
            <c:ext xmlns:c16="http://schemas.microsoft.com/office/drawing/2014/chart" uri="{C3380CC4-5D6E-409C-BE32-E72D297353CC}">
              <c16:uniqueId val="{00000000-A3C2-4B4C-996C-CDB1A252886F}"/>
            </c:ext>
          </c:extLst>
        </c:ser>
        <c:ser>
          <c:idx val="2"/>
          <c:order val="1"/>
          <c:tx>
            <c:strRef>
              <c:f>Projections!$A$34</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Projections!$L$34:$AL$34</c15:sqref>
                  </c15:fullRef>
                </c:ext>
              </c:extLst>
              <c:f>Projections!$L$34:$AG$34</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28370.954103857839</c:v>
                </c:pt>
                <c:pt idx="14">
                  <c:v>59674.384286196801</c:v>
                </c:pt>
                <c:pt idx="15">
                  <c:v>114416.42944885735</c:v>
                </c:pt>
                <c:pt idx="16">
                  <c:v>231206.55578417089</c:v>
                </c:pt>
                <c:pt idx="17">
                  <c:v>458278.98712400655</c:v>
                </c:pt>
                <c:pt idx="18">
                  <c:v>912177.1721235119</c:v>
                </c:pt>
                <c:pt idx="19">
                  <c:v>1816129.3637683322</c:v>
                </c:pt>
                <c:pt idx="20">
                  <c:v>3617135.6474213023</c:v>
                </c:pt>
                <c:pt idx="21">
                  <c:v>7206709.3112805709</c:v>
                </c:pt>
              </c:numCache>
            </c:numRef>
          </c:val>
          <c:smooth val="0"/>
          <c:extLst>
            <c:ext xmlns:c16="http://schemas.microsoft.com/office/drawing/2014/chart" uri="{C3380CC4-5D6E-409C-BE32-E72D297353CC}">
              <c16:uniqueId val="{00000001-A3C2-4B4C-996C-CDB1A252886F}"/>
            </c:ext>
          </c:extLst>
        </c:ser>
        <c:ser>
          <c:idx val="0"/>
          <c:order val="2"/>
          <c:tx>
            <c:strRef>
              <c:f>Projections!$A$35</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Projections!$L$35:$AL$35</c15:sqref>
                  </c15:fullRef>
                </c:ext>
              </c:extLst>
              <c:f>Projections!$L$35:$AG$35</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11256.180833326916</c:v>
                </c:pt>
                <c:pt idx="14">
                  <c:v>18918.039334017998</c:v>
                </c:pt>
                <c:pt idx="15">
                  <c:v>36452.700254129806</c:v>
                </c:pt>
                <c:pt idx="16">
                  <c:v>69324.264739547973</c:v>
                </c:pt>
                <c:pt idx="17">
                  <c:v>133243.48478417165</c:v>
                </c:pt>
                <c:pt idx="18">
                  <c:v>258045.3756086721</c:v>
                </c:pt>
                <c:pt idx="19">
                  <c:v>502547.90302361763</c:v>
                </c:pt>
                <c:pt idx="20">
                  <c:v>982893.87227280345</c:v>
                </c:pt>
                <c:pt idx="21">
                  <c:v>1928736.7269399972</c:v>
                </c:pt>
              </c:numCache>
            </c:numRef>
          </c:val>
          <c:smooth val="0"/>
          <c:extLst>
            <c:ext xmlns:c16="http://schemas.microsoft.com/office/drawing/2014/chart" uri="{C3380CC4-5D6E-409C-BE32-E72D297353CC}">
              <c16:uniqueId val="{00000002-A3C2-4B4C-996C-CDB1A252886F}"/>
            </c:ext>
          </c:extLst>
        </c:ser>
        <c:ser>
          <c:idx val="4"/>
          <c:order val="3"/>
          <c:tx>
            <c:strRef>
              <c:f>Projections!$A$36</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Projections!$L$36:$AL$36</c15:sqref>
                  </c15:fullRef>
                </c:ext>
              </c:extLst>
              <c:f>Projections!$L$36:$AG$36</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9534.2016666602503</c:v>
                </c:pt>
                <c:pt idx="14">
                  <c:v>14986.402103946342</c:v>
                </c:pt>
                <c:pt idx="15">
                  <c:v>29220.160301908527</c:v>
                </c:pt>
                <c:pt idx="16">
                  <c:v>54580.179486405956</c:v>
                </c:pt>
                <c:pt idx="17">
                  <c:v>103903.46608767209</c:v>
                </c:pt>
                <c:pt idx="18">
                  <c:v>199598.21020663422</c:v>
                </c:pt>
                <c:pt idx="19">
                  <c:v>386029.24897182453</c:v>
                </c:pt>
                <c:pt idx="20">
                  <c:v>750475.42585555464</c:v>
                </c:pt>
                <c:pt idx="21">
                  <c:v>1464936.98123152</c:v>
                </c:pt>
              </c:numCache>
            </c:numRef>
          </c:val>
          <c:smooth val="0"/>
          <c:extLst>
            <c:ext xmlns:c16="http://schemas.microsoft.com/office/drawing/2014/chart" uri="{C3380CC4-5D6E-409C-BE32-E72D297353CC}">
              <c16:uniqueId val="{00000003-A3C2-4B4C-996C-CDB1A252886F}"/>
            </c:ext>
          </c:extLst>
        </c:ser>
        <c:ser>
          <c:idx val="1"/>
          <c:order val="4"/>
          <c:tx>
            <c:strRef>
              <c:f>Projections!$A$37</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Projections!$L$37:$AL$37</c15:sqref>
                  </c15:fullRef>
                </c:ext>
              </c:extLst>
              <c:f>Projections!$L$37:$AG$37</c:f>
              <c:numCache>
                <c:formatCode>#,##0_ ;[Red]\-#,##0\ </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Projections!$A$55</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Projections!$L$55:$AL$55</c15:sqref>
                  </c15:fullRef>
                </c:ext>
              </c:extLst>
              <c:f>Projections!$L$55:$AG$55</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Projections!$A$57</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Projections!$L$57:$AL$57</c15:sqref>
                  </c15:fullRef>
                </c:ext>
              </c:extLst>
              <c:f>Projections!$L$57:$AG$57</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Projections!$A$59</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Projections!$L$59:$AL$59</c15:sqref>
                  </c15:fullRef>
                </c:ext>
              </c:extLst>
              <c:f>Projections!$L$59:$AG$59</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Projections!$A$61</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Projections!$L$61:$AL$61</c15:sqref>
                  </c15:fullRef>
                </c:ext>
              </c:extLst>
              <c:f>Projections!$L$61:$AG$61</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Projections!$A$63</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Projections!$L$63:$AL$63</c15:sqref>
                  </c15:fullRef>
                </c:ext>
              </c:extLst>
              <c:f>Projections!$L$63:$AG$63</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Projections!$A$65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Projections!$L$65:$AL$65</c15:sqref>
                  </c15:fullRef>
                </c:ext>
              </c:extLst>
              <c:f>Projections!$L$65:$AG$65</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Projections!$A$67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Projections!$L$67:$AL$67</c15:sqref>
                  </c15:fullRef>
                </c:ext>
              </c:extLst>
              <c:f>Projections!$L$67:$AG$67</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Projections!$A$69</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Projections!$L$69:$AL$69</c15:sqref>
                  </c15:fullRef>
                </c:ext>
              </c:extLst>
              <c:f>Projections!$L$69:$AG$69</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Projections!$A$71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Projections!$L$71:$AL$71</c15:sqref>
                  </c15:fullRef>
                </c:ext>
              </c:extLst>
              <c:f>Projections!$L$71:$AG$71</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Projections!$A$55</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Projections!$L$56:$AL$56</c15:sqref>
                  </c15:fullRef>
                </c:ext>
              </c:extLst>
              <c:f>Projections!$L$56:$AG$56</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Projections!$A$57</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Projections!$L$58:$AL$58</c15:sqref>
                  </c15:fullRef>
                </c:ext>
              </c:extLst>
              <c:f>Projections!$L$58:$AG$58</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Projections!$A$59</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Projections!$L$60:$AL$60</c15:sqref>
                  </c15:fullRef>
                </c:ext>
              </c:extLst>
              <c:f>Projections!$L$60:$AG$60</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Projections!$A$61</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Projections!$L$62:$AL$62</c15:sqref>
                  </c15:fullRef>
                </c:ext>
              </c:extLst>
              <c:f>Projections!$L$62:$AG$62</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Projections!$A$63</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Projections!$L$64:$AL$64</c15:sqref>
                  </c15:fullRef>
                </c:ext>
              </c:extLst>
              <c:f>Projections!$L$64:$AG$64</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Projections!$A$65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Projections!$L$66:$AL$66</c15:sqref>
                  </c15:fullRef>
                </c:ext>
              </c:extLst>
              <c:f>Projections!$L$66:$AG$66</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Projections!$A$67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Projections!$L$68:$AL$68</c15:sqref>
                  </c15:fullRef>
                </c:ext>
              </c:extLst>
              <c:f>Projections!$L$68:$AG$68</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Projections!$A$69</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Projections!$L$70:$AL$70</c15:sqref>
                  </c15:fullRef>
                </c:ext>
              </c:extLst>
              <c:f>Projections!$L$70:$AG$70</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Projections!$A$71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Projections!$L$72:$AL$72</c15:sqref>
                  </c15:fullRef>
                </c:ext>
              </c:extLst>
              <c:f>Projections!$L$72:$AG$72</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Projections!$L$84:$AL$84</c15:sqref>
                  </c15:fullRef>
                </c:ext>
              </c:extLst>
              <c:f>Projections!$L$84:$AG$84</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Projections!$A$82</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Projections!$L$82:$AL$82</c15:sqref>
                  </c15:fullRef>
                </c:ext>
              </c:extLst>
              <c:f>Projections!$L$82:$AG$82</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Projections!$A$88</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Projections!$L$88:$AL$88</c15:sqref>
                  </c15:fullRef>
                </c:ext>
              </c:extLst>
              <c:f>Projections!$L$88:$AG$88</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Projections!$A$78</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Projections!$L$78:$AL$78</c15:sqref>
                  </c15:fullRef>
                </c:ext>
              </c:extLst>
              <c:f>Projections!$L$78:$AG$78</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Projections!$A$80</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Projections!$L$80:$AL$80</c15:sqref>
                  </c15:fullRef>
                </c:ext>
              </c:extLst>
              <c:f>Projections!$L$80:$AG$80</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Projections!$A$86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Projections!$L$86:$AL$86</c15:sqref>
                  </c15:fullRef>
                </c:ext>
              </c:extLst>
              <c:f>Projections!$L$86:$AG$86</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Projections!$L$85:$AL$85</c15:sqref>
                  </c15:fullRef>
                </c:ext>
              </c:extLst>
              <c:f>Projections!$L$85:$AG$85</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Projections!$A$82</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Projections!$L$83:$AL$83</c15:sqref>
                  </c15:fullRef>
                </c:ext>
              </c:extLst>
              <c:f>Projections!$L$83:$AG$83</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Projections!$A$78</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Projections!$L$79:$AL$79</c15:sqref>
                  </c15:fullRef>
                </c:ext>
              </c:extLst>
              <c:f>Projections!$L$79:$AG$79</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Projections!$A$80</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Projections!$L$81:$AL$81</c15:sqref>
                  </c15:fullRef>
                </c:ext>
              </c:extLst>
              <c:f>Projections!$L$81:$AG$81</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Projections!$A$86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Projections!$L$87:$AL$87</c15:sqref>
                  </c15:fullRef>
                </c:ext>
              </c:extLst>
              <c:f>Projections!$L$87:$AG$87</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Projections!$A$23</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Projections!$L$22:$Y$22</c:f>
              <c:numCache>
                <c:formatCode>m/d/yyyy</c:formatCode>
                <c:ptCount val="1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numCache>
            </c:numRef>
          </c:cat>
          <c:val>
            <c:numRef>
              <c:extLst>
                <c:ext xmlns:c15="http://schemas.microsoft.com/office/drawing/2012/chart" uri="{02D57815-91ED-43cb-92C2-25804820EDAC}">
                  <c15:fullRef>
                    <c15:sqref>Projections!$L$23:$AL$23</c15:sqref>
                  </c15:fullRef>
                </c:ext>
              </c:extLst>
              <c:f>Projections!$L$23:$Y$23</c:f>
              <c:numCache>
                <c:formatCode>#,##0_ ;[Red]\-#,##0\ </c:formatCode>
                <c:ptCount val="1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numCache>
            </c:numRef>
          </c:val>
          <c:smooth val="0"/>
          <c:extLst>
            <c:ext xmlns:c16="http://schemas.microsoft.com/office/drawing/2014/chart" uri="{C3380CC4-5D6E-409C-BE32-E72D297353CC}">
              <c16:uniqueId val="{00000000-9DE3-43B6-B60B-9B4AA4851702}"/>
            </c:ext>
          </c:extLst>
        </c:ser>
        <c:ser>
          <c:idx val="1"/>
          <c:order val="1"/>
          <c:tx>
            <c:strRef>
              <c:f>Projections!$A$47</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Projections!$L$22:$Y$22</c:f>
              <c:numCache>
                <c:formatCode>m/d/yyyy</c:formatCode>
                <c:ptCount val="1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numCache>
            </c:numRef>
          </c:cat>
          <c:val>
            <c:numRef>
              <c:extLst>
                <c:ext xmlns:c15="http://schemas.microsoft.com/office/drawing/2012/chart" uri="{02D57815-91ED-43cb-92C2-25804820EDAC}">
                  <c15:fullRef>
                    <c15:sqref>Projections!$L$47:$AL$47</c15:sqref>
                  </c15:fullRef>
                </c:ext>
              </c:extLst>
              <c:f>Projections!$L$47:$Y$47</c:f>
              <c:numCache>
                <c:formatCode>General</c:formatCode>
                <c:ptCount val="14"/>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256000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Projections!$A$37</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Projections!$L$22:$Y$22</c:f>
              <c:numCache>
                <c:formatCode>m/d/yyyy</c:formatCode>
                <c:ptCount val="1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numCache>
            </c:numRef>
          </c:cat>
          <c:val>
            <c:numRef>
              <c:extLst>
                <c:ext xmlns:c15="http://schemas.microsoft.com/office/drawing/2012/chart" uri="{02D57815-91ED-43cb-92C2-25804820EDAC}">
                  <c15:fullRef>
                    <c15:sqref>Projections!$L$37:$AL$37</c15:sqref>
                  </c15:fullRef>
                </c:ext>
              </c:extLst>
              <c:f>Projections!$L$37:$Y$37</c:f>
              <c:numCache>
                <c:formatCode>#,##0_ ;[Red]\-#,##0\ </c:formatCode>
                <c:ptCount val="14"/>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numCache>
            </c:numRef>
          </c:val>
          <c:smooth val="0"/>
          <c:extLst>
            <c:ext xmlns:c16="http://schemas.microsoft.com/office/drawing/2014/chart" uri="{C3380CC4-5D6E-409C-BE32-E72D297353CC}">
              <c16:uniqueId val="{00000000-FE1B-4946-A476-7952C5C71231}"/>
            </c:ext>
          </c:extLst>
        </c:ser>
        <c:ser>
          <c:idx val="1"/>
          <c:order val="1"/>
          <c:tx>
            <c:strRef>
              <c:f>Projections!$A$51</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Projections!$L$22:$Y$22</c:f>
              <c:numCache>
                <c:formatCode>m/d/yyyy</c:formatCode>
                <c:ptCount val="1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numCache>
            </c:numRef>
          </c:cat>
          <c:val>
            <c:numRef>
              <c:extLst>
                <c:ext xmlns:c15="http://schemas.microsoft.com/office/drawing/2012/chart" uri="{02D57815-91ED-43cb-92C2-25804820EDAC}">
                  <c15:fullRef>
                    <c15:sqref>Projections!$L$51:$AL$51</c15:sqref>
                  </c15:fullRef>
                </c:ext>
              </c:extLst>
              <c:f>Projections!$L$51:$Y$51</c:f>
              <c:numCache>
                <c:formatCode>General</c:formatCode>
                <c:ptCount val="14"/>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4980</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43941.643229745372</c:v>
                </c:pt>
                <c:pt idx="1">
                  <c:v>43944.643229745372</c:v>
                </c:pt>
                <c:pt idx="2">
                  <c:v>43947.643229745372</c:v>
                </c:pt>
                <c:pt idx="3">
                  <c:v>43950.643229745372</c:v>
                </c:pt>
                <c:pt idx="4">
                  <c:v>43953.643229745372</c:v>
                </c:pt>
                <c:pt idx="5">
                  <c:v>43956.643229745372</c:v>
                </c:pt>
                <c:pt idx="6">
                  <c:v>43959.643229745372</c:v>
                </c:pt>
                <c:pt idx="7">
                  <c:v>43962.643229745372</c:v>
                </c:pt>
                <c:pt idx="8">
                  <c:v>43965.643229745372</c:v>
                </c:pt>
                <c:pt idx="9">
                  <c:v>43968.643229745372</c:v>
                </c:pt>
                <c:pt idx="10">
                  <c:v>43971.643229745372</c:v>
                </c:pt>
                <c:pt idx="11">
                  <c:v>43974.643229745372</c:v>
                </c:pt>
                <c:pt idx="12">
                  <c:v>43977.643229745372</c:v>
                </c:pt>
                <c:pt idx="13">
                  <c:v>43980.643229745372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43941.643229745372</c:v>
                </c:pt>
                <c:pt idx="1">
                  <c:v>43944.643229745372</c:v>
                </c:pt>
                <c:pt idx="2">
                  <c:v>43947.643229745372</c:v>
                </c:pt>
                <c:pt idx="3">
                  <c:v>43950.643229745372</c:v>
                </c:pt>
                <c:pt idx="4">
                  <c:v>43953.643229745372</c:v>
                </c:pt>
                <c:pt idx="5">
                  <c:v>43956.643229745372</c:v>
                </c:pt>
                <c:pt idx="6">
                  <c:v>43959.643229745372</c:v>
                </c:pt>
                <c:pt idx="7">
                  <c:v>43962.643229745372</c:v>
                </c:pt>
                <c:pt idx="8">
                  <c:v>43965.643229745372</c:v>
                </c:pt>
                <c:pt idx="9">
                  <c:v>43968.643229745372</c:v>
                </c:pt>
                <c:pt idx="10">
                  <c:v>43971.643229745372</c:v>
                </c:pt>
                <c:pt idx="11">
                  <c:v>43974.643229745372</c:v>
                </c:pt>
                <c:pt idx="12">
                  <c:v>43977.643229745372</c:v>
                </c:pt>
                <c:pt idx="13">
                  <c:v>43980.643229745372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43941.643229745372</c:v>
                </c:pt>
                <c:pt idx="1">
                  <c:v>43944.643229745372</c:v>
                </c:pt>
                <c:pt idx="2">
                  <c:v>43947.643229745372</c:v>
                </c:pt>
                <c:pt idx="3">
                  <c:v>43950.643229745372</c:v>
                </c:pt>
                <c:pt idx="4">
                  <c:v>43953.643229745372</c:v>
                </c:pt>
                <c:pt idx="5">
                  <c:v>43956.643229745372</c:v>
                </c:pt>
                <c:pt idx="6">
                  <c:v>43959.643229745372</c:v>
                </c:pt>
                <c:pt idx="7">
                  <c:v>43962.643229745372</c:v>
                </c:pt>
                <c:pt idx="8">
                  <c:v>43965.643229745372</c:v>
                </c:pt>
                <c:pt idx="9">
                  <c:v>43968.643229745372</c:v>
                </c:pt>
                <c:pt idx="10">
                  <c:v>43971.643229745372</c:v>
                </c:pt>
                <c:pt idx="11">
                  <c:v>43974.643229745372</c:v>
                </c:pt>
                <c:pt idx="12">
                  <c:v>43977.643229745372</c:v>
                </c:pt>
                <c:pt idx="13">
                  <c:v>43980.643229745372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43941.643229745372</c:v>
                </c:pt>
                <c:pt idx="1">
                  <c:v>43944.643229745372</c:v>
                </c:pt>
                <c:pt idx="2">
                  <c:v>43947.643229745372</c:v>
                </c:pt>
                <c:pt idx="3">
                  <c:v>43950.643229745372</c:v>
                </c:pt>
                <c:pt idx="4">
                  <c:v>43953.643229745372</c:v>
                </c:pt>
                <c:pt idx="5">
                  <c:v>43956.643229745372</c:v>
                </c:pt>
                <c:pt idx="6">
                  <c:v>43959.643229745372</c:v>
                </c:pt>
                <c:pt idx="7">
                  <c:v>43962.643229745372</c:v>
                </c:pt>
                <c:pt idx="8">
                  <c:v>43965.643229745372</c:v>
                </c:pt>
                <c:pt idx="9">
                  <c:v>43968.643229745372</c:v>
                </c:pt>
                <c:pt idx="10">
                  <c:v>43971.643229745372</c:v>
                </c:pt>
                <c:pt idx="11">
                  <c:v>43974.643229745372</c:v>
                </c:pt>
                <c:pt idx="12">
                  <c:v>43977.643229745372</c:v>
                </c:pt>
                <c:pt idx="13">
                  <c:v>43980.643229745372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43941.643229745372</c:v>
                </c:pt>
                <c:pt idx="1">
                  <c:v>43944.643229745372</c:v>
                </c:pt>
                <c:pt idx="2">
                  <c:v>43947.643229745372</c:v>
                </c:pt>
                <c:pt idx="3">
                  <c:v>43950.643229745372</c:v>
                </c:pt>
                <c:pt idx="4">
                  <c:v>43953.643229745372</c:v>
                </c:pt>
                <c:pt idx="5">
                  <c:v>43956.643229745372</c:v>
                </c:pt>
                <c:pt idx="6">
                  <c:v>43959.643229745372</c:v>
                </c:pt>
                <c:pt idx="7">
                  <c:v>43962.643229745372</c:v>
                </c:pt>
                <c:pt idx="8">
                  <c:v>43965.643229745372</c:v>
                </c:pt>
                <c:pt idx="9">
                  <c:v>43968.643229745372</c:v>
                </c:pt>
                <c:pt idx="10">
                  <c:v>43971.643229745372</c:v>
                </c:pt>
                <c:pt idx="11">
                  <c:v>43974.643229745372</c:v>
                </c:pt>
                <c:pt idx="12">
                  <c:v>43977.643229745372</c:v>
                </c:pt>
                <c:pt idx="13">
                  <c:v>43980.643229745372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59.183673469387756</c:v>
                </c:pt>
                <c:pt idx="1">
                  <c:v>118.36734693877551</c:v>
                </c:pt>
                <c:pt idx="2">
                  <c:v>236.73469387755102</c:v>
                </c:pt>
                <c:pt idx="3">
                  <c:v>473.46938775510205</c:v>
                </c:pt>
                <c:pt idx="4">
                  <c:v>946.9387755102041</c:v>
                </c:pt>
                <c:pt idx="5">
                  <c:v>1893.8775510204082</c:v>
                </c:pt>
                <c:pt idx="6">
                  <c:v>3787.7551020408164</c:v>
                </c:pt>
                <c:pt idx="7">
                  <c:v>7575.5102040816328</c:v>
                </c:pt>
                <c:pt idx="8">
                  <c:v>15151.020408163266</c:v>
                </c:pt>
                <c:pt idx="9">
                  <c:v>30302.040816326531</c:v>
                </c:pt>
                <c:pt idx="10">
                  <c:v>60604.081632653062</c:v>
                </c:pt>
                <c:pt idx="11">
                  <c:v>121208.16326530612</c:v>
                </c:pt>
                <c:pt idx="12">
                  <c:v>242416.32653061225</c:v>
                </c:pt>
                <c:pt idx="13">
                  <c:v>484832.6530612245</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43941.643229745372</c:v>
                </c:pt>
                <c:pt idx="1">
                  <c:v>43944.643229745372</c:v>
                </c:pt>
                <c:pt idx="2">
                  <c:v>43947.643229745372</c:v>
                </c:pt>
                <c:pt idx="3">
                  <c:v>43950.643229745372</c:v>
                </c:pt>
                <c:pt idx="4">
                  <c:v>43953.643229745372</c:v>
                </c:pt>
                <c:pt idx="5">
                  <c:v>43956.643229745372</c:v>
                </c:pt>
                <c:pt idx="6">
                  <c:v>43959.643229745372</c:v>
                </c:pt>
                <c:pt idx="7">
                  <c:v>43962.643229745372</c:v>
                </c:pt>
                <c:pt idx="8">
                  <c:v>43965.643229745372</c:v>
                </c:pt>
                <c:pt idx="9">
                  <c:v>43968.643229745372</c:v>
                </c:pt>
                <c:pt idx="10">
                  <c:v>43971.643229745372</c:v>
                </c:pt>
                <c:pt idx="11">
                  <c:v>43974.643229745372</c:v>
                </c:pt>
                <c:pt idx="12">
                  <c:v>43977.643229745372</c:v>
                </c:pt>
                <c:pt idx="13">
                  <c:v>43980.643229745372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30.612244897959187</c:v>
                </c:pt>
                <c:pt idx="1">
                  <c:v>61.224489795918373</c:v>
                </c:pt>
                <c:pt idx="2">
                  <c:v>122.44897959183675</c:v>
                </c:pt>
                <c:pt idx="3">
                  <c:v>244.89795918367349</c:v>
                </c:pt>
                <c:pt idx="4">
                  <c:v>489.79591836734699</c:v>
                </c:pt>
                <c:pt idx="5">
                  <c:v>979.59183673469397</c:v>
                </c:pt>
                <c:pt idx="6">
                  <c:v>1959.1836734693879</c:v>
                </c:pt>
                <c:pt idx="7">
                  <c:v>3918.3673469387759</c:v>
                </c:pt>
                <c:pt idx="8">
                  <c:v>7836.7346938775518</c:v>
                </c:pt>
                <c:pt idx="9">
                  <c:v>15673.469387755104</c:v>
                </c:pt>
                <c:pt idx="10">
                  <c:v>31346.938775510207</c:v>
                </c:pt>
                <c:pt idx="11">
                  <c:v>62693.877551020414</c:v>
                </c:pt>
                <c:pt idx="12">
                  <c:v>125387.75510204083</c:v>
                </c:pt>
                <c:pt idx="13">
                  <c:v>250775.51020408166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43941.643229745372</c:v>
                </c:pt>
                <c:pt idx="1">
                  <c:v>43944.643229745372</c:v>
                </c:pt>
                <c:pt idx="2">
                  <c:v>43947.643229745372</c:v>
                </c:pt>
                <c:pt idx="3">
                  <c:v>43950.643229745372</c:v>
                </c:pt>
                <c:pt idx="4">
                  <c:v>43953.643229745372</c:v>
                </c:pt>
                <c:pt idx="5">
                  <c:v>43956.643229745372</c:v>
                </c:pt>
                <c:pt idx="6">
                  <c:v>43959.643229745372</c:v>
                </c:pt>
                <c:pt idx="7">
                  <c:v>43962.643229745372</c:v>
                </c:pt>
                <c:pt idx="8">
                  <c:v>43965.643229745372</c:v>
                </c:pt>
                <c:pt idx="9">
                  <c:v>43968.643229745372</c:v>
                </c:pt>
                <c:pt idx="10">
                  <c:v>43971.643229745372</c:v>
                </c:pt>
                <c:pt idx="11">
                  <c:v>43974.643229745372</c:v>
                </c:pt>
                <c:pt idx="12">
                  <c:v>43977.643229745372</c:v>
                </c:pt>
                <c:pt idx="13">
                  <c:v>43980.643229745372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43941.643229745372</c:v>
                </c:pt>
                <c:pt idx="1">
                  <c:v>43944.643229745372</c:v>
                </c:pt>
                <c:pt idx="2">
                  <c:v>43947.643229745372</c:v>
                </c:pt>
                <c:pt idx="3">
                  <c:v>43950.643229745372</c:v>
                </c:pt>
                <c:pt idx="4">
                  <c:v>43953.643229745372</c:v>
                </c:pt>
                <c:pt idx="5">
                  <c:v>43956.643229745372</c:v>
                </c:pt>
                <c:pt idx="6">
                  <c:v>43959.643229745372</c:v>
                </c:pt>
                <c:pt idx="7">
                  <c:v>43962.643229745372</c:v>
                </c:pt>
                <c:pt idx="8">
                  <c:v>43965.643229745372</c:v>
                </c:pt>
                <c:pt idx="9">
                  <c:v>43968.643229745372</c:v>
                </c:pt>
                <c:pt idx="10">
                  <c:v>43971.643229745372</c:v>
                </c:pt>
                <c:pt idx="11">
                  <c:v>43974.643229745372</c:v>
                </c:pt>
                <c:pt idx="12">
                  <c:v>43977.643229745372</c:v>
                </c:pt>
                <c:pt idx="13">
                  <c:v>43980.643229745372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43941.643229745372</c:v>
                </c:pt>
                <c:pt idx="1">
                  <c:v>43944.643229745372</c:v>
                </c:pt>
                <c:pt idx="2">
                  <c:v>43947.643229745372</c:v>
                </c:pt>
                <c:pt idx="3">
                  <c:v>43950.643229745372</c:v>
                </c:pt>
                <c:pt idx="4">
                  <c:v>43953.643229745372</c:v>
                </c:pt>
                <c:pt idx="5">
                  <c:v>43956.643229745372</c:v>
                </c:pt>
                <c:pt idx="6">
                  <c:v>43959.643229745372</c:v>
                </c:pt>
                <c:pt idx="7">
                  <c:v>43962.643229745372</c:v>
                </c:pt>
                <c:pt idx="8">
                  <c:v>43965.643229745372</c:v>
                </c:pt>
                <c:pt idx="9">
                  <c:v>43968.643229745372</c:v>
                </c:pt>
                <c:pt idx="10">
                  <c:v>43971.643229745372</c:v>
                </c:pt>
                <c:pt idx="11">
                  <c:v>43974.643229745372</c:v>
                </c:pt>
                <c:pt idx="12">
                  <c:v>43977.643229745372</c:v>
                </c:pt>
                <c:pt idx="13">
                  <c:v>43980.643229745372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43941.643229745372</c:v>
                </c:pt>
                <c:pt idx="1">
                  <c:v>43944.643229745372</c:v>
                </c:pt>
                <c:pt idx="2">
                  <c:v>43947.643229745372</c:v>
                </c:pt>
                <c:pt idx="3">
                  <c:v>43950.643229745372</c:v>
                </c:pt>
                <c:pt idx="4">
                  <c:v>43953.643229745372</c:v>
                </c:pt>
                <c:pt idx="5">
                  <c:v>43956.643229745372</c:v>
                </c:pt>
                <c:pt idx="6">
                  <c:v>43959.643229745372</c:v>
                </c:pt>
                <c:pt idx="7">
                  <c:v>43962.643229745372</c:v>
                </c:pt>
                <c:pt idx="8">
                  <c:v>43965.643229745372</c:v>
                </c:pt>
                <c:pt idx="9">
                  <c:v>43968.643229745372</c:v>
                </c:pt>
                <c:pt idx="10">
                  <c:v>43971.643229745372</c:v>
                </c:pt>
                <c:pt idx="11">
                  <c:v>43974.643229745372</c:v>
                </c:pt>
                <c:pt idx="12">
                  <c:v>43977.643229745372</c:v>
                </c:pt>
                <c:pt idx="13">
                  <c:v>43980.643229745372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43941.643229745372</c:v>
                </c:pt>
                <c:pt idx="1">
                  <c:v>43944.643229745372</c:v>
                </c:pt>
                <c:pt idx="2">
                  <c:v>43947.643229745372</c:v>
                </c:pt>
                <c:pt idx="3">
                  <c:v>43950.643229745372</c:v>
                </c:pt>
                <c:pt idx="4">
                  <c:v>43953.643229745372</c:v>
                </c:pt>
                <c:pt idx="5">
                  <c:v>43956.643229745372</c:v>
                </c:pt>
                <c:pt idx="6">
                  <c:v>43959.643229745372</c:v>
                </c:pt>
                <c:pt idx="7">
                  <c:v>43962.643229745372</c:v>
                </c:pt>
                <c:pt idx="8">
                  <c:v>43965.643229745372</c:v>
                </c:pt>
                <c:pt idx="9">
                  <c:v>43968.643229745372</c:v>
                </c:pt>
                <c:pt idx="10">
                  <c:v>43971.643229745372</c:v>
                </c:pt>
                <c:pt idx="11">
                  <c:v>43974.643229745372</c:v>
                </c:pt>
                <c:pt idx="12">
                  <c:v>43977.643229745372</c:v>
                </c:pt>
                <c:pt idx="13">
                  <c:v>43980.643229745372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Projections!$A$33</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Projections!$L$33:$AL$33</c15:sqref>
                  </c15:fullRef>
                </c:ext>
              </c:extLst>
              <c:f>Projections!$L$33:$AG$33</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42137.415728049069</c:v>
                </c:pt>
                <c:pt idx="14">
                  <c:v>83775.652124757922</c:v>
                </c:pt>
                <c:pt idx="15">
                  <c:v>163384.40422015599</c:v>
                </c:pt>
                <c:pt idx="16">
                  <c:v>320336.15013261209</c:v>
                </c:pt>
                <c:pt idx="17">
                  <c:v>630443.24926000752</c:v>
                </c:pt>
                <c:pt idx="18">
                  <c:v>1244232.923073899</c:v>
                </c:pt>
                <c:pt idx="19">
                  <c:v>2460828.0462744394</c:v>
                </c:pt>
                <c:pt idx="20">
                  <c:v>4875053.9601374241</c:v>
                </c:pt>
                <c:pt idx="21">
                  <c:v>9670468.0593217257</c:v>
                </c:pt>
              </c:numCache>
            </c:numRef>
          </c:val>
          <c:smooth val="0"/>
          <c:extLst>
            <c:ext xmlns:c16="http://schemas.microsoft.com/office/drawing/2014/chart" uri="{C3380CC4-5D6E-409C-BE32-E72D297353CC}">
              <c16:uniqueId val="{00000003-5231-4BE2-97ED-54F0C3DB105C}"/>
            </c:ext>
          </c:extLst>
        </c:ser>
        <c:ser>
          <c:idx val="2"/>
          <c:order val="1"/>
          <c:tx>
            <c:strRef>
              <c:f>Projections!$A$34</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Projections!$L$34:$AL$34</c15:sqref>
                  </c15:fullRef>
                </c:ext>
              </c:extLst>
              <c:f>Projections!$L$34:$AG$34</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28370.954103857839</c:v>
                </c:pt>
                <c:pt idx="14">
                  <c:v>59674.384286196801</c:v>
                </c:pt>
                <c:pt idx="15">
                  <c:v>114416.42944885735</c:v>
                </c:pt>
                <c:pt idx="16">
                  <c:v>231206.55578417089</c:v>
                </c:pt>
                <c:pt idx="17">
                  <c:v>458278.98712400655</c:v>
                </c:pt>
                <c:pt idx="18">
                  <c:v>912177.1721235119</c:v>
                </c:pt>
                <c:pt idx="19">
                  <c:v>1816129.3637683322</c:v>
                </c:pt>
                <c:pt idx="20">
                  <c:v>3617135.6474213023</c:v>
                </c:pt>
                <c:pt idx="21">
                  <c:v>7206709.3112805709</c:v>
                </c:pt>
              </c:numCache>
            </c:numRef>
          </c:val>
          <c:smooth val="0"/>
          <c:extLst>
            <c:ext xmlns:c16="http://schemas.microsoft.com/office/drawing/2014/chart" uri="{C3380CC4-5D6E-409C-BE32-E72D297353CC}">
              <c16:uniqueId val="{00000002-9381-4A4E-BB43-DCD8EC2F4E00}"/>
            </c:ext>
          </c:extLst>
        </c:ser>
        <c:ser>
          <c:idx val="0"/>
          <c:order val="2"/>
          <c:tx>
            <c:strRef>
              <c:f>Projections!$A$35</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Projections!$L$35:$AL$35</c15:sqref>
                  </c15:fullRef>
                </c:ext>
              </c:extLst>
              <c:f>Projections!$L$35:$AG$35</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11256.180833326916</c:v>
                </c:pt>
                <c:pt idx="14">
                  <c:v>18918.039334017998</c:v>
                </c:pt>
                <c:pt idx="15">
                  <c:v>36452.700254129806</c:v>
                </c:pt>
                <c:pt idx="16">
                  <c:v>69324.264739547973</c:v>
                </c:pt>
                <c:pt idx="17">
                  <c:v>133243.48478417165</c:v>
                </c:pt>
                <c:pt idx="18">
                  <c:v>258045.3756086721</c:v>
                </c:pt>
                <c:pt idx="19">
                  <c:v>502547.90302361763</c:v>
                </c:pt>
                <c:pt idx="20">
                  <c:v>982893.87227280345</c:v>
                </c:pt>
                <c:pt idx="21">
                  <c:v>1928736.7269399972</c:v>
                </c:pt>
              </c:numCache>
            </c:numRef>
          </c:val>
          <c:smooth val="0"/>
          <c:extLst>
            <c:ext xmlns:c16="http://schemas.microsoft.com/office/drawing/2014/chart" uri="{C3380CC4-5D6E-409C-BE32-E72D297353CC}">
              <c16:uniqueId val="{00000000-9381-4A4E-BB43-DCD8EC2F4E00}"/>
            </c:ext>
          </c:extLst>
        </c:ser>
        <c:ser>
          <c:idx val="4"/>
          <c:order val="3"/>
          <c:tx>
            <c:strRef>
              <c:f>Projections!$A$36</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Projections!$L$36:$AL$36</c15:sqref>
                  </c15:fullRef>
                </c:ext>
              </c:extLst>
              <c:f>Projections!$L$36:$AG$36</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9534.2016666602503</c:v>
                </c:pt>
                <c:pt idx="14">
                  <c:v>14986.402103946342</c:v>
                </c:pt>
                <c:pt idx="15">
                  <c:v>29220.160301908527</c:v>
                </c:pt>
                <c:pt idx="16">
                  <c:v>54580.179486405956</c:v>
                </c:pt>
                <c:pt idx="17">
                  <c:v>103903.46608767209</c:v>
                </c:pt>
                <c:pt idx="18">
                  <c:v>199598.21020663422</c:v>
                </c:pt>
                <c:pt idx="19">
                  <c:v>386029.24897182453</c:v>
                </c:pt>
                <c:pt idx="20">
                  <c:v>750475.42585555464</c:v>
                </c:pt>
                <c:pt idx="21">
                  <c:v>1464936.98123152</c:v>
                </c:pt>
              </c:numCache>
            </c:numRef>
          </c:val>
          <c:smooth val="0"/>
          <c:extLst>
            <c:ext xmlns:c16="http://schemas.microsoft.com/office/drawing/2014/chart" uri="{C3380CC4-5D6E-409C-BE32-E72D297353CC}">
              <c16:uniqueId val="{00000003-9381-4A4E-BB43-DCD8EC2F4E00}"/>
            </c:ext>
          </c:extLst>
        </c:ser>
        <c:ser>
          <c:idx val="1"/>
          <c:order val="4"/>
          <c:tx>
            <c:strRef>
              <c:f>Projections!$A$37</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Projections!$L$37:$AL$37</c15:sqref>
                  </c15:fullRef>
                </c:ext>
              </c:extLst>
              <c:f>Projections!$L$37:$AG$37</c:f>
              <c:numCache>
                <c:formatCode>#,##0_ ;[Red]\-#,##0\ </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Projections!$A$55</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Projections!$L$55:$AL$55</c15:sqref>
                  </c15:fullRef>
                </c:ext>
              </c:extLst>
              <c:f>Projections!$L$55:$AG$55</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Projections!$A$57</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Projections!$L$57:$AL$57</c15:sqref>
                  </c15:fullRef>
                </c:ext>
              </c:extLst>
              <c:f>Projections!$L$57:$AG$57</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Projections!$A$59</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Projections!$L$59:$AL$59</c15:sqref>
                  </c15:fullRef>
                </c:ext>
              </c:extLst>
              <c:f>Projections!$L$59:$AG$59</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Projections!$A$61</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Projections!$L$61:$AL$61</c15:sqref>
                  </c15:fullRef>
                </c:ext>
              </c:extLst>
              <c:f>Projections!$L$61:$AG$61</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Projections!$A$63</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Projections!$L$63:$AL$63</c15:sqref>
                  </c15:fullRef>
                </c:ext>
              </c:extLst>
              <c:f>Projections!$L$63:$AG$63</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Projections!$A$65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Projections!$L$65:$AL$65</c15:sqref>
                  </c15:fullRef>
                </c:ext>
              </c:extLst>
              <c:f>Projections!$L$65:$AG$65</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Projections!$A$67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Projections!$L$67:$AL$67</c15:sqref>
                  </c15:fullRef>
                </c:ext>
              </c:extLst>
              <c:f>Projections!$L$67:$AG$67</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Projections!$A$69</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Projections!$L$69:$AL$69</c15:sqref>
                  </c15:fullRef>
                </c:ext>
              </c:extLst>
              <c:f>Projections!$L$69:$AG$69</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Projections!$A$71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Projections!$L$71:$AL$71</c15:sqref>
                  </c15:fullRef>
                </c:ext>
              </c:extLst>
              <c:f>Projections!$L$71:$AG$71</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Projections!$A$55</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Projections!$L$56:$AL$56</c15:sqref>
                  </c15:fullRef>
                </c:ext>
              </c:extLst>
              <c:f>Projections!$L$56:$AG$56</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Projections!$A$57</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Projections!$L$58:$AL$58</c15:sqref>
                  </c15:fullRef>
                </c:ext>
              </c:extLst>
              <c:f>Projections!$L$58:$AG$58</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Projections!$A$59</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Projections!$L$60:$AL$60</c15:sqref>
                  </c15:fullRef>
                </c:ext>
              </c:extLst>
              <c:f>Projections!$L$60:$AG$60</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Projections!$A$61</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Projections!$L$62:$AL$62</c15:sqref>
                  </c15:fullRef>
                </c:ext>
              </c:extLst>
              <c:f>Projections!$L$62:$AG$62</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Projections!$A$63</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Projections!$L$64:$AL$64</c15:sqref>
                  </c15:fullRef>
                </c:ext>
              </c:extLst>
              <c:f>Projections!$L$64:$AG$64</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Projections!$A$65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Projections!$L$66:$AL$66</c15:sqref>
                  </c15:fullRef>
                </c:ext>
              </c:extLst>
              <c:f>Projections!$L$66:$AG$66</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Projections!$A$67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Projections!$L$68:$AL$68</c15:sqref>
                  </c15:fullRef>
                </c:ext>
              </c:extLst>
              <c:f>Projections!$L$68:$AG$68</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Projections!$A$69</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Projections!$L$70:$AL$70</c15:sqref>
                  </c15:fullRef>
                </c:ext>
              </c:extLst>
              <c:f>Projections!$L$70:$AG$70</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Projections!$A$71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Projections!$L$72:$AL$72</c15:sqref>
                  </c15:fullRef>
                </c:ext>
              </c:extLst>
              <c:f>Projections!$L$72:$AG$72</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Projections!$L$84:$AL$84</c15:sqref>
                  </c15:fullRef>
                </c:ext>
              </c:extLst>
              <c:f>Projections!$L$84:$AG$84</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Projections!$A$82</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Projections!$L$82:$AL$82</c15:sqref>
                  </c15:fullRef>
                </c:ext>
              </c:extLst>
              <c:f>Projections!$L$82:$AG$82</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Projections!$A$88</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Projections!$L$88:$AL$88</c15:sqref>
                  </c15:fullRef>
                </c:ext>
              </c:extLst>
              <c:f>Projections!$L$88:$AG$88</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Projections!$A$78</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Projections!$L$78:$AL$78</c15:sqref>
                  </c15:fullRef>
                </c:ext>
              </c:extLst>
              <c:f>Projections!$L$78:$AG$78</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Projections!$A$80</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Projections!$L$80:$AL$80</c15:sqref>
                  </c15:fullRef>
                </c:ext>
              </c:extLst>
              <c:f>Projections!$L$80:$AG$80</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Projections!$A$86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Projections!$L$86:$AL$86</c15:sqref>
                  </c15:fullRef>
                </c:ext>
              </c:extLst>
              <c:f>Projections!$L$86:$AG$86</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Projections!$L$85:$AL$85</c15:sqref>
                  </c15:fullRef>
                </c:ext>
              </c:extLst>
              <c:f>Projections!$L$85:$AG$85</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Projections!$A$82</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Projections!$L$83:$AL$83</c15:sqref>
                  </c15:fullRef>
                </c:ext>
              </c:extLst>
              <c:f>Projections!$L$83:$AG$83</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Projections!$A$78</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Projections!$L$79:$AL$79</c15:sqref>
                  </c15:fullRef>
                </c:ext>
              </c:extLst>
              <c:f>Projections!$L$79:$AG$79</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Projections!$A$80</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Projections!$L$81:$AL$81</c15:sqref>
                  </c15:fullRef>
                </c:ext>
              </c:extLst>
              <c:f>Projections!$L$81:$AG$81</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Projections!$A$86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43985</c:v>
                </c:pt>
                <c:pt idx="14">
                  <c:v>43997</c:v>
                </c:pt>
                <c:pt idx="15">
                  <c:v>44009</c:v>
                </c:pt>
                <c:pt idx="16">
                  <c:v>44021</c:v>
                </c:pt>
                <c:pt idx="17">
                  <c:v>44033</c:v>
                </c:pt>
                <c:pt idx="18">
                  <c:v>44045</c:v>
                </c:pt>
                <c:pt idx="19">
                  <c:v>44057</c:v>
                </c:pt>
                <c:pt idx="20">
                  <c:v>44069</c:v>
                </c:pt>
                <c:pt idx="21">
                  <c:v>44081</c:v>
                </c:pt>
              </c:numCache>
            </c:numRef>
          </c:cat>
          <c:val>
            <c:numRef>
              <c:extLst>
                <c:ext xmlns:c15="http://schemas.microsoft.com/office/drawing/2012/chart" uri="{02D57815-91ED-43cb-92C2-25804820EDAC}">
                  <c15:fullRef>
                    <c15:sqref>Projections!$L$87:$AL$87</c15:sqref>
                  </c15:fullRef>
                </c:ext>
              </c:extLst>
              <c:f>Projections!$L$87:$AG$87</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40</xdr:col>
      <xdr:colOff>9526</xdr:colOff>
      <xdr:row>8</xdr:row>
      <xdr:rowOff>180975</xdr:rowOff>
    </xdr:from>
    <xdr:to>
      <xdr:col>51</xdr:col>
      <xdr:colOff>600075</xdr:colOff>
      <xdr:row>36</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736455</xdr:colOff>
      <xdr:row>81</xdr:row>
      <xdr:rowOff>5814</xdr:rowOff>
    </xdr:from>
    <xdr:to>
      <xdr:col>52</xdr:col>
      <xdr:colOff>19050</xdr:colOff>
      <xdr:row>104</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3031</xdr:colOff>
      <xdr:row>105</xdr:row>
      <xdr:rowOff>10576</xdr:rowOff>
    </xdr:from>
    <xdr:to>
      <xdr:col>52</xdr:col>
      <xdr:colOff>28575</xdr:colOff>
      <xdr:row>121</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741217</xdr:colOff>
      <xdr:row>122</xdr:row>
      <xdr:rowOff>182025</xdr:rowOff>
    </xdr:from>
    <xdr:to>
      <xdr:col>52</xdr:col>
      <xdr:colOff>38099</xdr:colOff>
      <xdr:row>138</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741219</xdr:colOff>
      <xdr:row>140</xdr:row>
      <xdr:rowOff>10575</xdr:rowOff>
    </xdr:from>
    <xdr:to>
      <xdr:col>52</xdr:col>
      <xdr:colOff>19050</xdr:colOff>
      <xdr:row>159</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738187</xdr:colOff>
      <xdr:row>43</xdr:row>
      <xdr:rowOff>4762</xdr:rowOff>
    </xdr:from>
    <xdr:to>
      <xdr:col>52</xdr:col>
      <xdr:colOff>19050</xdr:colOff>
      <xdr:row>63</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740228</xdr:colOff>
      <xdr:row>64</xdr:row>
      <xdr:rowOff>2721</xdr:rowOff>
    </xdr:from>
    <xdr:to>
      <xdr:col>51</xdr:col>
      <xdr:colOff>590550</xdr:colOff>
      <xdr:row>79</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53</xdr:col>
      <xdr:colOff>1</xdr:colOff>
      <xdr:row>8</xdr:row>
      <xdr:rowOff>180975</xdr:rowOff>
    </xdr:from>
    <xdr:to>
      <xdr:col>65</xdr:col>
      <xdr:colOff>161925</xdr:colOff>
      <xdr:row>36</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607867</xdr:colOff>
      <xdr:row>80</xdr:row>
      <xdr:rowOff>177264</xdr:rowOff>
    </xdr:from>
    <xdr:to>
      <xdr:col>65</xdr:col>
      <xdr:colOff>209550</xdr:colOff>
      <xdr:row>103</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598343</xdr:colOff>
      <xdr:row>105</xdr:row>
      <xdr:rowOff>1051</xdr:rowOff>
    </xdr:from>
    <xdr:to>
      <xdr:col>65</xdr:col>
      <xdr:colOff>200025</xdr:colOff>
      <xdr:row>121</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53</xdr:col>
      <xdr:colOff>3029</xdr:colOff>
      <xdr:row>122</xdr:row>
      <xdr:rowOff>182025</xdr:rowOff>
    </xdr:from>
    <xdr:to>
      <xdr:col>65</xdr:col>
      <xdr:colOff>219074</xdr:colOff>
      <xdr:row>138</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53</xdr:col>
      <xdr:colOff>22081</xdr:colOff>
      <xdr:row>140</xdr:row>
      <xdr:rowOff>10575</xdr:rowOff>
    </xdr:from>
    <xdr:to>
      <xdr:col>65</xdr:col>
      <xdr:colOff>228600</xdr:colOff>
      <xdr:row>159</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52</xdr:col>
      <xdr:colOff>600074</xdr:colOff>
      <xdr:row>43</xdr:row>
      <xdr:rowOff>14287</xdr:rowOff>
    </xdr:from>
    <xdr:to>
      <xdr:col>65</xdr:col>
      <xdr:colOff>200025</xdr:colOff>
      <xdr:row>63</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52</xdr:col>
      <xdr:colOff>606878</xdr:colOff>
      <xdr:row>64</xdr:row>
      <xdr:rowOff>2721</xdr:rowOff>
    </xdr:from>
    <xdr:to>
      <xdr:col>65</xdr:col>
      <xdr:colOff>161925</xdr:colOff>
      <xdr:row>79</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/Projections!B11</f>
        <v>59.183673469387756</v>
      </c>
      <c r="C17" s="97"/>
      <c r="D17" s="98"/>
      <c r="E17" s="92">
        <f>B17*2</f>
        <v>118.36734693877551</v>
      </c>
      <c r="F17" s="97"/>
      <c r="G17" s="92"/>
      <c r="H17" s="92">
        <f>E17*2</f>
        <v>236.73469387755102</v>
      </c>
      <c r="I17" s="97"/>
      <c r="J17" s="98"/>
      <c r="K17" s="89">
        <f>H17*2</f>
        <v>473.46938775510205</v>
      </c>
      <c r="L17" s="87"/>
      <c r="M17" s="88"/>
      <c r="N17" s="89">
        <f>K17*2</f>
        <v>946.9387755102041</v>
      </c>
      <c r="O17" s="87"/>
      <c r="P17" s="88"/>
      <c r="Q17" s="89">
        <f>N17*2</f>
        <v>1893.8775510204082</v>
      </c>
      <c r="R17" s="87"/>
      <c r="S17" s="88"/>
      <c r="T17" s="89">
        <f>Q17*2</f>
        <v>3787.7551020408164</v>
      </c>
      <c r="U17" s="87"/>
      <c r="V17" s="88"/>
      <c r="W17" s="89">
        <f>T17*2</f>
        <v>7575.5102040816328</v>
      </c>
      <c r="X17" s="87"/>
      <c r="Y17" s="88"/>
      <c r="Z17" s="89">
        <f>W17*2</f>
        <v>15151.020408163266</v>
      </c>
      <c r="AA17" s="87"/>
      <c r="AB17" s="88"/>
      <c r="AC17" s="89">
        <f>Z17*2</f>
        <v>30302.040816326531</v>
      </c>
      <c r="AD17" s="87"/>
      <c r="AE17" s="88"/>
      <c r="AF17" s="89">
        <f>AC17*2</f>
        <v>60604.081632653062</v>
      </c>
      <c r="AG17" s="87"/>
      <c r="AH17" s="88"/>
      <c r="AI17" s="89">
        <f>AF17*2</f>
        <v>121208.16326530612</v>
      </c>
      <c r="AJ17" s="87"/>
      <c r="AK17" s="88"/>
      <c r="AL17" s="89">
        <f>AI17*2</f>
        <v>242416.32653061225</v>
      </c>
      <c r="AM17" s="87"/>
      <c r="AN17" s="88"/>
      <c r="AO17" s="89">
        <f>AL17*2</f>
        <v>484832.6530612245</v>
      </c>
      <c r="AP17" s="92"/>
      <c r="AQ17" t="s">
        <v>91</v>
      </c>
    </row>
    <row r="18" spans="1:43" s="66" customFormat="1" x14ac:dyDescent="0.25">
      <c r="A18" t="s">
        <v>165</v>
      </c>
      <c r="B18" s="82">
        <f>B17*$E$34</f>
        <v>30.612244897959187</v>
      </c>
      <c r="C18" s="99"/>
      <c r="D18" s="99"/>
      <c r="E18" s="99">
        <f>E17*$E$34</f>
        <v>61.224489795918373</v>
      </c>
      <c r="F18" s="99"/>
      <c r="G18" s="33"/>
      <c r="H18" s="99">
        <f>H17*$E$34</f>
        <v>122.44897959183675</v>
      </c>
      <c r="I18" s="99"/>
      <c r="J18" s="99"/>
      <c r="K18" s="99">
        <f>K17*$E$34</f>
        <v>244.89795918367349</v>
      </c>
      <c r="L18" s="99"/>
      <c r="M18" s="99"/>
      <c r="N18" s="99">
        <f>N17*$E$34</f>
        <v>489.79591836734699</v>
      </c>
      <c r="O18" s="99"/>
      <c r="P18" s="99"/>
      <c r="Q18" s="99">
        <f>Q17*$E$34</f>
        <v>979.59183673469397</v>
      </c>
      <c r="R18" s="99"/>
      <c r="S18" s="99"/>
      <c r="T18" s="99">
        <f>T17*$E$34</f>
        <v>1959.1836734693879</v>
      </c>
      <c r="U18" s="99"/>
      <c r="V18" s="99"/>
      <c r="W18" s="99">
        <f>W17*$E$34</f>
        <v>3918.3673469387759</v>
      </c>
      <c r="X18" s="99"/>
      <c r="Y18" s="99"/>
      <c r="Z18" s="99">
        <f>Z17*$E$34</f>
        <v>7836.7346938775518</v>
      </c>
      <c r="AA18" s="99"/>
      <c r="AB18" s="99"/>
      <c r="AC18" s="99">
        <f>AC17*$E$34</f>
        <v>15673.469387755104</v>
      </c>
      <c r="AD18" s="99"/>
      <c r="AE18" s="99"/>
      <c r="AF18" s="99">
        <f>AF17*$E$34</f>
        <v>31346.938775510207</v>
      </c>
      <c r="AG18" s="99"/>
      <c r="AH18" s="99"/>
      <c r="AI18" s="99">
        <f>AI17*$E$34</f>
        <v>62693.877551020414</v>
      </c>
      <c r="AJ18" s="99"/>
      <c r="AK18" s="99"/>
      <c r="AL18" s="99">
        <f>AL17*$E$34</f>
        <v>125387.75510204083</v>
      </c>
      <c r="AM18" s="99"/>
      <c r="AN18" s="99"/>
      <c r="AO18" s="99">
        <f>AO17*$E$34</f>
        <v>250775.51020408166</v>
      </c>
      <c r="AP18" s="33"/>
      <c r="AQ18" t="s">
        <v>165</v>
      </c>
    </row>
    <row r="19" spans="1:43" s="66" customFormat="1" x14ac:dyDescent="0.25">
      <c r="A19" t="s">
        <v>167</v>
      </c>
      <c r="B19" s="80">
        <f>B18</f>
        <v>30.612244897959187</v>
      </c>
      <c r="C19" s="81"/>
      <c r="D19" s="81"/>
      <c r="E19" s="81">
        <f>E18</f>
        <v>61.224489795918373</v>
      </c>
      <c r="F19" s="81"/>
      <c r="G19" s="34"/>
      <c r="H19" s="81">
        <f>H18</f>
        <v>122.44897959183675</v>
      </c>
      <c r="I19" s="81"/>
      <c r="J19" s="81"/>
      <c r="K19" s="81">
        <f>K18</f>
        <v>244.89795918367349</v>
      </c>
      <c r="L19" s="81"/>
      <c r="M19" s="81"/>
      <c r="N19" s="81">
        <f>N18</f>
        <v>489.79591836734699</v>
      </c>
      <c r="O19" s="81"/>
      <c r="P19" s="81"/>
      <c r="Q19" s="81">
        <f>Q18</f>
        <v>979.59183673469397</v>
      </c>
      <c r="R19" s="81"/>
      <c r="S19" s="81"/>
      <c r="T19" s="81">
        <f>T18</f>
        <v>1959.1836734693879</v>
      </c>
      <c r="U19" s="81"/>
      <c r="V19" s="81"/>
      <c r="W19" s="115">
        <f>W18-B18</f>
        <v>3887.7551020408168</v>
      </c>
      <c r="X19" s="115"/>
      <c r="Y19" s="115"/>
      <c r="Z19" s="115">
        <f>Z18-E18</f>
        <v>7775.5102040816337</v>
      </c>
      <c r="AA19" s="115"/>
      <c r="AB19" s="115"/>
      <c r="AC19" s="115">
        <f>AC18-H18</f>
        <v>15551.020408163267</v>
      </c>
      <c r="AD19" s="115"/>
      <c r="AE19" s="115"/>
      <c r="AF19" s="115">
        <f>AF18-K18</f>
        <v>31102.040816326535</v>
      </c>
      <c r="AG19" s="115"/>
      <c r="AH19" s="115"/>
      <c r="AI19" s="115">
        <f>AI18-N18</f>
        <v>62204.081632653069</v>
      </c>
      <c r="AJ19" s="115"/>
      <c r="AK19" s="115"/>
      <c r="AL19" s="115">
        <f>AL18-Q18</f>
        <v>124408.16326530614</v>
      </c>
      <c r="AM19" s="115"/>
      <c r="AN19" s="115"/>
      <c r="AO19" s="115">
        <f>AO18-T18</f>
        <v>248816.32653061228</v>
      </c>
      <c r="AP19" s="116"/>
      <c r="AQ19" t="s">
        <v>167</v>
      </c>
    </row>
    <row r="20" spans="1:43" s="66" customFormat="1" x14ac:dyDescent="0.25">
      <c r="A20" t="s">
        <v>92</v>
      </c>
      <c r="B20" s="82"/>
      <c r="C20" s="99"/>
      <c r="D20" s="99"/>
      <c r="E20" s="99"/>
      <c r="F20" s="99"/>
      <c r="G20" s="33"/>
      <c r="H20" s="100"/>
      <c r="I20" s="101"/>
      <c r="J20" s="102"/>
      <c r="K20" s="125">
        <f>B17*(1-$E$34)</f>
        <v>28.571428571428569</v>
      </c>
      <c r="L20" s="122"/>
      <c r="M20" s="123"/>
      <c r="N20" s="124">
        <f>E17*(1-$E$34)</f>
        <v>57.142857142857139</v>
      </c>
      <c r="O20" s="122"/>
      <c r="P20" s="123"/>
      <c r="Q20" s="124">
        <f>H17*(1-$E$34)</f>
        <v>114.28571428571428</v>
      </c>
      <c r="R20" s="122"/>
      <c r="S20" s="123"/>
      <c r="T20" s="124">
        <f>K17*(1-$E$34)</f>
        <v>228.57142857142856</v>
      </c>
      <c r="U20" s="122"/>
      <c r="V20" s="123"/>
      <c r="W20" s="124">
        <f>N17*(1-$E$34)</f>
        <v>457.14285714285711</v>
      </c>
      <c r="X20" s="122"/>
      <c r="Y20" s="123"/>
      <c r="Z20" s="124">
        <f>Q17*(1-$E$34)</f>
        <v>914.28571428571422</v>
      </c>
      <c r="AA20" s="122"/>
      <c r="AB20" s="123"/>
      <c r="AC20" s="124">
        <f>T17*(1-$E$34)</f>
        <v>1828.5714285714284</v>
      </c>
      <c r="AD20" s="122"/>
      <c r="AE20" s="123"/>
      <c r="AF20" s="124">
        <f>W17*(1-$E$34)</f>
        <v>3657.1428571428569</v>
      </c>
      <c r="AG20" s="122"/>
      <c r="AH20" s="123"/>
      <c r="AI20" s="124">
        <f>Z17*(1-$E$34)</f>
        <v>7314.2857142857138</v>
      </c>
      <c r="AJ20" s="122"/>
      <c r="AK20" s="123"/>
      <c r="AL20" s="124">
        <f>AC17*(1-$E$34)</f>
        <v>14628.571428571428</v>
      </c>
      <c r="AM20" s="122"/>
      <c r="AN20" s="123"/>
      <c r="AO20" s="124">
        <f>AF17*(1-$E$34)</f>
        <v>29257.142857142855</v>
      </c>
      <c r="AP20" s="73"/>
      <c r="AQ20" t="s">
        <v>92</v>
      </c>
    </row>
    <row r="21" spans="1:43" s="66" customFormat="1" x14ac:dyDescent="0.25">
      <c r="A21" s="66" t="s">
        <v>73</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43941.643229745372</v>
      </c>
      <c r="C26" s="84">
        <f t="shared" ca="1" si="0"/>
        <v>43942.643229745372</v>
      </c>
      <c r="D26" s="84">
        <f t="shared" ca="1" si="0"/>
        <v>43943.643229745372</v>
      </c>
      <c r="E26" s="84">
        <f t="shared" ca="1" si="0"/>
        <v>43944.643229745372</v>
      </c>
      <c r="F26" s="84">
        <f t="shared" ca="1" si="0"/>
        <v>43945.643229745372</v>
      </c>
      <c r="G26" s="85">
        <f t="shared" ca="1" si="0"/>
        <v>43946.643229745372</v>
      </c>
      <c r="H26" s="84">
        <f t="shared" ref="H26:U26" ca="1" si="1">I26-1</f>
        <v>43947.643229745372</v>
      </c>
      <c r="I26" s="84">
        <f t="shared" ca="1" si="1"/>
        <v>43948.643229745372</v>
      </c>
      <c r="J26" s="84">
        <f t="shared" ca="1" si="1"/>
        <v>43949.643229745372</v>
      </c>
      <c r="K26" s="84">
        <f t="shared" ca="1" si="1"/>
        <v>43950.643229745372</v>
      </c>
      <c r="L26" s="84">
        <f t="shared" ca="1" si="1"/>
        <v>43951.643229745372</v>
      </c>
      <c r="M26" s="84">
        <f t="shared" ca="1" si="1"/>
        <v>43952.643229745372</v>
      </c>
      <c r="N26" s="85">
        <f t="shared" ca="1" si="1"/>
        <v>43953.643229745372</v>
      </c>
      <c r="O26" s="83">
        <f t="shared" ca="1" si="1"/>
        <v>43954.643229745372</v>
      </c>
      <c r="P26" s="84">
        <f t="shared" ca="1" si="1"/>
        <v>43955.643229745372</v>
      </c>
      <c r="Q26" s="84">
        <f t="shared" ca="1" si="1"/>
        <v>43956.643229745372</v>
      </c>
      <c r="R26" s="84">
        <f t="shared" ca="1" si="1"/>
        <v>43957.643229745372</v>
      </c>
      <c r="S26" s="84">
        <f t="shared" ca="1" si="1"/>
        <v>43958.643229745372</v>
      </c>
      <c r="T26" s="84">
        <f t="shared" ca="1" si="1"/>
        <v>43959.643229745372</v>
      </c>
      <c r="U26" s="85">
        <f t="shared" ca="1" si="1"/>
        <v>43960.643229745372</v>
      </c>
      <c r="V26" s="83">
        <f t="shared" ref="V26:AN26" ca="1" si="2">W26-1</f>
        <v>43961.643229745372</v>
      </c>
      <c r="W26" s="84">
        <f t="shared" ca="1" si="2"/>
        <v>43962.643229745372</v>
      </c>
      <c r="X26" s="84">
        <f t="shared" ca="1" si="2"/>
        <v>43963.643229745372</v>
      </c>
      <c r="Y26" s="84">
        <f t="shared" ca="1" si="2"/>
        <v>43964.643229745372</v>
      </c>
      <c r="Z26" s="84">
        <f t="shared" ca="1" si="2"/>
        <v>43965.643229745372</v>
      </c>
      <c r="AA26" s="84">
        <f t="shared" ca="1" si="2"/>
        <v>43966.643229745372</v>
      </c>
      <c r="AB26" s="85">
        <f t="shared" ca="1" si="2"/>
        <v>43967.643229745372</v>
      </c>
      <c r="AC26" s="83">
        <f t="shared" ca="1" si="2"/>
        <v>43968.643229745372</v>
      </c>
      <c r="AD26" s="84">
        <f t="shared" ca="1" si="2"/>
        <v>43969.643229745372</v>
      </c>
      <c r="AE26" s="84">
        <f t="shared" ca="1" si="2"/>
        <v>43970.643229745372</v>
      </c>
      <c r="AF26" s="84">
        <f t="shared" ca="1" si="2"/>
        <v>43971.643229745372</v>
      </c>
      <c r="AG26" s="84">
        <f t="shared" ca="1" si="2"/>
        <v>43972.643229745372</v>
      </c>
      <c r="AH26" s="84">
        <f t="shared" ca="1" si="2"/>
        <v>43973.643229745372</v>
      </c>
      <c r="AI26" s="85">
        <f t="shared" ca="1" si="2"/>
        <v>43974.643229745372</v>
      </c>
      <c r="AJ26" s="83">
        <f t="shared" ca="1" si="2"/>
        <v>43975.643229745372</v>
      </c>
      <c r="AK26" s="84">
        <f t="shared" ca="1" si="2"/>
        <v>43976.643229745372</v>
      </c>
      <c r="AL26" s="84">
        <f t="shared" ca="1" si="2"/>
        <v>43977.643229745372</v>
      </c>
      <c r="AM26" s="84">
        <f t="shared" ca="1" si="2"/>
        <v>43978.643229745372</v>
      </c>
      <c r="AN26" s="84">
        <f t="shared" ca="1" si="2"/>
        <v>43979.643229745372</v>
      </c>
      <c r="AO26" s="84">
        <f ca="1">AP26-1</f>
        <v>43980.643229745372</v>
      </c>
      <c r="AP26" s="105">
        <f ca="1">NOW()</f>
        <v>43981.643229745372</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3" t="s">
        <v>67</v>
      </c>
      <c r="C28" s="294"/>
      <c r="D28" s="294"/>
      <c r="E28" s="294"/>
      <c r="F28" s="294"/>
      <c r="G28" s="295"/>
      <c r="H28" s="299" t="s">
        <v>56</v>
      </c>
      <c r="I28" s="299"/>
      <c r="J28" s="299"/>
      <c r="K28" s="299"/>
      <c r="L28" s="299"/>
      <c r="M28" s="299"/>
      <c r="N28" s="300"/>
      <c r="O28" s="298" t="s">
        <v>57</v>
      </c>
      <c r="P28" s="299"/>
      <c r="Q28" s="299"/>
      <c r="R28" s="299"/>
      <c r="S28" s="299"/>
      <c r="T28" s="299"/>
      <c r="U28" s="300"/>
      <c r="V28" s="298" t="s">
        <v>58</v>
      </c>
      <c r="W28" s="299"/>
      <c r="X28" s="299"/>
      <c r="Y28" s="299"/>
      <c r="Z28" s="299"/>
      <c r="AA28" s="299"/>
      <c r="AB28" s="300"/>
      <c r="AC28" s="298" t="s">
        <v>59</v>
      </c>
      <c r="AD28" s="299"/>
      <c r="AE28" s="299"/>
      <c r="AF28" s="299"/>
      <c r="AG28" s="299"/>
      <c r="AH28" s="299"/>
      <c r="AI28" s="300"/>
      <c r="AJ28" s="298" t="s">
        <v>60</v>
      </c>
      <c r="AK28" s="299"/>
      <c r="AL28" s="299"/>
      <c r="AM28" s="299"/>
      <c r="AN28" s="299"/>
      <c r="AO28" s="299"/>
      <c r="AP28" s="300"/>
    </row>
    <row r="29" spans="1:43" x14ac:dyDescent="0.25">
      <c r="B29" s="51" t="s">
        <v>79</v>
      </c>
      <c r="C29" s="90"/>
      <c r="D29" s="90"/>
      <c r="E29" s="90"/>
      <c r="F29" s="90"/>
      <c r="G29" s="91"/>
      <c r="H29" s="296" t="s">
        <v>66</v>
      </c>
      <c r="I29" s="296"/>
      <c r="J29" s="296"/>
      <c r="K29" s="296"/>
      <c r="L29" s="296"/>
      <c r="M29" s="296"/>
      <c r="N29" s="296"/>
      <c r="O29" s="296"/>
      <c r="P29" s="296"/>
      <c r="Q29" s="296"/>
      <c r="R29" s="296"/>
      <c r="S29" s="296"/>
      <c r="T29" s="296"/>
      <c r="U29" s="296"/>
      <c r="V29" s="296"/>
      <c r="W29" s="296"/>
      <c r="X29" s="296"/>
      <c r="Y29" s="296"/>
      <c r="Z29" s="296"/>
      <c r="AA29" s="296"/>
      <c r="AB29" s="296"/>
      <c r="AC29" s="296"/>
      <c r="AD29" s="296"/>
      <c r="AE29" s="296"/>
      <c r="AF29" s="296"/>
      <c r="AG29" s="296"/>
      <c r="AH29" s="296"/>
      <c r="AI29" s="296"/>
      <c r="AJ29" s="296"/>
      <c r="AK29" s="296"/>
      <c r="AL29" s="296"/>
      <c r="AM29" s="296"/>
      <c r="AN29" s="296"/>
      <c r="AO29" s="296"/>
      <c r="AP29" s="297"/>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173</v>
      </c>
      <c r="C34" s="16"/>
      <c r="D34" s="16"/>
      <c r="E34" s="134">
        <f>1-Projections!B11</f>
        <v>0.51724137931034486</v>
      </c>
      <c r="F34" s="16" t="s">
        <v>198</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197</v>
      </c>
      <c r="C45" s="27">
        <f>Projections!B18</f>
        <v>2.9000000000000001E-2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P98"/>
  <sheetViews>
    <sheetView tabSelected="1" topLeftCell="G11" zoomScaleNormal="100" workbookViewId="0">
      <selection activeCell="AD17" sqref="AD17"/>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19" width="11" customWidth="1"/>
    <col min="20" max="20" width="10.7109375" customWidth="1"/>
    <col min="21" max="22" width="10.85546875" bestFit="1" customWidth="1"/>
    <col min="23" max="23" width="10.85546875" customWidth="1"/>
    <col min="24" max="25" width="10.85546875" bestFit="1" customWidth="1"/>
    <col min="26" max="26" width="11.28515625" customWidth="1"/>
    <col min="27" max="28" width="10.7109375" bestFit="1" customWidth="1"/>
    <col min="29" max="29" width="10.7109375" customWidth="1"/>
    <col min="30" max="30" width="10.7109375" bestFit="1" customWidth="1"/>
    <col min="31" max="33" width="11.5703125" bestFit="1" customWidth="1"/>
    <col min="34" max="34" width="13.7109375" customWidth="1"/>
    <col min="35" max="35" width="13.28515625" bestFit="1" customWidth="1"/>
    <col min="36" max="36" width="13.28515625" customWidth="1"/>
    <col min="37" max="37" width="13.28515625" bestFit="1" customWidth="1"/>
    <col min="38" max="38" width="13.7109375" customWidth="1"/>
    <col min="39" max="39" width="13.42578125" style="66" customWidth="1"/>
    <col min="40" max="40" width="11.140625" bestFit="1" customWidth="1"/>
    <col min="41" max="41" width="12.140625" bestFit="1" customWidth="1"/>
  </cols>
  <sheetData>
    <row r="1" spans="1:29" x14ac:dyDescent="0.25">
      <c r="M1" t="s">
        <v>116</v>
      </c>
    </row>
    <row r="2" spans="1:29" x14ac:dyDescent="0.25">
      <c r="M2" s="147">
        <v>43903</v>
      </c>
      <c r="N2" s="148" t="s">
        <v>190</v>
      </c>
      <c r="O2" s="148"/>
      <c r="P2" s="147">
        <v>43917</v>
      </c>
      <c r="U2" s="66"/>
      <c r="V2" s="66"/>
      <c r="W2" s="66"/>
      <c r="X2" s="66"/>
      <c r="Y2" s="66"/>
      <c r="Z2" s="66"/>
      <c r="AA2" s="66"/>
      <c r="AB2" s="66"/>
    </row>
    <row r="3" spans="1:29" x14ac:dyDescent="0.25">
      <c r="M3" s="66"/>
      <c r="N3" s="147">
        <v>43906</v>
      </c>
      <c r="O3" s="148" t="s">
        <v>189</v>
      </c>
      <c r="P3" s="148"/>
      <c r="Q3" s="147">
        <v>43920</v>
      </c>
      <c r="R3" s="66"/>
      <c r="S3" s="66"/>
      <c r="T3" s="66"/>
      <c r="U3" s="154"/>
      <c r="V3" s="66"/>
      <c r="W3" s="66"/>
      <c r="X3" s="66"/>
      <c r="Y3" s="66"/>
      <c r="Z3" s="66"/>
      <c r="AA3" s="66"/>
      <c r="AB3" s="66"/>
    </row>
    <row r="4" spans="1:29" x14ac:dyDescent="0.25">
      <c r="M4" s="66"/>
      <c r="N4" s="154"/>
      <c r="O4" s="147">
        <v>43912</v>
      </c>
      <c r="P4" s="148" t="s">
        <v>202</v>
      </c>
      <c r="Q4" s="147"/>
      <c r="R4" s="148"/>
      <c r="S4" s="147">
        <v>43926</v>
      </c>
      <c r="T4" s="66"/>
      <c r="U4" s="66"/>
      <c r="V4" s="66"/>
      <c r="W4" s="66"/>
      <c r="X4" s="66"/>
      <c r="Y4" s="66"/>
      <c r="Z4" s="66"/>
      <c r="AA4" s="66"/>
      <c r="AB4" s="66"/>
    </row>
    <row r="5" spans="1:29" x14ac:dyDescent="0.25">
      <c r="M5" s="66"/>
      <c r="N5" s="154"/>
      <c r="O5" s="154"/>
      <c r="P5" s="147">
        <v>43914</v>
      </c>
      <c r="Q5" s="148" t="s">
        <v>201</v>
      </c>
      <c r="R5" s="147"/>
      <c r="S5" s="147">
        <v>43928</v>
      </c>
      <c r="T5" s="66"/>
      <c r="U5" s="66"/>
      <c r="V5" s="66"/>
      <c r="W5" s="66"/>
      <c r="X5" s="66"/>
      <c r="Y5" s="66"/>
      <c r="Z5" s="66"/>
      <c r="AA5" s="66"/>
      <c r="AB5" s="66"/>
    </row>
    <row r="6" spans="1:29" x14ac:dyDescent="0.25">
      <c r="D6" s="154"/>
      <c r="E6" s="154"/>
      <c r="F6" s="66"/>
      <c r="G6" s="66"/>
      <c r="H6" s="66"/>
      <c r="I6" s="66"/>
      <c r="J6" s="154"/>
      <c r="K6" s="154"/>
      <c r="L6" s="66"/>
      <c r="M6" s="66"/>
      <c r="N6" s="154"/>
      <c r="O6" s="154"/>
      <c r="P6" s="154"/>
      <c r="Q6" s="66"/>
      <c r="R6" s="154"/>
      <c r="S6" s="154"/>
      <c r="T6" s="147">
        <v>43934</v>
      </c>
      <c r="U6" s="148" t="s">
        <v>199</v>
      </c>
      <c r="V6" s="147"/>
      <c r="W6" s="148"/>
      <c r="X6" s="148"/>
      <c r="Y6" s="154"/>
      <c r="Z6" s="154"/>
      <c r="AA6" s="66"/>
      <c r="AB6" s="66"/>
    </row>
    <row r="7" spans="1:29" x14ac:dyDescent="0.25">
      <c r="D7" s="66"/>
      <c r="E7" s="66"/>
      <c r="F7" s="154"/>
      <c r="G7" s="154"/>
      <c r="H7" s="154"/>
      <c r="I7" s="154"/>
      <c r="J7" s="154"/>
      <c r="K7" s="154"/>
      <c r="L7" s="66"/>
      <c r="M7" s="66"/>
      <c r="N7" s="66"/>
      <c r="O7" s="154"/>
      <c r="P7" s="66"/>
      <c r="Q7" s="66"/>
      <c r="R7" s="66"/>
      <c r="S7" s="154"/>
      <c r="T7" s="154">
        <v>43935</v>
      </c>
      <c r="U7" s="66" t="s">
        <v>203</v>
      </c>
      <c r="V7" s="267"/>
      <c r="W7" s="267"/>
      <c r="X7" s="268"/>
      <c r="Y7" s="154"/>
      <c r="Z7" s="154"/>
      <c r="AA7" s="66"/>
      <c r="AB7" s="66"/>
    </row>
    <row r="8" spans="1:29" x14ac:dyDescent="0.25">
      <c r="D8" s="66"/>
      <c r="E8" s="66"/>
      <c r="F8" s="66"/>
      <c r="G8" s="66"/>
      <c r="H8" s="66"/>
      <c r="I8" s="66"/>
      <c r="J8" s="66"/>
      <c r="K8" s="66"/>
      <c r="L8" s="154"/>
      <c r="M8" s="66"/>
      <c r="N8" s="66"/>
      <c r="O8" s="66"/>
      <c r="P8" s="154"/>
      <c r="Q8" s="47"/>
      <c r="R8" s="47"/>
      <c r="S8" s="154"/>
      <c r="U8" s="267">
        <v>43941</v>
      </c>
      <c r="V8" s="268" t="s">
        <v>204</v>
      </c>
      <c r="Y8" s="66"/>
      <c r="Z8" s="154"/>
      <c r="AA8" s="66"/>
      <c r="AB8" s="66"/>
      <c r="AC8" s="204"/>
    </row>
    <row r="9" spans="1:29" x14ac:dyDescent="0.25">
      <c r="A9" s="56" t="s">
        <v>177</v>
      </c>
      <c r="B9" s="265">
        <v>1392156000</v>
      </c>
      <c r="C9" t="s">
        <v>176</v>
      </c>
      <c r="D9" s="66"/>
      <c r="E9" s="66"/>
      <c r="F9" s="66"/>
      <c r="G9" s="66"/>
      <c r="H9" s="66"/>
      <c r="I9" s="66"/>
      <c r="J9" s="66"/>
      <c r="K9" s="66"/>
      <c r="L9" s="66"/>
      <c r="M9" s="66"/>
      <c r="N9" s="66"/>
      <c r="O9" s="154"/>
      <c r="P9" s="154"/>
      <c r="Q9" s="154"/>
      <c r="R9" s="66"/>
      <c r="S9" s="66"/>
      <c r="T9" s="154"/>
      <c r="U9" s="267">
        <v>43946</v>
      </c>
      <c r="V9" s="268" t="s">
        <v>205</v>
      </c>
      <c r="W9" s="66"/>
      <c r="X9" s="154"/>
      <c r="Y9" s="66"/>
      <c r="Z9" s="66"/>
      <c r="AA9" s="154"/>
      <c r="AB9" s="66"/>
    </row>
    <row r="10" spans="1:29" x14ac:dyDescent="0.25">
      <c r="A10" s="56" t="s">
        <v>211</v>
      </c>
      <c r="B10" s="292">
        <v>1.4E-2</v>
      </c>
      <c r="D10" s="66"/>
      <c r="E10" s="66"/>
      <c r="F10" s="66"/>
      <c r="G10" s="66"/>
      <c r="H10" s="66"/>
      <c r="I10" s="66"/>
      <c r="J10" s="66"/>
      <c r="K10" s="66"/>
      <c r="L10" s="66"/>
      <c r="M10" s="66"/>
      <c r="N10" s="66"/>
      <c r="O10" s="66"/>
      <c r="P10" s="66"/>
      <c r="Q10" s="154"/>
      <c r="R10" s="66"/>
      <c r="S10" s="66"/>
      <c r="T10" s="154"/>
      <c r="U10" s="66"/>
      <c r="V10" s="147">
        <v>43952</v>
      </c>
      <c r="W10" s="148" t="s">
        <v>206</v>
      </c>
      <c r="X10" s="147"/>
      <c r="Y10" s="66"/>
      <c r="Z10" s="66"/>
      <c r="AA10" s="66"/>
      <c r="AB10" s="66"/>
    </row>
    <row r="11" spans="1:29" x14ac:dyDescent="0.25">
      <c r="A11" s="4" t="s">
        <v>113</v>
      </c>
      <c r="B11" s="145">
        <f>B10/B18</f>
        <v>0.48275862068965514</v>
      </c>
      <c r="C11" t="s">
        <v>212</v>
      </c>
      <c r="D11" s="66"/>
      <c r="E11" s="66"/>
      <c r="F11" s="66"/>
      <c r="G11" s="66"/>
      <c r="H11" s="66"/>
      <c r="I11" s="66"/>
      <c r="J11" s="66"/>
      <c r="K11" s="66"/>
      <c r="L11" s="66"/>
      <c r="M11" s="66"/>
      <c r="N11" s="66"/>
      <c r="O11" s="66"/>
      <c r="P11" s="66"/>
      <c r="Q11" s="66"/>
      <c r="R11" s="140"/>
      <c r="S11" s="66"/>
      <c r="T11" s="223"/>
      <c r="U11" s="154"/>
      <c r="V11" s="204">
        <v>43952</v>
      </c>
      <c r="W11" t="s">
        <v>213</v>
      </c>
      <c r="AB11" s="66"/>
    </row>
    <row r="12" spans="1:29" x14ac:dyDescent="0.25">
      <c r="A12" s="37" t="s">
        <v>115</v>
      </c>
      <c r="B12" s="108">
        <v>0.06</v>
      </c>
      <c r="C12" s="235"/>
      <c r="D12" s="66"/>
      <c r="E12" s="66"/>
      <c r="F12" s="66"/>
      <c r="G12" s="66"/>
      <c r="H12" s="66"/>
      <c r="I12" s="66"/>
      <c r="J12" s="66"/>
      <c r="K12" s="66"/>
      <c r="L12" s="66"/>
      <c r="M12" s="66"/>
      <c r="N12" s="66"/>
      <c r="O12" s="66"/>
      <c r="P12" s="66"/>
      <c r="Q12" s="47"/>
      <c r="R12" s="66"/>
      <c r="S12" s="154"/>
      <c r="T12" s="184"/>
      <c r="U12" s="16"/>
      <c r="V12" s="267">
        <v>43955</v>
      </c>
      <c r="W12" s="268" t="s">
        <v>208</v>
      </c>
      <c r="X12" s="267"/>
      <c r="Y12" s="66"/>
      <c r="Z12" s="66"/>
      <c r="AA12" s="66"/>
      <c r="AB12" s="66"/>
    </row>
    <row r="13" spans="1:29" x14ac:dyDescent="0.25">
      <c r="A13" s="41" t="s">
        <v>191</v>
      </c>
      <c r="B13" s="266">
        <v>0.53</v>
      </c>
      <c r="C13" s="63">
        <f>((B9/1000)*B13)-(((B9/1000)*B13)*B14)</f>
        <v>689882.90580000007</v>
      </c>
      <c r="D13" s="66" t="s">
        <v>194</v>
      </c>
      <c r="E13" s="66"/>
      <c r="F13" s="66"/>
      <c r="G13" s="66"/>
      <c r="H13" s="66"/>
      <c r="I13" s="66"/>
      <c r="J13" s="66"/>
      <c r="K13" s="66"/>
      <c r="L13" s="66"/>
      <c r="P13" s="16"/>
      <c r="Q13" s="16"/>
      <c r="R13" s="16"/>
      <c r="S13" s="251"/>
      <c r="T13" s="251"/>
      <c r="U13" s="16"/>
      <c r="V13" s="267">
        <v>43956</v>
      </c>
      <c r="W13" s="268" t="s">
        <v>207</v>
      </c>
      <c r="X13" s="267"/>
    </row>
    <row r="14" spans="1:29" x14ac:dyDescent="0.25">
      <c r="A14" s="37" t="s">
        <v>192</v>
      </c>
      <c r="B14" s="269">
        <v>6.5000000000000002E-2</v>
      </c>
      <c r="C14" s="60">
        <f>((B9/1000)*B13)*B14</f>
        <v>47959.774200000007</v>
      </c>
      <c r="D14" s="156">
        <f>C14/(B9/100000)</f>
        <v>3.4450000000000007</v>
      </c>
      <c r="E14" s="66" t="s">
        <v>193</v>
      </c>
      <c r="F14" s="66"/>
      <c r="G14" s="66" t="s">
        <v>195</v>
      </c>
      <c r="H14" s="66"/>
      <c r="I14" s="66"/>
      <c r="J14" s="66"/>
      <c r="K14" s="66"/>
      <c r="L14" s="66"/>
      <c r="Q14" s="251"/>
      <c r="R14" s="16"/>
      <c r="S14" s="16"/>
      <c r="T14" s="16"/>
      <c r="U14" s="16"/>
      <c r="W14" s="267">
        <v>43963</v>
      </c>
      <c r="X14" s="267" t="s">
        <v>209</v>
      </c>
      <c r="Y14" s="267"/>
      <c r="AA14" s="204"/>
    </row>
    <row r="15" spans="1:29" x14ac:dyDescent="0.25">
      <c r="A15" s="4" t="s">
        <v>73</v>
      </c>
      <c r="B15" s="106">
        <v>0.81</v>
      </c>
      <c r="C15" s="2"/>
      <c r="D15" s="66"/>
      <c r="E15" s="66"/>
      <c r="F15" s="66"/>
      <c r="G15" s="66"/>
      <c r="H15" s="66"/>
      <c r="I15" s="66"/>
      <c r="J15" s="66"/>
      <c r="K15" s="66"/>
      <c r="L15" s="66"/>
      <c r="W15" s="147">
        <v>43969</v>
      </c>
      <c r="X15" s="148" t="s">
        <v>210</v>
      </c>
    </row>
    <row r="16" spans="1:29" x14ac:dyDescent="0.25">
      <c r="A16" s="41" t="s">
        <v>74</v>
      </c>
      <c r="B16" s="107">
        <v>0.14000000000000001</v>
      </c>
      <c r="C16" s="2"/>
      <c r="D16" s="66"/>
      <c r="E16" s="66"/>
      <c r="F16" s="66"/>
      <c r="G16" s="66"/>
      <c r="H16" s="66"/>
      <c r="I16" s="66"/>
      <c r="J16" s="66"/>
      <c r="K16" s="66"/>
      <c r="L16" s="66"/>
      <c r="X16" s="267">
        <v>43974</v>
      </c>
      <c r="Y16" s="268" t="s">
        <v>214</v>
      </c>
    </row>
    <row r="17" spans="1:42" x14ac:dyDescent="0.25">
      <c r="A17" s="37" t="s">
        <v>109</v>
      </c>
      <c r="B17" s="108">
        <v>0.05</v>
      </c>
      <c r="C17" s="2"/>
      <c r="D17" s="199" t="s">
        <v>169</v>
      </c>
      <c r="X17" s="267">
        <v>43982</v>
      </c>
      <c r="Y17" s="268" t="s">
        <v>215</v>
      </c>
      <c r="AE17" s="164"/>
      <c r="AF17" s="164"/>
      <c r="AG17" s="164"/>
      <c r="AH17" s="164"/>
      <c r="AI17" s="164"/>
      <c r="AJ17" s="164"/>
      <c r="AK17" s="164"/>
    </row>
    <row r="18" spans="1:42" x14ac:dyDescent="0.25">
      <c r="A18" s="37" t="s">
        <v>114</v>
      </c>
      <c r="B18" s="64">
        <v>2.9000000000000001E-2</v>
      </c>
      <c r="C18" s="2"/>
      <c r="D18" s="168" t="s">
        <v>161</v>
      </c>
      <c r="AD18" s="165"/>
    </row>
    <row r="19" spans="1:42" x14ac:dyDescent="0.25">
      <c r="A19" s="143" t="s">
        <v>102</v>
      </c>
      <c r="B19" s="144">
        <v>43860</v>
      </c>
      <c r="C19" s="2"/>
      <c r="D19" s="271">
        <f>(AG22-L22)/(LOG(AG23/L23)/LOG(2))</f>
        <v>8.8571428571428577</v>
      </c>
      <c r="E19" s="164"/>
      <c r="O19" s="16"/>
      <c r="P19" s="16"/>
      <c r="Q19" s="16"/>
      <c r="R19" s="16"/>
      <c r="S19" s="16"/>
      <c r="T19" s="16"/>
      <c r="U19" s="16"/>
      <c r="V19" s="16"/>
      <c r="W19" s="16"/>
      <c r="X19" s="16"/>
      <c r="Y19" s="251"/>
      <c r="Z19" s="16"/>
      <c r="AA19" s="16"/>
    </row>
    <row r="20" spans="1:42" x14ac:dyDescent="0.25">
      <c r="A20" s="16"/>
      <c r="B20" s="50" t="s">
        <v>53</v>
      </c>
      <c r="C20" s="10"/>
      <c r="D20" s="16"/>
      <c r="E20" s="16"/>
      <c r="F20" s="16"/>
      <c r="G20" s="16"/>
      <c r="H20" s="16"/>
      <c r="I20" s="16"/>
      <c r="J20" s="16"/>
      <c r="K20" s="16"/>
      <c r="L20" s="16"/>
      <c r="M20" s="16"/>
      <c r="N20" s="16"/>
      <c r="O20" s="16"/>
      <c r="P20" s="16"/>
      <c r="Q20" s="16"/>
      <c r="R20" s="16"/>
      <c r="S20" s="16"/>
      <c r="AB20" s="16"/>
      <c r="AC20" s="16"/>
      <c r="AM20" s="142"/>
    </row>
    <row r="21" spans="1:42" x14ac:dyDescent="0.25">
      <c r="A21" s="52" t="s">
        <v>41</v>
      </c>
      <c r="B21" s="178">
        <v>43895</v>
      </c>
      <c r="C21" s="178">
        <v>43910</v>
      </c>
      <c r="D21" s="178">
        <v>43926</v>
      </c>
      <c r="E21" s="178">
        <v>43931</v>
      </c>
      <c r="F21" s="178">
        <v>43939</v>
      </c>
      <c r="G21" s="178">
        <v>43961</v>
      </c>
      <c r="H21" s="178"/>
      <c r="I21" s="178"/>
      <c r="J21" s="178"/>
      <c r="K21" s="178"/>
      <c r="M21" s="127" t="s">
        <v>186</v>
      </c>
      <c r="N21" s="16"/>
      <c r="O21" s="16"/>
      <c r="P21" s="16"/>
      <c r="Q21" s="16"/>
      <c r="R21" s="16"/>
      <c r="S21" s="16"/>
      <c r="T21" s="16"/>
      <c r="U21" s="171"/>
      <c r="V21" s="16"/>
      <c r="W21" s="16"/>
      <c r="X21" s="16"/>
      <c r="Z21" s="16"/>
      <c r="AA21" s="16"/>
      <c r="AB21" s="16"/>
      <c r="AC21" s="16"/>
      <c r="AG21" s="199"/>
      <c r="AH21" t="s">
        <v>170</v>
      </c>
      <c r="AM21" s="237" t="s">
        <v>175</v>
      </c>
    </row>
    <row r="22" spans="1:42" x14ac:dyDescent="0.25">
      <c r="A22" s="4" t="s">
        <v>11</v>
      </c>
      <c r="B22" s="146">
        <v>5</v>
      </c>
      <c r="C22" s="285">
        <v>4</v>
      </c>
      <c r="D22" s="146">
        <v>5</v>
      </c>
      <c r="E22" s="78">
        <v>8</v>
      </c>
      <c r="F22" s="207">
        <v>11</v>
      </c>
      <c r="G22" s="207">
        <v>12</v>
      </c>
      <c r="H22" s="207"/>
      <c r="I22" s="207"/>
      <c r="J22" s="207"/>
      <c r="K22" s="207"/>
      <c r="L22" s="286">
        <v>43895</v>
      </c>
      <c r="M22" s="287">
        <f t="shared" ref="M22:AE22" si="0">L22+HLOOKUP(L22+1, $B$21:$K$22,2,TRUE)</f>
        <v>43900</v>
      </c>
      <c r="N22" s="287">
        <f t="shared" si="0"/>
        <v>43905</v>
      </c>
      <c r="O22" s="288">
        <f t="shared" si="0"/>
        <v>43910</v>
      </c>
      <c r="P22" s="288">
        <f t="shared" si="0"/>
        <v>43914</v>
      </c>
      <c r="Q22" s="288">
        <f t="shared" si="0"/>
        <v>43918</v>
      </c>
      <c r="R22" s="288">
        <f t="shared" si="0"/>
        <v>43922</v>
      </c>
      <c r="S22" s="287">
        <f t="shared" si="0"/>
        <v>43926</v>
      </c>
      <c r="T22" s="289">
        <f t="shared" si="0"/>
        <v>43931</v>
      </c>
      <c r="U22" s="291">
        <f t="shared" si="0"/>
        <v>43939</v>
      </c>
      <c r="V22" s="291">
        <f t="shared" si="0"/>
        <v>43950</v>
      </c>
      <c r="W22" s="291">
        <f t="shared" si="0"/>
        <v>43961</v>
      </c>
      <c r="X22" s="290">
        <f t="shared" si="0"/>
        <v>43973</v>
      </c>
      <c r="Y22" s="217">
        <f t="shared" si="0"/>
        <v>43985</v>
      </c>
      <c r="Z22" s="217">
        <f t="shared" si="0"/>
        <v>43997</v>
      </c>
      <c r="AA22" s="217">
        <f t="shared" si="0"/>
        <v>44009</v>
      </c>
      <c r="AB22" s="217">
        <f t="shared" si="0"/>
        <v>44021</v>
      </c>
      <c r="AC22" s="217">
        <f t="shared" si="0"/>
        <v>44033</v>
      </c>
      <c r="AD22" s="217">
        <f t="shared" si="0"/>
        <v>44045</v>
      </c>
      <c r="AE22" s="217">
        <f t="shared" si="0"/>
        <v>44057</v>
      </c>
      <c r="AF22" s="217">
        <f t="shared" ref="AF22" si="1">AE22+HLOOKUP(AE22+1, $B$21:$K$22,2,TRUE)</f>
        <v>44069</v>
      </c>
      <c r="AG22" s="224">
        <f t="shared" ref="AG22" si="2">AF22+HLOOKUP(AF22+1, $B$21:$K$22,2,TRUE)</f>
        <v>44081</v>
      </c>
      <c r="AH22" s="217">
        <f>AG22+HLOOKUP(AG22+1, $B$21:$K$22,2,TRUE)</f>
        <v>44093</v>
      </c>
      <c r="AI22" s="217">
        <f>AH22+HLOOKUP(AH22+1, $B$21:$K$22,2,TRUE)</f>
        <v>44105</v>
      </c>
      <c r="AJ22" s="217">
        <f>AI22+HLOOKUP(AI22+1, $B$21:$K$22,2,TRUE)</f>
        <v>44117</v>
      </c>
      <c r="AK22" s="224">
        <f>AI22+HLOOKUP(AI22+1, $B$21:$K$22,2,TRUE)</f>
        <v>44117</v>
      </c>
      <c r="AL22" s="224">
        <f>AK22+HLOOKUP(AK22+1, $B$21:$K$22,2,TRUE)</f>
        <v>44129</v>
      </c>
      <c r="AM22" s="236">
        <f>AL22+(7*8)</f>
        <v>44185</v>
      </c>
      <c r="AN22" s="67"/>
      <c r="AO22" s="67"/>
      <c r="AP22" s="66"/>
    </row>
    <row r="23" spans="1:42" x14ac:dyDescent="0.25">
      <c r="A23" s="41" t="s">
        <v>107</v>
      </c>
      <c r="B23" s="16"/>
      <c r="C23" s="16"/>
      <c r="D23" s="16"/>
      <c r="E23" s="16"/>
      <c r="F23" s="16"/>
      <c r="G23" s="16"/>
      <c r="H23" s="16"/>
      <c r="I23" s="16"/>
      <c r="J23" s="16"/>
      <c r="K23" s="16"/>
      <c r="L23" s="216">
        <v>31.25</v>
      </c>
      <c r="M23" s="210">
        <f>L23*2</f>
        <v>62.5</v>
      </c>
      <c r="N23" s="210">
        <f t="shared" ref="N23:AB23" si="3">M23*2</f>
        <v>125</v>
      </c>
      <c r="O23" s="210">
        <f t="shared" si="3"/>
        <v>250</v>
      </c>
      <c r="P23" s="210">
        <f t="shared" si="3"/>
        <v>500</v>
      </c>
      <c r="Q23" s="210">
        <f t="shared" si="3"/>
        <v>1000</v>
      </c>
      <c r="R23" s="210">
        <f t="shared" si="3"/>
        <v>2000</v>
      </c>
      <c r="S23" s="210">
        <f t="shared" si="3"/>
        <v>4000</v>
      </c>
      <c r="T23" s="210">
        <f t="shared" si="3"/>
        <v>8000</v>
      </c>
      <c r="U23" s="210">
        <f>T23*2</f>
        <v>16000</v>
      </c>
      <c r="V23" s="210">
        <f>U23*2</f>
        <v>32000</v>
      </c>
      <c r="W23" s="210">
        <f>V23*2</f>
        <v>64000</v>
      </c>
      <c r="X23" s="210">
        <f>W23*2</f>
        <v>128000</v>
      </c>
      <c r="Y23" s="210">
        <f t="shared" si="3"/>
        <v>256000</v>
      </c>
      <c r="Z23" s="210">
        <f t="shared" si="3"/>
        <v>512000</v>
      </c>
      <c r="AA23" s="210">
        <f t="shared" si="3"/>
        <v>1024000</v>
      </c>
      <c r="AB23" s="210">
        <f t="shared" si="3"/>
        <v>2048000</v>
      </c>
      <c r="AC23" s="210">
        <f>AB23*2</f>
        <v>4096000</v>
      </c>
      <c r="AD23" s="210">
        <f>AC23*2</f>
        <v>8192000</v>
      </c>
      <c r="AE23" s="210">
        <f>AD23*2</f>
        <v>16384000</v>
      </c>
      <c r="AF23" s="210">
        <f t="shared" ref="AF23:AJ23" si="4">AE23*2</f>
        <v>32768000</v>
      </c>
      <c r="AG23" s="210">
        <f t="shared" si="4"/>
        <v>65536000</v>
      </c>
      <c r="AH23" s="225">
        <f t="shared" si="4"/>
        <v>131072000</v>
      </c>
      <c r="AI23" s="194">
        <f t="shared" si="4"/>
        <v>262144000</v>
      </c>
      <c r="AJ23" s="194">
        <f t="shared" si="4"/>
        <v>524288000</v>
      </c>
      <c r="AK23" s="195">
        <f>AJ23*2</f>
        <v>1048576000</v>
      </c>
      <c r="AL23" s="185">
        <f>B9</f>
        <v>1392156000</v>
      </c>
      <c r="AM23" s="229">
        <f>B9*AM24</f>
        <v>83529360</v>
      </c>
      <c r="AN23" s="45"/>
      <c r="AO23" s="45"/>
      <c r="AP23" s="66"/>
    </row>
    <row r="24" spans="1:42" x14ac:dyDescent="0.25">
      <c r="A24" s="41" t="s">
        <v>108</v>
      </c>
      <c r="B24" s="16"/>
      <c r="C24" s="16"/>
      <c r="D24" s="16"/>
      <c r="E24" s="16"/>
      <c r="F24" s="16"/>
      <c r="G24" s="16"/>
      <c r="H24" s="16"/>
      <c r="I24" s="16"/>
      <c r="J24" s="16"/>
      <c r="K24" s="16"/>
      <c r="L24" s="205">
        <f t="shared" ref="L24:AB24" si="5">L23/$B$9</f>
        <v>2.2447197009530542E-8</v>
      </c>
      <c r="M24" s="206">
        <f t="shared" si="5"/>
        <v>4.4894394019061085E-8</v>
      </c>
      <c r="N24" s="206">
        <f t="shared" si="5"/>
        <v>8.978878803812217E-8</v>
      </c>
      <c r="O24" s="182">
        <f t="shared" si="5"/>
        <v>1.7957757607624434E-7</v>
      </c>
      <c r="P24" s="182">
        <f t="shared" si="5"/>
        <v>3.5915515215248868E-7</v>
      </c>
      <c r="Q24" s="182">
        <f t="shared" si="5"/>
        <v>7.1831030430497736E-7</v>
      </c>
      <c r="R24" s="182">
        <f t="shared" si="5"/>
        <v>1.4366206086099547E-6</v>
      </c>
      <c r="S24" s="65">
        <f t="shared" si="5"/>
        <v>2.8732412172199094E-6</v>
      </c>
      <c r="T24" s="65">
        <f t="shared" si="5"/>
        <v>5.7464824344398189E-6</v>
      </c>
      <c r="U24" s="65">
        <f>U23/$B$9</f>
        <v>1.1492964868879638E-5</v>
      </c>
      <c r="V24" s="65">
        <f>V23/$B$9</f>
        <v>2.2985929737759275E-5</v>
      </c>
      <c r="W24" s="36">
        <f>W23/$B$9</f>
        <v>4.5971859475518551E-5</v>
      </c>
      <c r="X24" s="14">
        <f>X23/$B$9</f>
        <v>9.1943718951037102E-5</v>
      </c>
      <c r="Y24" s="14">
        <f t="shared" si="5"/>
        <v>1.838874379020742E-4</v>
      </c>
      <c r="Z24" s="14">
        <f t="shared" si="5"/>
        <v>3.6777487580414841E-4</v>
      </c>
      <c r="AA24" s="14">
        <f t="shared" si="5"/>
        <v>7.3554975160829681E-4</v>
      </c>
      <c r="AB24" s="14">
        <f t="shared" si="5"/>
        <v>1.4710995032165936E-3</v>
      </c>
      <c r="AC24" s="15">
        <f>AC23/$B$9</f>
        <v>2.9421990064331873E-3</v>
      </c>
      <c r="AD24" s="15">
        <f>AD23/$B$9</f>
        <v>5.8843980128663745E-3</v>
      </c>
      <c r="AE24" s="15">
        <f>AE23/$B$9</f>
        <v>1.1768796025732749E-2</v>
      </c>
      <c r="AF24" s="15">
        <f t="shared" ref="AF24:AK24" si="6">AF23/$B$9</f>
        <v>2.3537592051465498E-2</v>
      </c>
      <c r="AG24" s="15">
        <f t="shared" si="6"/>
        <v>4.7075184102930996E-2</v>
      </c>
      <c r="AH24" s="226">
        <f t="shared" si="6"/>
        <v>9.4150368205861992E-2</v>
      </c>
      <c r="AI24" s="166">
        <f t="shared" si="6"/>
        <v>0.18830073641172398</v>
      </c>
      <c r="AJ24" s="166">
        <f t="shared" ref="AJ24" si="7">AJ23/$B$9</f>
        <v>0.37660147282344797</v>
      </c>
      <c r="AK24" s="167">
        <f t="shared" si="6"/>
        <v>0.75320294564689594</v>
      </c>
      <c r="AL24" s="166">
        <f>AL23/$B$9</f>
        <v>1</v>
      </c>
      <c r="AM24" s="230">
        <f>B12</f>
        <v>0.06</v>
      </c>
      <c r="AN24" s="25"/>
      <c r="AO24" s="25"/>
      <c r="AP24" s="66"/>
    </row>
    <row r="25" spans="1:42" x14ac:dyDescent="0.25">
      <c r="A25" s="41" t="s">
        <v>157</v>
      </c>
      <c r="B25" s="16"/>
      <c r="C25" s="16"/>
      <c r="D25" s="16"/>
      <c r="E25" s="16"/>
      <c r="F25" s="16"/>
      <c r="G25" s="16"/>
      <c r="H25" s="16"/>
      <c r="I25" s="16"/>
      <c r="J25" s="16"/>
      <c r="K25" s="16"/>
      <c r="L25" s="272">
        <f t="shared" ref="L25:U25" si="8">MAX(L23-(L31-L32)-(L33-L34)-(L35-L36),0)</f>
        <v>25.016129564011877</v>
      </c>
      <c r="M25" s="273">
        <f t="shared" si="8"/>
        <v>52.366135481904664</v>
      </c>
      <c r="N25" s="273">
        <f t="shared" si="8"/>
        <v>108.52625208919129</v>
      </c>
      <c r="O25" s="273">
        <f t="shared" si="8"/>
        <v>222.10422027875339</v>
      </c>
      <c r="P25" s="273">
        <f>MAX(P23-(P31-P32)-(P33-P34)-(P35-P36),0)</f>
        <v>447.6875</v>
      </c>
      <c r="Q25" s="273">
        <f t="shared" si="8"/>
        <v>906.49780135330877</v>
      </c>
      <c r="R25" s="273">
        <f t="shared" si="8"/>
        <v>1856.4333005675624</v>
      </c>
      <c r="S25" s="273">
        <f t="shared" si="8"/>
        <v>3721.4155453634608</v>
      </c>
      <c r="T25" s="273">
        <f t="shared" si="8"/>
        <v>7285.310658734079</v>
      </c>
      <c r="U25" s="273">
        <f t="shared" si="8"/>
        <v>13140.837714510171</v>
      </c>
      <c r="V25" s="273">
        <f>MAX(V23-(V31-V32)-(V33-V34)-(V35-V36),0)</f>
        <v>17289.745825150563</v>
      </c>
      <c r="W25" s="273">
        <f t="shared" ref="W25:AL25" si="9">MAX(W23-(W31-W32)-(W33-W34)-(W35-W36),0)</f>
        <v>17728.062747146152</v>
      </c>
      <c r="X25" s="273">
        <f t="shared" si="9"/>
        <v>33701.052805851825</v>
      </c>
      <c r="Y25" s="273">
        <f t="shared" si="9"/>
        <v>58161.429709246055</v>
      </c>
      <c r="Z25" s="273">
        <f t="shared" si="9"/>
        <v>177494.85772027567</v>
      </c>
      <c r="AA25" s="273">
        <f t="shared" si="9"/>
        <v>377265.74115957716</v>
      </c>
      <c r="AB25" s="273">
        <f t="shared" si="9"/>
        <v>821073.23161773954</v>
      </c>
      <c r="AC25" s="273">
        <f t="shared" si="9"/>
        <v>1735951.2656639188</v>
      </c>
      <c r="AD25" s="273">
        <f t="shared" si="9"/>
        <v>3621161.9987870865</v>
      </c>
      <c r="AE25" s="273">
        <f t="shared" si="9"/>
        <v>7481506.6344594946</v>
      </c>
      <c r="AF25" s="273">
        <f t="shared" ref="AF25:AK25" si="10">MAX(AF23-(AF31-AF32)-(AF33-AF34)-(AF35-AF36),0)</f>
        <v>15354782.510047209</v>
      </c>
      <c r="AG25" s="273">
        <f t="shared" si="10"/>
        <v>31362906.529822413</v>
      </c>
      <c r="AH25" s="227">
        <f t="shared" si="10"/>
        <v>63831863.764536567</v>
      </c>
      <c r="AI25" s="185">
        <f t="shared" si="10"/>
        <v>129560182.23724906</v>
      </c>
      <c r="AJ25" s="185">
        <f t="shared" ref="AJ25" si="11">MAX(AJ23-(AJ31-AJ32)-(AJ33-AJ34)-(AJ35-AJ36),0)</f>
        <v>262407822.29272473</v>
      </c>
      <c r="AK25" s="186">
        <f t="shared" si="10"/>
        <v>786695822.29272473</v>
      </c>
      <c r="AL25" s="185">
        <f t="shared" si="9"/>
        <v>874148724.69642568</v>
      </c>
      <c r="AM25" s="231"/>
      <c r="AN25" s="45"/>
      <c r="AO25" s="45"/>
      <c r="AP25" s="66"/>
    </row>
    <row r="26" spans="1:42" x14ac:dyDescent="0.25">
      <c r="A26" s="41" t="s">
        <v>171</v>
      </c>
      <c r="B26" s="16"/>
      <c r="C26" s="16"/>
      <c r="D26" s="16"/>
      <c r="E26" s="16"/>
      <c r="F26" s="16"/>
      <c r="G26" s="16"/>
      <c r="H26" s="16"/>
      <c r="I26" s="16"/>
      <c r="J26" s="16"/>
      <c r="K26" s="16"/>
      <c r="L26" s="74">
        <f>MAX(L23-L25-L38,0)</f>
        <v>6.2338704359881234</v>
      </c>
      <c r="M26" s="75">
        <f>MAX(M23-M25-M38,0)</f>
        <v>10.133864518095336</v>
      </c>
      <c r="N26" s="75">
        <f>MAX(N23-N25-N38,0)</f>
        <v>16.473747910808711</v>
      </c>
      <c r="O26" s="211">
        <f>MAX(O23-O25-O38,0)</f>
        <v>27.895779721246612</v>
      </c>
      <c r="P26" s="211">
        <f t="shared" ref="P26:AG26" si="12">MAX(P23-P25-P38,0)</f>
        <v>52.3125</v>
      </c>
      <c r="Q26" s="211">
        <f t="shared" si="12"/>
        <v>93.502198646691227</v>
      </c>
      <c r="R26" s="211">
        <f t="shared" si="12"/>
        <v>143.56669943243764</v>
      </c>
      <c r="S26" s="211">
        <f t="shared" si="12"/>
        <v>278.58445463653925</v>
      </c>
      <c r="T26" s="211">
        <f t="shared" si="12"/>
        <v>713.69060347343191</v>
      </c>
      <c r="U26" s="211">
        <f t="shared" si="12"/>
        <v>2855.8146759086508</v>
      </c>
      <c r="V26" s="211">
        <f t="shared" si="12"/>
        <v>14691.409502851684</v>
      </c>
      <c r="W26" s="211">
        <f t="shared" si="12"/>
        <v>46142.373711187181</v>
      </c>
      <c r="X26" s="211">
        <f t="shared" si="12"/>
        <v>93625.466767524194</v>
      </c>
      <c r="Y26" s="211">
        <f t="shared" si="12"/>
        <v>196839.82237408726</v>
      </c>
      <c r="Z26" s="211">
        <f t="shared" si="12"/>
        <v>332224.79268628277</v>
      </c>
      <c r="AA26" s="211">
        <f t="shared" si="12"/>
        <v>642539.38566813455</v>
      </c>
      <c r="AB26" s="211">
        <f t="shared" si="12"/>
        <v>1218375.1989354382</v>
      </c>
      <c r="AC26" s="211">
        <f t="shared" si="12"/>
        <v>2343031.5234921114</v>
      </c>
      <c r="AD26" s="211">
        <f t="shared" si="12"/>
        <v>4536938.6452797316</v>
      </c>
      <c r="AE26" s="211">
        <f t="shared" si="12"/>
        <v>8834912.5461904649</v>
      </c>
      <c r="AF26" s="211">
        <f t="shared" si="12"/>
        <v>17278414.791030787</v>
      </c>
      <c r="AG26" s="211">
        <f t="shared" si="12"/>
        <v>33904089.617666677</v>
      </c>
      <c r="AH26" s="253">
        <f>MAX(AH23-AH25-AH38,0)</f>
        <v>66703151.267939329</v>
      </c>
      <c r="AI26" s="200">
        <f>MAX(AI23-AI25-AI38,0)</f>
        <v>131511608.04705907</v>
      </c>
      <c r="AJ26" s="200">
        <f t="shared" ref="AJ26:AK26" si="13">MAX(AJ23-AJ25-AJ38,0)</f>
        <v>259738819.76290423</v>
      </c>
      <c r="AK26" s="201">
        <f t="shared" si="13"/>
        <v>259738819.76290423</v>
      </c>
      <c r="AL26" s="200">
        <f>MAX(AL23-AL25-AL38,0)</f>
        <v>513729932.99343264</v>
      </c>
      <c r="AM26" s="232"/>
      <c r="AN26" s="25"/>
      <c r="AO26" s="25"/>
      <c r="AP26" s="66"/>
    </row>
    <row r="27" spans="1:42" x14ac:dyDescent="0.25">
      <c r="A27" s="4" t="s">
        <v>164</v>
      </c>
      <c r="B27" s="9"/>
      <c r="C27" s="9"/>
      <c r="D27" s="9"/>
      <c r="E27" s="9"/>
      <c r="F27" s="9"/>
      <c r="G27" s="9"/>
      <c r="H27" s="9"/>
      <c r="I27" s="9"/>
      <c r="J27" s="9"/>
      <c r="K27" s="5"/>
      <c r="L27" s="197">
        <f t="shared" ref="L27:AG27" si="14">L23/$B$11</f>
        <v>64.732142857142861</v>
      </c>
      <c r="M27" s="198">
        <f t="shared" si="14"/>
        <v>129.46428571428572</v>
      </c>
      <c r="N27" s="198">
        <f t="shared" si="14"/>
        <v>258.92857142857144</v>
      </c>
      <c r="O27" s="198">
        <f t="shared" si="14"/>
        <v>517.85714285714289</v>
      </c>
      <c r="P27" s="198">
        <f t="shared" si="14"/>
        <v>1035.7142857142858</v>
      </c>
      <c r="Q27" s="198">
        <f t="shared" si="14"/>
        <v>2071.4285714285716</v>
      </c>
      <c r="R27" s="198">
        <f t="shared" si="14"/>
        <v>4142.8571428571431</v>
      </c>
      <c r="S27" s="198">
        <f t="shared" si="14"/>
        <v>8285.7142857142862</v>
      </c>
      <c r="T27" s="198">
        <f t="shared" si="14"/>
        <v>16571.428571428572</v>
      </c>
      <c r="U27" s="198">
        <f t="shared" si="14"/>
        <v>33142.857142857145</v>
      </c>
      <c r="V27" s="198">
        <f t="shared" si="14"/>
        <v>66285.71428571429</v>
      </c>
      <c r="W27" s="198">
        <f t="shared" si="14"/>
        <v>132571.42857142858</v>
      </c>
      <c r="X27" s="198">
        <f t="shared" si="14"/>
        <v>265142.85714285716</v>
      </c>
      <c r="Y27" s="198">
        <f t="shared" si="14"/>
        <v>530285.71428571432</v>
      </c>
      <c r="Z27" s="198">
        <f t="shared" si="14"/>
        <v>1060571.4285714286</v>
      </c>
      <c r="AA27" s="198">
        <f t="shared" si="14"/>
        <v>2121142.8571428573</v>
      </c>
      <c r="AB27" s="198">
        <f t="shared" si="14"/>
        <v>4242285.7142857146</v>
      </c>
      <c r="AC27" s="198">
        <f t="shared" si="14"/>
        <v>8484571.4285714291</v>
      </c>
      <c r="AD27" s="198">
        <f t="shared" si="14"/>
        <v>16969142.857142858</v>
      </c>
      <c r="AE27" s="198">
        <f t="shared" si="14"/>
        <v>33938285.714285716</v>
      </c>
      <c r="AF27" s="198">
        <f t="shared" si="14"/>
        <v>67876571.428571433</v>
      </c>
      <c r="AG27" s="198">
        <f t="shared" si="14"/>
        <v>135753142.85714287</v>
      </c>
      <c r="AH27" s="225">
        <f t="shared" ref="AH27" si="15">AH23/$B$11</f>
        <v>271506285.71428573</v>
      </c>
      <c r="AI27" s="194">
        <f t="shared" ref="AI27:AK27" si="16">$B$9</f>
        <v>1392156000</v>
      </c>
      <c r="AJ27" s="194">
        <f t="shared" si="16"/>
        <v>1392156000</v>
      </c>
      <c r="AK27" s="195">
        <f t="shared" si="16"/>
        <v>1392156000</v>
      </c>
      <c r="AL27" s="185">
        <f>AL23</f>
        <v>1392156000</v>
      </c>
      <c r="AM27" s="231">
        <f>($B$9*$B$12)/$B$11</f>
        <v>173025102.85714287</v>
      </c>
      <c r="AN27" s="25"/>
      <c r="AO27" s="25"/>
      <c r="AP27" s="66"/>
    </row>
    <row r="28" spans="1:42" x14ac:dyDescent="0.25">
      <c r="A28" s="41" t="s">
        <v>112</v>
      </c>
      <c r="B28" s="16"/>
      <c r="C28" s="16"/>
      <c r="D28" s="16"/>
      <c r="E28" s="16"/>
      <c r="F28" s="16"/>
      <c r="G28" s="16"/>
      <c r="H28" s="16"/>
      <c r="I28" s="16"/>
      <c r="J28" s="16"/>
      <c r="K28" s="17"/>
      <c r="L28" s="181">
        <f>L27/$B$9</f>
        <v>4.6497765234027552E-8</v>
      </c>
      <c r="M28" s="182">
        <f t="shared" ref="M28:AD28" si="17">M27/$B$9</f>
        <v>9.2995530468055104E-8</v>
      </c>
      <c r="N28" s="182">
        <f t="shared" si="17"/>
        <v>1.8599106093611021E-7</v>
      </c>
      <c r="O28" s="65">
        <f t="shared" si="17"/>
        <v>3.7198212187222042E-7</v>
      </c>
      <c r="P28" s="65">
        <f t="shared" si="17"/>
        <v>7.4396424374444083E-7</v>
      </c>
      <c r="Q28" s="65">
        <f t="shared" si="17"/>
        <v>1.4879284874888817E-6</v>
      </c>
      <c r="R28" s="65">
        <f t="shared" si="17"/>
        <v>2.9758569749777633E-6</v>
      </c>
      <c r="S28" s="36">
        <f t="shared" si="17"/>
        <v>5.9517139499555267E-6</v>
      </c>
      <c r="T28" s="36">
        <f t="shared" si="17"/>
        <v>1.1903427899911053E-5</v>
      </c>
      <c r="U28" s="36">
        <f t="shared" si="17"/>
        <v>2.3806855799822107E-5</v>
      </c>
      <c r="V28" s="36">
        <f t="shared" si="17"/>
        <v>4.7613711599644213E-5</v>
      </c>
      <c r="W28" s="36">
        <f t="shared" si="17"/>
        <v>9.5227423199288426E-5</v>
      </c>
      <c r="X28" s="14">
        <f t="shared" si="17"/>
        <v>1.9045484639857685E-4</v>
      </c>
      <c r="Y28" s="14">
        <f t="shared" si="17"/>
        <v>3.8090969279715371E-4</v>
      </c>
      <c r="Z28" s="14">
        <f t="shared" si="17"/>
        <v>7.6181938559430741E-4</v>
      </c>
      <c r="AA28" s="14">
        <f t="shared" si="17"/>
        <v>1.5236387711886148E-3</v>
      </c>
      <c r="AB28" s="15">
        <f t="shared" si="17"/>
        <v>3.0472775423772296E-3</v>
      </c>
      <c r="AC28" s="15">
        <f t="shared" si="17"/>
        <v>6.0945550847544593E-3</v>
      </c>
      <c r="AD28" s="15">
        <f t="shared" si="17"/>
        <v>1.2189110169508919E-2</v>
      </c>
      <c r="AE28" s="15">
        <f>AE27/$B$9</f>
        <v>2.4378220339017837E-2</v>
      </c>
      <c r="AF28" s="72">
        <f t="shared" ref="AF28:AK28" si="18">AF27/$B$9</f>
        <v>4.8756440678035674E-2</v>
      </c>
      <c r="AG28" s="72">
        <f t="shared" si="18"/>
        <v>9.7512881356071349E-2</v>
      </c>
      <c r="AH28" s="226">
        <f t="shared" ref="AH28" si="19">AH27/$B$9</f>
        <v>0.1950257627121427</v>
      </c>
      <c r="AI28" s="166">
        <f t="shared" si="18"/>
        <v>1</v>
      </c>
      <c r="AJ28" s="166">
        <f t="shared" ref="AJ28" si="20">AJ27/$B$9</f>
        <v>1</v>
      </c>
      <c r="AK28" s="167">
        <f t="shared" si="18"/>
        <v>1</v>
      </c>
      <c r="AL28" s="166">
        <v>1</v>
      </c>
      <c r="AM28" s="230">
        <f>AM27/B9</f>
        <v>0.12428571428571429</v>
      </c>
      <c r="AN28" s="25"/>
      <c r="AO28" s="25"/>
      <c r="AP28" s="66"/>
    </row>
    <row r="29" spans="1:42" x14ac:dyDescent="0.25">
      <c r="A29" s="41" t="s">
        <v>162</v>
      </c>
      <c r="B29" s="16"/>
      <c r="C29" s="16"/>
      <c r="D29" s="16"/>
      <c r="E29" s="16"/>
      <c r="F29" s="16"/>
      <c r="G29" s="16"/>
      <c r="H29" s="16"/>
      <c r="I29" s="16"/>
      <c r="J29" s="16"/>
      <c r="K29" s="17"/>
      <c r="L29" s="183">
        <f>L27-L23</f>
        <v>33.482142857142861</v>
      </c>
      <c r="M29" s="184">
        <f t="shared" ref="M29:AC29" si="21">M27-M23</f>
        <v>66.964285714285722</v>
      </c>
      <c r="N29" s="184">
        <f t="shared" si="21"/>
        <v>133.92857142857144</v>
      </c>
      <c r="O29" s="184">
        <f t="shared" si="21"/>
        <v>267.85714285714289</v>
      </c>
      <c r="P29" s="184">
        <f>P27-P23</f>
        <v>535.71428571428578</v>
      </c>
      <c r="Q29" s="184">
        <f t="shared" si="21"/>
        <v>1071.4285714285716</v>
      </c>
      <c r="R29" s="184">
        <f t="shared" si="21"/>
        <v>2142.8571428571431</v>
      </c>
      <c r="S29" s="184">
        <f t="shared" si="21"/>
        <v>4285.7142857142862</v>
      </c>
      <c r="T29" s="184">
        <f t="shared" si="21"/>
        <v>8571.4285714285725</v>
      </c>
      <c r="U29" s="184">
        <f t="shared" si="21"/>
        <v>17142.857142857145</v>
      </c>
      <c r="V29" s="184">
        <f t="shared" si="21"/>
        <v>34285.71428571429</v>
      </c>
      <c r="W29" s="184">
        <f t="shared" si="21"/>
        <v>68571.42857142858</v>
      </c>
      <c r="X29" s="184">
        <f t="shared" si="21"/>
        <v>137142.85714285716</v>
      </c>
      <c r="Y29" s="184">
        <f t="shared" si="21"/>
        <v>274285.71428571432</v>
      </c>
      <c r="Z29" s="184">
        <f t="shared" si="21"/>
        <v>548571.42857142864</v>
      </c>
      <c r="AA29" s="184">
        <f t="shared" si="21"/>
        <v>1097142.8571428573</v>
      </c>
      <c r="AB29" s="184">
        <f t="shared" si="21"/>
        <v>2194285.7142857146</v>
      </c>
      <c r="AC29" s="184">
        <f t="shared" si="21"/>
        <v>4388571.4285714291</v>
      </c>
      <c r="AD29" s="184">
        <f>AD27-AD23</f>
        <v>8777142.8571428582</v>
      </c>
      <c r="AE29" s="184">
        <f>AE27-AE23</f>
        <v>17554285.714285716</v>
      </c>
      <c r="AF29" s="184">
        <f>AF27-AF23</f>
        <v>35108571.428571433</v>
      </c>
      <c r="AG29" s="184">
        <f t="shared" ref="AG29:AK29" si="22">AG27</f>
        <v>135753142.85714287</v>
      </c>
      <c r="AH29" s="227">
        <f t="shared" si="22"/>
        <v>271506285.71428573</v>
      </c>
      <c r="AI29" s="185">
        <f t="shared" si="22"/>
        <v>1392156000</v>
      </c>
      <c r="AJ29" s="185">
        <f t="shared" ref="AJ29" si="23">AJ27</f>
        <v>1392156000</v>
      </c>
      <c r="AK29" s="186">
        <f t="shared" si="22"/>
        <v>1392156000</v>
      </c>
      <c r="AL29" s="185">
        <f>AL27</f>
        <v>1392156000</v>
      </c>
      <c r="AM29" s="233">
        <f>AM27-AM23</f>
        <v>89495742.857142866</v>
      </c>
      <c r="AN29" s="25"/>
      <c r="AO29" s="25"/>
      <c r="AP29" s="66"/>
    </row>
    <row r="30" spans="1:42" x14ac:dyDescent="0.25">
      <c r="A30" s="37" t="s">
        <v>163</v>
      </c>
      <c r="B30" s="39"/>
      <c r="C30" s="39"/>
      <c r="D30" s="39"/>
      <c r="E30" s="39"/>
      <c r="F30" s="39"/>
      <c r="G30" s="39"/>
      <c r="H30" s="39"/>
      <c r="I30" s="39"/>
      <c r="J30" s="39"/>
      <c r="K30" s="62"/>
      <c r="L30" s="192">
        <f>MIN((1/$B$11)*(2^(((L22 - 14) - $B$19)/$L$48)),L29)</f>
        <v>15.941996705789736</v>
      </c>
      <c r="M30" s="193">
        <f>MIN((1/$B$11)*(2^(((M22 - 14) - $B$19)/$L$48)),M29)</f>
        <v>25.915526545393714</v>
      </c>
      <c r="N30" s="193">
        <f t="shared" ref="N30" si="24">MIN((1/$B$11)*(2^(((N22 - 14) - $B$19)/$L$48)),N29)</f>
        <v>42.128632223408523</v>
      </c>
      <c r="O30" s="184">
        <f t="shared" ref="O30:AL30" si="25">MIN(($L$23/$B$11)*(2^(((O22 - 14) - $L$22)/HLOOKUP((O22-14)-$B$19,$L$46:$AM$48,3,TRUE))),O29)</f>
        <v>71.338413749219711</v>
      </c>
      <c r="P30" s="184">
        <f t="shared" si="25"/>
        <v>133.7797619047619</v>
      </c>
      <c r="Q30" s="184">
        <f t="shared" si="25"/>
        <v>239.1149700841309</v>
      </c>
      <c r="R30" s="184">
        <f t="shared" si="25"/>
        <v>367.14588038277719</v>
      </c>
      <c r="S30" s="184">
        <f t="shared" si="25"/>
        <v>712.42938134564702</v>
      </c>
      <c r="T30" s="184">
        <f t="shared" si="25"/>
        <v>1823.2851858101642</v>
      </c>
      <c r="U30" s="184">
        <f t="shared" si="25"/>
        <v>6873.8881439421857</v>
      </c>
      <c r="V30" s="184">
        <f t="shared" si="25"/>
        <v>34285.71428571429</v>
      </c>
      <c r="W30" s="184">
        <f t="shared" si="25"/>
        <v>68571.42857142858</v>
      </c>
      <c r="X30" s="184">
        <f t="shared" si="25"/>
        <v>137142.85714285716</v>
      </c>
      <c r="Y30" s="184">
        <f t="shared" si="25"/>
        <v>274285.71428571432</v>
      </c>
      <c r="Z30" s="184">
        <f t="shared" si="25"/>
        <v>548571.42857142864</v>
      </c>
      <c r="AA30" s="184">
        <f t="shared" si="25"/>
        <v>1097142.8571428573</v>
      </c>
      <c r="AB30" s="184">
        <f t="shared" si="25"/>
        <v>2194285.7142857146</v>
      </c>
      <c r="AC30" s="184">
        <f t="shared" si="25"/>
        <v>4388571.4285714291</v>
      </c>
      <c r="AD30" s="184">
        <f t="shared" si="25"/>
        <v>8777142.8571428582</v>
      </c>
      <c r="AE30" s="184">
        <f t="shared" si="25"/>
        <v>17554285.714285716</v>
      </c>
      <c r="AF30" s="184">
        <f t="shared" si="25"/>
        <v>35108571.428571433</v>
      </c>
      <c r="AG30" s="184">
        <f t="shared" si="25"/>
        <v>79904807.258942753</v>
      </c>
      <c r="AH30" s="228">
        <f t="shared" si="25"/>
        <v>157209594.70363557</v>
      </c>
      <c r="AI30" s="189">
        <f t="shared" si="25"/>
        <v>309959102.75994492</v>
      </c>
      <c r="AJ30" s="189">
        <f t="shared" si="25"/>
        <v>612183782.89449251</v>
      </c>
      <c r="AK30" s="190">
        <f t="shared" si="25"/>
        <v>612183782.89449251</v>
      </c>
      <c r="AL30" s="189">
        <f t="shared" si="25"/>
        <v>1210827837.9413269</v>
      </c>
      <c r="AM30" s="233"/>
      <c r="AN30" s="25"/>
      <c r="AO30" s="25"/>
      <c r="AP30" s="66"/>
    </row>
    <row r="31" spans="1:42" x14ac:dyDescent="0.25">
      <c r="A31" s="41" t="s">
        <v>160</v>
      </c>
      <c r="B31" s="16"/>
      <c r="C31" s="16"/>
      <c r="D31" s="16"/>
      <c r="E31" s="16"/>
      <c r="F31" s="16"/>
      <c r="G31" s="16"/>
      <c r="H31" s="16"/>
      <c r="I31" s="16"/>
      <c r="J31" s="16"/>
      <c r="K31" s="16"/>
      <c r="L31" s="202">
        <f t="shared" ref="L31:AL31" si="26">L23*$B$15</f>
        <v>25.3125</v>
      </c>
      <c r="M31" s="203">
        <f t="shared" si="26"/>
        <v>50.625</v>
      </c>
      <c r="N31" s="203">
        <f t="shared" si="26"/>
        <v>101.25</v>
      </c>
      <c r="O31" s="203">
        <f t="shared" si="26"/>
        <v>202.5</v>
      </c>
      <c r="P31" s="203">
        <f t="shared" si="26"/>
        <v>405</v>
      </c>
      <c r="Q31" s="203">
        <f t="shared" si="26"/>
        <v>810</v>
      </c>
      <c r="R31" s="203">
        <f t="shared" si="26"/>
        <v>1620</v>
      </c>
      <c r="S31" s="203">
        <f t="shared" si="26"/>
        <v>3240</v>
      </c>
      <c r="T31" s="203">
        <f t="shared" si="26"/>
        <v>6480</v>
      </c>
      <c r="U31" s="203">
        <f t="shared" si="26"/>
        <v>12960</v>
      </c>
      <c r="V31" s="203">
        <f t="shared" si="26"/>
        <v>25920</v>
      </c>
      <c r="W31" s="203">
        <f t="shared" si="26"/>
        <v>51840</v>
      </c>
      <c r="X31" s="203">
        <f t="shared" si="26"/>
        <v>103680</v>
      </c>
      <c r="Y31" s="203">
        <f t="shared" si="26"/>
        <v>207360</v>
      </c>
      <c r="Z31" s="203">
        <f t="shared" si="26"/>
        <v>414720</v>
      </c>
      <c r="AA31" s="203">
        <f t="shared" si="26"/>
        <v>829440</v>
      </c>
      <c r="AB31" s="203">
        <f t="shared" si="26"/>
        <v>1658880</v>
      </c>
      <c r="AC31" s="203">
        <f t="shared" si="26"/>
        <v>3317760</v>
      </c>
      <c r="AD31" s="203">
        <f t="shared" si="26"/>
        <v>6635520</v>
      </c>
      <c r="AE31" s="203">
        <f t="shared" si="26"/>
        <v>13271040</v>
      </c>
      <c r="AF31" s="203">
        <f t="shared" ref="AF31:AK31" si="27">AF23*$B$15</f>
        <v>26542080</v>
      </c>
      <c r="AG31" s="203">
        <f t="shared" si="27"/>
        <v>53084160</v>
      </c>
      <c r="AH31" s="225">
        <f t="shared" si="27"/>
        <v>106168320</v>
      </c>
      <c r="AI31" s="194">
        <f t="shared" si="27"/>
        <v>212336640</v>
      </c>
      <c r="AJ31" s="194">
        <f t="shared" ref="AJ31" si="28">AJ23*$B$15</f>
        <v>424673280</v>
      </c>
      <c r="AK31" s="195">
        <f t="shared" si="27"/>
        <v>849346560</v>
      </c>
      <c r="AL31" s="185">
        <f t="shared" si="26"/>
        <v>1127646360</v>
      </c>
      <c r="AM31" s="233">
        <f>AM23*B15</f>
        <v>67658781.600000009</v>
      </c>
      <c r="AN31" s="25"/>
      <c r="AO31" s="25"/>
      <c r="AP31" s="66"/>
    </row>
    <row r="32" spans="1:42" x14ac:dyDescent="0.25">
      <c r="A32" s="41" t="s">
        <v>172</v>
      </c>
      <c r="B32" s="16"/>
      <c r="C32" s="16"/>
      <c r="D32" s="16"/>
      <c r="E32" s="16"/>
      <c r="F32" s="16"/>
      <c r="G32" s="16"/>
      <c r="H32" s="16"/>
      <c r="I32" s="16"/>
      <c r="J32" s="16"/>
      <c r="K32" s="16"/>
      <c r="L32" s="192">
        <f>L31-(1*$B$15)*(2^(((L22 - 14) - $B$19)/$L$48))</f>
        <v>19.078629564011877</v>
      </c>
      <c r="M32" s="193">
        <f>M31-(1*$B$15)*(2^(((M22 - 14) - $B$19)/$L$48))</f>
        <v>40.491135481904664</v>
      </c>
      <c r="N32" s="193">
        <f>N31-(1*$B$15)*(2^(((N22 - 14) - $B$19)/$L$48))</f>
        <v>84.776252089191289</v>
      </c>
      <c r="O32" s="191">
        <f t="shared" ref="O32:AL32" si="29">MAX(O31-(($L$23*$B$15)*(2^(((O22 -14) - $L$22)/HLOOKUP((O22-14)-$B$19,$L$46:$AM$48,3,TRUE)))),0)</f>
        <v>174.60422027875339</v>
      </c>
      <c r="P32" s="191">
        <f t="shared" si="29"/>
        <v>352.6875</v>
      </c>
      <c r="Q32" s="191">
        <f t="shared" si="29"/>
        <v>716.49780135330877</v>
      </c>
      <c r="R32" s="191">
        <f t="shared" si="29"/>
        <v>1476.4333005675624</v>
      </c>
      <c r="S32" s="191">
        <f t="shared" si="29"/>
        <v>2961.4155453634608</v>
      </c>
      <c r="T32" s="191">
        <f t="shared" si="29"/>
        <v>5767.0326204452667</v>
      </c>
      <c r="U32" s="191">
        <f t="shared" si="29"/>
        <v>10272.072705092953</v>
      </c>
      <c r="V32" s="191">
        <f t="shared" si="29"/>
        <v>12088.364484061041</v>
      </c>
      <c r="W32" s="191">
        <f t="shared" si="29"/>
        <v>8416.0984022079647</v>
      </c>
      <c r="X32" s="191">
        <f t="shared" si="29"/>
        <v>15907.44508458137</v>
      </c>
      <c r="Y32" s="191">
        <f t="shared" si="29"/>
        <v>25009.870500103949</v>
      </c>
      <c r="Z32" s="191">
        <f t="shared" si="29"/>
        <v>108247.76278890844</v>
      </c>
      <c r="AA32" s="191">
        <f t="shared" si="29"/>
        <v>238906.25588309707</v>
      </c>
      <c r="AB32" s="191">
        <f t="shared" si="29"/>
        <v>535826.91121932282</v>
      </c>
      <c r="AC32" s="191">
        <f t="shared" si="29"/>
        <v>1159215.5464964192</v>
      </c>
      <c r="AD32" s="191">
        <f t="shared" si="29"/>
        <v>2455184.9151395117</v>
      </c>
      <c r="AE32" s="191">
        <f t="shared" si="29"/>
        <v>5129763.9710173942</v>
      </c>
      <c r="AF32" s="191">
        <f t="shared" si="29"/>
        <v>10619199.269180583</v>
      </c>
      <c r="AG32" s="191">
        <f t="shared" si="29"/>
        <v>21838625.023572046</v>
      </c>
      <c r="AH32" s="228">
        <f t="shared" si="29"/>
        <v>44693947.450371467</v>
      </c>
      <c r="AI32" s="189">
        <f t="shared" si="29"/>
        <v>91131942.575938791</v>
      </c>
      <c r="AJ32" s="189">
        <f t="shared" si="29"/>
        <v>185288311.1026364</v>
      </c>
      <c r="AK32" s="190">
        <f t="shared" si="29"/>
        <v>609961591.10263634</v>
      </c>
      <c r="AL32" s="189">
        <f t="shared" si="29"/>
        <v>654170922.68087435</v>
      </c>
      <c r="AM32" s="231"/>
      <c r="AN32" s="25"/>
      <c r="AO32" s="25"/>
      <c r="AP32" s="66"/>
    </row>
    <row r="33" spans="1:42" x14ac:dyDescent="0.25">
      <c r="A33" s="61" t="s">
        <v>110</v>
      </c>
      <c r="B33" s="9"/>
      <c r="C33" s="9"/>
      <c r="D33" s="9"/>
      <c r="E33" s="9"/>
      <c r="F33" s="9"/>
      <c r="G33" s="9"/>
      <c r="H33" s="9"/>
      <c r="I33" s="9"/>
      <c r="J33" s="9"/>
      <c r="K33" s="5"/>
      <c r="L33" s="213">
        <f>(1*($B$16+$B$17))*(2^(((L22 - 7) - $B$19)/$L$48))</f>
        <v>2.8870253994390738</v>
      </c>
      <c r="M33" s="208">
        <f>(1*($B$16+$B$17))*(2^(((M22 - 7) - $B$19)/$L$48))</f>
        <v>4.6931877328275249</v>
      </c>
      <c r="N33" s="198">
        <f t="shared" ref="N33:AK33" si="30">($L$23*($B$16+$B$17))*(2^(((N22-7)-$L$22)/HLOOKUP((N22-7)-$B$19,$L$46:$AM$48,3,TRUE)))</f>
        <v>7.9471976804692028</v>
      </c>
      <c r="O33" s="198">
        <f t="shared" si="30"/>
        <v>18.968645416344785</v>
      </c>
      <c r="P33" s="198">
        <f t="shared" si="30"/>
        <v>29.467543857131108</v>
      </c>
      <c r="Q33" s="198">
        <f t="shared" si="30"/>
        <v>56.748395631433958</v>
      </c>
      <c r="R33" s="198">
        <f t="shared" si="30"/>
        <v>123.46509239906847</v>
      </c>
      <c r="S33" s="198">
        <f t="shared" si="30"/>
        <v>227.38643858014458</v>
      </c>
      <c r="T33" s="198">
        <f t="shared" si="30"/>
        <v>539.69701610130301</v>
      </c>
      <c r="U33" s="198">
        <f t="shared" si="30"/>
        <v>1754.1437959922339</v>
      </c>
      <c r="V33" s="198">
        <f t="shared" si="30"/>
        <v>5743.7813709348993</v>
      </c>
      <c r="W33" s="198">
        <f t="shared" si="30"/>
        <v>10890.879945956123</v>
      </c>
      <c r="X33" s="198">
        <f t="shared" si="30"/>
        <v>23844.437956518799</v>
      </c>
      <c r="Y33" s="198">
        <f t="shared" si="30"/>
        <v>42137.415728049069</v>
      </c>
      <c r="Z33" s="198">
        <f t="shared" si="30"/>
        <v>83775.652124757922</v>
      </c>
      <c r="AA33" s="198">
        <f t="shared" si="30"/>
        <v>163384.40422015599</v>
      </c>
      <c r="AB33" s="198">
        <f t="shared" si="30"/>
        <v>320336.15013261209</v>
      </c>
      <c r="AC33" s="198">
        <f t="shared" si="30"/>
        <v>630443.24926000752</v>
      </c>
      <c r="AD33" s="198">
        <f t="shared" si="30"/>
        <v>1244232.923073899</v>
      </c>
      <c r="AE33" s="198">
        <f t="shared" si="30"/>
        <v>2460828.0462744394</v>
      </c>
      <c r="AF33" s="198">
        <f t="shared" si="30"/>
        <v>4875053.9601374241</v>
      </c>
      <c r="AG33" s="198">
        <f t="shared" si="30"/>
        <v>9670468.0593217257</v>
      </c>
      <c r="AH33" s="225">
        <f t="shared" si="30"/>
        <v>19203269.026524834</v>
      </c>
      <c r="AI33" s="194">
        <f t="shared" si="30"/>
        <v>38166196.049171478</v>
      </c>
      <c r="AJ33" s="194">
        <f t="shared" si="30"/>
        <v>75909156.029367983</v>
      </c>
      <c r="AK33" s="195">
        <f t="shared" si="30"/>
        <v>75909156.029367983</v>
      </c>
      <c r="AL33" s="194">
        <f>($L$23*($B$16+$B$17))*(2^(((AL22 - 7) - $L$22)/AL48))</f>
        <v>162490709.14479673</v>
      </c>
      <c r="AM33" s="231">
        <f>AM23*(B16+B17)</f>
        <v>15870578.4</v>
      </c>
      <c r="AN33" s="45"/>
      <c r="AO33" s="45"/>
      <c r="AP33" s="66"/>
    </row>
    <row r="34" spans="1:42" x14ac:dyDescent="0.25">
      <c r="A34" s="37" t="s">
        <v>158</v>
      </c>
      <c r="B34" s="38"/>
      <c r="C34" s="39"/>
      <c r="D34" s="39"/>
      <c r="E34" s="39"/>
      <c r="F34" s="39"/>
      <c r="G34" s="39"/>
      <c r="H34" s="39"/>
      <c r="I34" s="39"/>
      <c r="J34" s="39"/>
      <c r="K34" s="62"/>
      <c r="L34" s="192">
        <f t="shared" ref="L34:T34" si="31">L33</f>
        <v>2.8870253994390738</v>
      </c>
      <c r="M34" s="193">
        <f t="shared" si="31"/>
        <v>4.6931877328275249</v>
      </c>
      <c r="N34" s="193">
        <f t="shared" si="31"/>
        <v>7.9471976804692028</v>
      </c>
      <c r="O34" s="193">
        <f t="shared" si="31"/>
        <v>18.968645416344785</v>
      </c>
      <c r="P34" s="193">
        <f t="shared" si="31"/>
        <v>29.467543857131108</v>
      </c>
      <c r="Q34" s="193">
        <f t="shared" si="31"/>
        <v>56.748395631433958</v>
      </c>
      <c r="R34" s="193">
        <f t="shared" si="31"/>
        <v>123.46509239906847</v>
      </c>
      <c r="S34" s="193">
        <f t="shared" si="31"/>
        <v>227.38643858014458</v>
      </c>
      <c r="T34" s="193">
        <f t="shared" si="31"/>
        <v>539.69701610130301</v>
      </c>
      <c r="U34" s="184">
        <f t="shared" ref="U34:AL34" si="32">MAX(U33-($L$23*$B$16)*(2^(((U22 - 42) - $L$22)/HLOOKUP((U22-42)-$B$19,$L$46:$AM$48,3,TRUE)))-U36,0)</f>
        <v>1588.6805460666544</v>
      </c>
      <c r="V34" s="184">
        <f t="shared" si="32"/>
        <v>4897.6535258136473</v>
      </c>
      <c r="W34" s="184">
        <f t="shared" si="32"/>
        <v>8266.2297075609786</v>
      </c>
      <c r="X34" s="184">
        <f t="shared" si="32"/>
        <v>18479.218827140961</v>
      </c>
      <c r="Y34" s="184">
        <f t="shared" si="32"/>
        <v>28370.954103857839</v>
      </c>
      <c r="Z34" s="184">
        <f t="shared" si="32"/>
        <v>59674.384286196801</v>
      </c>
      <c r="AA34" s="184">
        <f t="shared" si="32"/>
        <v>114416.42944885735</v>
      </c>
      <c r="AB34" s="184">
        <f t="shared" si="32"/>
        <v>231206.55578417089</v>
      </c>
      <c r="AC34" s="184">
        <f t="shared" si="32"/>
        <v>458278.98712400655</v>
      </c>
      <c r="AD34" s="184">
        <f t="shared" si="32"/>
        <v>912177.1721235119</v>
      </c>
      <c r="AE34" s="184">
        <f t="shared" si="32"/>
        <v>1816129.3637683322</v>
      </c>
      <c r="AF34" s="184">
        <f t="shared" si="32"/>
        <v>3617135.6474213023</v>
      </c>
      <c r="AG34" s="184">
        <f t="shared" si="32"/>
        <v>7206709.3112805709</v>
      </c>
      <c r="AH34" s="228">
        <f t="shared" si="32"/>
        <v>14363341.491593558</v>
      </c>
      <c r="AI34" s="189">
        <f t="shared" si="32"/>
        <v>28635713.151329797</v>
      </c>
      <c r="AJ34" s="189">
        <f t="shared" si="32"/>
        <v>57105943.675268471</v>
      </c>
      <c r="AK34" s="190">
        <f t="shared" si="32"/>
        <v>57105943.675268471</v>
      </c>
      <c r="AL34" s="189">
        <f t="shared" si="32"/>
        <v>125333599.28128196</v>
      </c>
      <c r="AM34" s="233"/>
      <c r="AN34" s="45"/>
      <c r="AO34" s="45"/>
      <c r="AP34" s="66"/>
    </row>
    <row r="35" spans="1:42" x14ac:dyDescent="0.25">
      <c r="A35" s="61" t="s">
        <v>111</v>
      </c>
      <c r="B35" s="9"/>
      <c r="C35" s="9"/>
      <c r="D35" s="9"/>
      <c r="E35" s="9"/>
      <c r="F35" s="9"/>
      <c r="G35" s="9"/>
      <c r="H35" s="9"/>
      <c r="I35" s="9"/>
      <c r="J35" s="9"/>
      <c r="K35" s="5"/>
      <c r="L35" s="213">
        <f>(1*$B$17)*(2^(((L22 - 14) -$B$19)/$L$48))</f>
        <v>0.38480681703630393</v>
      </c>
      <c r="M35" s="208">
        <f>(1*$B$17)*(2^(((M22 - 14) -$B$19)/$L$48))</f>
        <v>0.62554719247502066</v>
      </c>
      <c r="N35" s="208">
        <f>(1*$B$17)*(2^(((N22 - 14) -$B$19)/$L$48))</f>
        <v>1.0168980191857229</v>
      </c>
      <c r="O35" s="198">
        <f t="shared" ref="O35:AL35" si="33">($L$23*$B$17)*(2^(((O22 - 14) - $L$22)/HLOOKUP((O22-14)-$B$19,$L$46:$AM$48,3,TRUE)))</f>
        <v>1.7219617111880618</v>
      </c>
      <c r="P35" s="198">
        <f t="shared" si="33"/>
        <v>3.2291666666666661</v>
      </c>
      <c r="Q35" s="198">
        <f t="shared" si="33"/>
        <v>5.7717406572031598</v>
      </c>
      <c r="R35" s="198">
        <f t="shared" si="33"/>
        <v>8.8621419402739328</v>
      </c>
      <c r="S35" s="198">
        <f t="shared" si="33"/>
        <v>17.196571273860446</v>
      </c>
      <c r="T35" s="198">
        <f t="shared" si="33"/>
        <v>44.010332071279819</v>
      </c>
      <c r="U35" s="198">
        <f t="shared" si="33"/>
        <v>165.92143795722515</v>
      </c>
      <c r="V35" s="198">
        <f t="shared" si="33"/>
        <v>853.80466147771358</v>
      </c>
      <c r="W35" s="198">
        <f t="shared" si="33"/>
        <v>2680.4877529501259</v>
      </c>
      <c r="X35" s="198">
        <f t="shared" si="33"/>
        <v>5418.0589453962111</v>
      </c>
      <c r="Y35" s="198">
        <f t="shared" si="33"/>
        <v>11256.180833326916</v>
      </c>
      <c r="Z35" s="198">
        <f t="shared" si="33"/>
        <v>18918.039334017998</v>
      </c>
      <c r="AA35" s="198">
        <f t="shared" si="33"/>
        <v>36452.700254129806</v>
      </c>
      <c r="AB35" s="198">
        <f t="shared" si="33"/>
        <v>69324.264739547973</v>
      </c>
      <c r="AC35" s="198">
        <f t="shared" si="33"/>
        <v>133243.48478417165</v>
      </c>
      <c r="AD35" s="198">
        <f t="shared" si="33"/>
        <v>258045.3756086721</v>
      </c>
      <c r="AE35" s="198">
        <f t="shared" si="33"/>
        <v>502547.90302361763</v>
      </c>
      <c r="AF35" s="198">
        <f t="shared" si="33"/>
        <v>982893.87227280345</v>
      </c>
      <c r="AG35" s="198">
        <f t="shared" si="33"/>
        <v>1928736.7269399972</v>
      </c>
      <c r="AH35" s="225">
        <f t="shared" si="33"/>
        <v>3794714.3549153414</v>
      </c>
      <c r="AI35" s="194">
        <f t="shared" si="33"/>
        <v>7481771.4459297042</v>
      </c>
      <c r="AJ35" s="194">
        <f t="shared" si="33"/>
        <v>14776849.931936024</v>
      </c>
      <c r="AK35" s="195">
        <f t="shared" si="33"/>
        <v>14776849.931936024</v>
      </c>
      <c r="AL35" s="194">
        <f t="shared" si="33"/>
        <v>29226878.846859612</v>
      </c>
      <c r="AM35" s="231">
        <f>AM23*B17</f>
        <v>4176468</v>
      </c>
      <c r="AN35" s="45"/>
      <c r="AO35" s="45"/>
      <c r="AP35" s="66"/>
    </row>
    <row r="36" spans="1:42" x14ac:dyDescent="0.25">
      <c r="A36" s="37" t="s">
        <v>159</v>
      </c>
      <c r="B36" s="38"/>
      <c r="C36" s="39"/>
      <c r="D36" s="39"/>
      <c r="E36" s="39"/>
      <c r="F36" s="39"/>
      <c r="G36" s="39"/>
      <c r="H36" s="39"/>
      <c r="I36" s="39"/>
      <c r="J36" s="39"/>
      <c r="K36" s="62"/>
      <c r="L36" s="192">
        <f t="shared" ref="L36:S36" si="34">L35</f>
        <v>0.38480681703630393</v>
      </c>
      <c r="M36" s="193">
        <f t="shared" si="34"/>
        <v>0.62554719247502066</v>
      </c>
      <c r="N36" s="193">
        <f t="shared" si="34"/>
        <v>1.0168980191857229</v>
      </c>
      <c r="O36" s="193">
        <f t="shared" si="34"/>
        <v>1.7219617111880618</v>
      </c>
      <c r="P36" s="193">
        <f t="shared" si="34"/>
        <v>3.2291666666666661</v>
      </c>
      <c r="Q36" s="193">
        <f t="shared" si="34"/>
        <v>5.7717406572031598</v>
      </c>
      <c r="R36" s="193">
        <f t="shared" si="34"/>
        <v>8.8621419402739328</v>
      </c>
      <c r="S36" s="193">
        <f t="shared" si="34"/>
        <v>17.196571273860446</v>
      </c>
      <c r="T36" s="191">
        <f t="shared" ref="T36:AL36" si="35">MAX(T35-($L$23*$B$17)*(2^(((T22 - 35) - $L$22)/HLOOKUP((T22-35)-$B$19,$L$46:$AM$48,3,TRUE))),0)</f>
        <v>42.288370360091754</v>
      </c>
      <c r="U36" s="191">
        <f t="shared" si="35"/>
        <v>160.14969730002198</v>
      </c>
      <c r="V36" s="191">
        <f t="shared" si="35"/>
        <v>821.313847688485</v>
      </c>
      <c r="W36" s="191">
        <f t="shared" si="35"/>
        <v>2457.1023362834594</v>
      </c>
      <c r="X36" s="191">
        <f t="shared" si="35"/>
        <v>4256.8857960445075</v>
      </c>
      <c r="Y36" s="191">
        <f t="shared" si="35"/>
        <v>9534.2016666602503</v>
      </c>
      <c r="Z36" s="191">
        <f t="shared" si="35"/>
        <v>14986.402103946342</v>
      </c>
      <c r="AA36" s="191">
        <f t="shared" si="35"/>
        <v>29220.160301908527</v>
      </c>
      <c r="AB36" s="191">
        <f t="shared" si="35"/>
        <v>54580.179486405956</v>
      </c>
      <c r="AC36" s="191">
        <f t="shared" si="35"/>
        <v>103903.46608767209</v>
      </c>
      <c r="AD36" s="191">
        <f t="shared" si="35"/>
        <v>199598.21020663422</v>
      </c>
      <c r="AE36" s="191">
        <f t="shared" si="35"/>
        <v>386029.24897182453</v>
      </c>
      <c r="AF36" s="191">
        <f t="shared" si="35"/>
        <v>750475.42585555464</v>
      </c>
      <c r="AG36" s="191">
        <f t="shared" si="35"/>
        <v>1464936.98123152</v>
      </c>
      <c r="AH36" s="228">
        <f t="shared" si="35"/>
        <v>2868878.2040117076</v>
      </c>
      <c r="AI36" s="189">
        <f t="shared" si="35"/>
        <v>5633134.0050816499</v>
      </c>
      <c r="AJ36" s="189">
        <f t="shared" si="35"/>
        <v>11084853.476123881</v>
      </c>
      <c r="AK36" s="190">
        <f t="shared" si="35"/>
        <v>11084853.476123881</v>
      </c>
      <c r="AL36" s="189">
        <f t="shared" si="35"/>
        <v>21852150.725925669</v>
      </c>
      <c r="AM36" s="231"/>
      <c r="AN36" s="45"/>
      <c r="AO36" s="45"/>
      <c r="AP36" s="66"/>
    </row>
    <row r="37" spans="1:42" x14ac:dyDescent="0.25">
      <c r="A37" s="41" t="s">
        <v>55</v>
      </c>
      <c r="B37" s="15"/>
      <c r="C37" s="16"/>
      <c r="D37" s="16"/>
      <c r="E37" s="16"/>
      <c r="F37" s="16"/>
      <c r="G37" s="16"/>
      <c r="H37" s="16"/>
      <c r="I37" s="16"/>
      <c r="J37" s="16"/>
      <c r="K37" s="16"/>
      <c r="L37" s="214">
        <f t="shared" ref="L37:AL37" si="36">L23*$B$18</f>
        <v>0.90625</v>
      </c>
      <c r="M37" s="215">
        <f t="shared" si="36"/>
        <v>1.8125</v>
      </c>
      <c r="N37" s="215">
        <f t="shared" si="36"/>
        <v>3.625</v>
      </c>
      <c r="O37" s="215">
        <f t="shared" si="36"/>
        <v>7.25</v>
      </c>
      <c r="P37" s="215">
        <f t="shared" si="36"/>
        <v>14.5</v>
      </c>
      <c r="Q37" s="215">
        <f t="shared" si="36"/>
        <v>29</v>
      </c>
      <c r="R37" s="215">
        <f t="shared" si="36"/>
        <v>58</v>
      </c>
      <c r="S37" s="215">
        <f t="shared" si="36"/>
        <v>116</v>
      </c>
      <c r="T37" s="215">
        <f t="shared" si="36"/>
        <v>232</v>
      </c>
      <c r="U37" s="215">
        <f t="shared" si="36"/>
        <v>464</v>
      </c>
      <c r="V37" s="215">
        <f t="shared" si="36"/>
        <v>928</v>
      </c>
      <c r="W37" s="215">
        <f t="shared" si="36"/>
        <v>1856</v>
      </c>
      <c r="X37" s="215">
        <f t="shared" si="36"/>
        <v>3712</v>
      </c>
      <c r="Y37" s="215">
        <f t="shared" si="36"/>
        <v>7424</v>
      </c>
      <c r="Z37" s="215">
        <f t="shared" si="36"/>
        <v>14848</v>
      </c>
      <c r="AA37" s="215">
        <f t="shared" si="36"/>
        <v>29696</v>
      </c>
      <c r="AB37" s="215">
        <f t="shared" si="36"/>
        <v>59392</v>
      </c>
      <c r="AC37" s="215">
        <f t="shared" si="36"/>
        <v>118784</v>
      </c>
      <c r="AD37" s="215">
        <f t="shared" si="36"/>
        <v>237568</v>
      </c>
      <c r="AE37" s="215">
        <f t="shared" si="36"/>
        <v>475136</v>
      </c>
      <c r="AF37" s="215">
        <f t="shared" ref="AF37:AK37" si="37">AF23*$B$18</f>
        <v>950272</v>
      </c>
      <c r="AG37" s="215">
        <f t="shared" si="37"/>
        <v>1900544</v>
      </c>
      <c r="AH37" s="227">
        <f t="shared" si="37"/>
        <v>3801088</v>
      </c>
      <c r="AI37" s="185">
        <f t="shared" si="37"/>
        <v>7602176</v>
      </c>
      <c r="AJ37" s="185">
        <f t="shared" ref="AJ37" si="38">AJ23*$B$18</f>
        <v>15204352</v>
      </c>
      <c r="AK37" s="186">
        <f t="shared" si="37"/>
        <v>30408704</v>
      </c>
      <c r="AL37" s="194">
        <f t="shared" si="36"/>
        <v>40372524</v>
      </c>
      <c r="AM37" s="231">
        <f>AM23*B18</f>
        <v>2422351.44</v>
      </c>
      <c r="AN37" s="45"/>
      <c r="AO37" s="45"/>
      <c r="AP37" s="66"/>
    </row>
    <row r="38" spans="1:42" x14ac:dyDescent="0.25">
      <c r="A38" s="37" t="s">
        <v>54</v>
      </c>
      <c r="B38" s="38"/>
      <c r="C38" s="39"/>
      <c r="D38" s="39"/>
      <c r="E38" s="39"/>
      <c r="F38" s="39"/>
      <c r="G38" s="39"/>
      <c r="H38" s="39"/>
      <c r="I38" s="39"/>
      <c r="J38" s="39"/>
      <c r="K38" s="39"/>
      <c r="L38" s="187"/>
      <c r="M38" s="188"/>
      <c r="N38" s="188"/>
      <c r="O38" s="188"/>
      <c r="P38" s="188"/>
      <c r="Q38" s="188"/>
      <c r="R38" s="188"/>
      <c r="S38" s="188"/>
      <c r="T38" s="196">
        <f t="shared" ref="T38:AL38" si="39">($L$23*$B$18)*(2^(((T22-35)-$L$22)/HLOOKUP((T22-35)-$B$19,$L$46:$AM$48,3,TRUE)))</f>
        <v>0.9987377924890759</v>
      </c>
      <c r="U38" s="196">
        <f t="shared" si="39"/>
        <v>3.3476095811778324</v>
      </c>
      <c r="V38" s="196">
        <f t="shared" si="39"/>
        <v>18.844671997752556</v>
      </c>
      <c r="W38" s="196">
        <f t="shared" si="39"/>
        <v>129.56354166666665</v>
      </c>
      <c r="X38" s="196">
        <f t="shared" si="39"/>
        <v>673.4804266239878</v>
      </c>
      <c r="Y38" s="196">
        <f t="shared" si="39"/>
        <v>998.74791666666636</v>
      </c>
      <c r="Z38" s="196">
        <f t="shared" si="39"/>
        <v>2280.3495934415605</v>
      </c>
      <c r="AA38" s="196">
        <f t="shared" si="39"/>
        <v>4194.8731722883422</v>
      </c>
      <c r="AB38" s="196">
        <f t="shared" si="39"/>
        <v>8551.5694468223701</v>
      </c>
      <c r="AC38" s="196">
        <f t="shared" si="39"/>
        <v>17017.210843969748</v>
      </c>
      <c r="AD38" s="196">
        <f t="shared" si="39"/>
        <v>33899.355933181978</v>
      </c>
      <c r="AE38" s="196">
        <f t="shared" si="39"/>
        <v>67580.819350039979</v>
      </c>
      <c r="AF38" s="196">
        <f t="shared" si="39"/>
        <v>134802.69892200435</v>
      </c>
      <c r="AG38" s="196">
        <f t="shared" si="39"/>
        <v>269003.85251091688</v>
      </c>
      <c r="AH38" s="228">
        <f t="shared" si="39"/>
        <v>536984.96752410755</v>
      </c>
      <c r="AI38" s="189">
        <f t="shared" si="39"/>
        <v>1072209.7156918715</v>
      </c>
      <c r="AJ38" s="189">
        <f t="shared" si="39"/>
        <v>2141357.9443710428</v>
      </c>
      <c r="AK38" s="190">
        <f t="shared" si="39"/>
        <v>2141357.9443710428</v>
      </c>
      <c r="AL38" s="189">
        <f t="shared" si="39"/>
        <v>4277342.3101416854</v>
      </c>
      <c r="AM38" s="234">
        <f>($L$23*$B$18)*(2^(((AM22 - 35) - $L$22)/AM48))</f>
        <v>4995044.7473992435</v>
      </c>
      <c r="AN38" s="45"/>
      <c r="AO38" s="45"/>
      <c r="AP38" s="66"/>
    </row>
    <row r="39" spans="1:42" s="66" customFormat="1" hidden="1" x14ac:dyDescent="0.25">
      <c r="A39" s="48" t="s">
        <v>105</v>
      </c>
      <c r="B39" s="25"/>
      <c r="C39" s="47"/>
      <c r="D39" s="47"/>
      <c r="E39" s="47"/>
      <c r="F39" s="47"/>
      <c r="G39" s="47"/>
      <c r="H39" s="47"/>
      <c r="I39" s="47"/>
      <c r="J39" s="47"/>
      <c r="K39" s="47"/>
      <c r="L39" s="140">
        <f t="shared" ref="L39:AL39" si="40">L22-7</f>
        <v>43888</v>
      </c>
      <c r="M39" s="140">
        <f t="shared" si="40"/>
        <v>43893</v>
      </c>
      <c r="N39" s="140">
        <f t="shared" si="40"/>
        <v>43898</v>
      </c>
      <c r="O39" s="140">
        <f t="shared" si="40"/>
        <v>43903</v>
      </c>
      <c r="P39" s="140">
        <f t="shared" si="40"/>
        <v>43907</v>
      </c>
      <c r="Q39" s="140">
        <f t="shared" si="40"/>
        <v>43911</v>
      </c>
      <c r="R39" s="140">
        <f t="shared" si="40"/>
        <v>43915</v>
      </c>
      <c r="S39" s="140">
        <f t="shared" si="40"/>
        <v>43919</v>
      </c>
      <c r="T39" s="140">
        <f t="shared" si="40"/>
        <v>43924</v>
      </c>
      <c r="U39" s="140">
        <f t="shared" si="40"/>
        <v>43932</v>
      </c>
      <c r="V39" s="140">
        <f t="shared" si="40"/>
        <v>43943</v>
      </c>
      <c r="W39" s="140">
        <f t="shared" si="40"/>
        <v>43954</v>
      </c>
      <c r="X39" s="140">
        <f t="shared" si="40"/>
        <v>43966</v>
      </c>
      <c r="Y39" s="140">
        <f t="shared" si="40"/>
        <v>43978</v>
      </c>
      <c r="Z39" s="140">
        <f t="shared" si="40"/>
        <v>43990</v>
      </c>
      <c r="AA39" s="140">
        <f t="shared" si="40"/>
        <v>44002</v>
      </c>
      <c r="AB39" s="140">
        <f t="shared" si="40"/>
        <v>44014</v>
      </c>
      <c r="AC39" s="140">
        <f t="shared" si="40"/>
        <v>44026</v>
      </c>
      <c r="AD39" s="140">
        <f t="shared" si="40"/>
        <v>44038</v>
      </c>
      <c r="AE39" s="140">
        <f t="shared" si="40"/>
        <v>44050</v>
      </c>
      <c r="AF39" s="140"/>
      <c r="AG39" s="140"/>
      <c r="AH39" s="140"/>
      <c r="AI39" s="140"/>
      <c r="AJ39" s="140"/>
      <c r="AK39" s="140"/>
      <c r="AL39" s="140">
        <f t="shared" si="40"/>
        <v>44122</v>
      </c>
      <c r="AM39" s="140"/>
      <c r="AN39" s="45"/>
      <c r="AO39" s="45"/>
    </row>
    <row r="40" spans="1:42" s="66" customFormat="1" hidden="1" x14ac:dyDescent="0.25">
      <c r="A40" s="48" t="s">
        <v>103</v>
      </c>
      <c r="B40" s="25"/>
      <c r="C40" s="47"/>
      <c r="D40" s="47"/>
      <c r="E40" s="47"/>
      <c r="F40" s="47"/>
      <c r="G40" s="47"/>
      <c r="H40" s="47"/>
      <c r="I40" s="47"/>
      <c r="J40" s="47"/>
      <c r="K40" s="47"/>
      <c r="L40" s="140">
        <f t="shared" ref="L40:AL40" si="41">L22-14</f>
        <v>43881</v>
      </c>
      <c r="M40" s="140">
        <f t="shared" si="41"/>
        <v>43886</v>
      </c>
      <c r="N40" s="140">
        <f t="shared" si="41"/>
        <v>43891</v>
      </c>
      <c r="O40" s="140">
        <f t="shared" si="41"/>
        <v>43896</v>
      </c>
      <c r="P40" s="140">
        <f t="shared" si="41"/>
        <v>43900</v>
      </c>
      <c r="Q40" s="140">
        <f t="shared" si="41"/>
        <v>43904</v>
      </c>
      <c r="R40" s="140">
        <f t="shared" si="41"/>
        <v>43908</v>
      </c>
      <c r="S40" s="140">
        <f t="shared" si="41"/>
        <v>43912</v>
      </c>
      <c r="T40" s="140">
        <f t="shared" si="41"/>
        <v>43917</v>
      </c>
      <c r="U40" s="140">
        <f t="shared" si="41"/>
        <v>43925</v>
      </c>
      <c r="V40" s="140">
        <f t="shared" si="41"/>
        <v>43936</v>
      </c>
      <c r="W40" s="140">
        <f t="shared" si="41"/>
        <v>43947</v>
      </c>
      <c r="X40" s="140">
        <f t="shared" si="41"/>
        <v>43959</v>
      </c>
      <c r="Y40" s="140">
        <f t="shared" si="41"/>
        <v>43971</v>
      </c>
      <c r="Z40" s="140">
        <f t="shared" si="41"/>
        <v>43983</v>
      </c>
      <c r="AA40" s="140">
        <f t="shared" si="41"/>
        <v>43995</v>
      </c>
      <c r="AB40" s="140">
        <f t="shared" si="41"/>
        <v>44007</v>
      </c>
      <c r="AC40" s="140">
        <f t="shared" si="41"/>
        <v>44019</v>
      </c>
      <c r="AD40" s="140">
        <f t="shared" si="41"/>
        <v>44031</v>
      </c>
      <c r="AE40" s="140">
        <f t="shared" si="41"/>
        <v>44043</v>
      </c>
      <c r="AF40" s="140"/>
      <c r="AG40" s="140"/>
      <c r="AH40" s="140"/>
      <c r="AI40" s="140"/>
      <c r="AJ40" s="140"/>
      <c r="AK40" s="140"/>
      <c r="AL40" s="140">
        <f t="shared" si="41"/>
        <v>44115</v>
      </c>
      <c r="AM40" s="140"/>
      <c r="AN40" s="45"/>
      <c r="AO40" s="45"/>
    </row>
    <row r="41" spans="1:42" s="66" customFormat="1" hidden="1" x14ac:dyDescent="0.25">
      <c r="A41" s="48" t="s">
        <v>106</v>
      </c>
      <c r="B41" s="25"/>
      <c r="C41" s="47"/>
      <c r="D41" s="47"/>
      <c r="E41" s="47"/>
      <c r="F41" s="47"/>
      <c r="G41" s="47"/>
      <c r="H41" s="47"/>
      <c r="I41" s="47"/>
      <c r="J41" s="47"/>
      <c r="K41" s="47"/>
      <c r="L41" s="140">
        <f t="shared" ref="L41:AL41" si="42">L22-(7*5)</f>
        <v>43860</v>
      </c>
      <c r="M41" s="140">
        <f t="shared" si="42"/>
        <v>43865</v>
      </c>
      <c r="N41" s="140">
        <f t="shared" si="42"/>
        <v>43870</v>
      </c>
      <c r="O41" s="140">
        <f t="shared" si="42"/>
        <v>43875</v>
      </c>
      <c r="P41" s="140">
        <f t="shared" si="42"/>
        <v>43879</v>
      </c>
      <c r="Q41" s="140">
        <f t="shared" si="42"/>
        <v>43883</v>
      </c>
      <c r="R41" s="140">
        <f t="shared" si="42"/>
        <v>43887</v>
      </c>
      <c r="S41" s="140">
        <f t="shared" si="42"/>
        <v>43891</v>
      </c>
      <c r="T41" s="140">
        <f t="shared" si="42"/>
        <v>43896</v>
      </c>
      <c r="U41" s="140">
        <f t="shared" si="42"/>
        <v>43904</v>
      </c>
      <c r="V41" s="140">
        <f t="shared" si="42"/>
        <v>43915</v>
      </c>
      <c r="W41" s="140">
        <f t="shared" si="42"/>
        <v>43926</v>
      </c>
      <c r="X41" s="140">
        <f t="shared" si="42"/>
        <v>43938</v>
      </c>
      <c r="Y41" s="140">
        <f t="shared" si="42"/>
        <v>43950</v>
      </c>
      <c r="Z41" s="140">
        <f t="shared" si="42"/>
        <v>43962</v>
      </c>
      <c r="AA41" s="140">
        <f t="shared" si="42"/>
        <v>43974</v>
      </c>
      <c r="AB41" s="140">
        <f t="shared" si="42"/>
        <v>43986</v>
      </c>
      <c r="AC41" s="140">
        <f t="shared" si="42"/>
        <v>43998</v>
      </c>
      <c r="AD41" s="140">
        <f t="shared" si="42"/>
        <v>44010</v>
      </c>
      <c r="AE41" s="140">
        <f t="shared" si="42"/>
        <v>44022</v>
      </c>
      <c r="AF41" s="140"/>
      <c r="AG41" s="140"/>
      <c r="AH41" s="140"/>
      <c r="AI41" s="140"/>
      <c r="AJ41" s="140"/>
      <c r="AK41" s="140"/>
      <c r="AL41" s="140">
        <f t="shared" si="42"/>
        <v>44094</v>
      </c>
      <c r="AM41" s="140"/>
      <c r="AN41" s="45"/>
      <c r="AO41" s="45"/>
    </row>
    <row r="42" spans="1:42" s="66" customFormat="1" hidden="1" x14ac:dyDescent="0.25">
      <c r="A42" s="48" t="s">
        <v>104</v>
      </c>
      <c r="B42" s="25"/>
      <c r="C42" s="47"/>
      <c r="D42" s="47"/>
      <c r="E42" s="47"/>
      <c r="F42" s="47"/>
      <c r="G42" s="47"/>
      <c r="H42" s="47"/>
      <c r="I42" s="47"/>
      <c r="J42" s="47"/>
      <c r="K42" s="47"/>
      <c r="L42" s="140">
        <f t="shared" ref="L42:AL42" si="43">L22-(6*7)</f>
        <v>43853</v>
      </c>
      <c r="M42" s="140">
        <f t="shared" si="43"/>
        <v>43858</v>
      </c>
      <c r="N42" s="140">
        <f t="shared" si="43"/>
        <v>43863</v>
      </c>
      <c r="O42" s="140">
        <f t="shared" si="43"/>
        <v>43868</v>
      </c>
      <c r="P42" s="140">
        <f t="shared" si="43"/>
        <v>43872</v>
      </c>
      <c r="Q42" s="140">
        <f t="shared" si="43"/>
        <v>43876</v>
      </c>
      <c r="R42" s="140">
        <f t="shared" si="43"/>
        <v>43880</v>
      </c>
      <c r="S42" s="140">
        <f t="shared" si="43"/>
        <v>43884</v>
      </c>
      <c r="T42" s="140">
        <f t="shared" si="43"/>
        <v>43889</v>
      </c>
      <c r="U42" s="140">
        <f t="shared" si="43"/>
        <v>43897</v>
      </c>
      <c r="V42" s="140">
        <f t="shared" si="43"/>
        <v>43908</v>
      </c>
      <c r="W42" s="140">
        <f t="shared" si="43"/>
        <v>43919</v>
      </c>
      <c r="X42" s="140">
        <f t="shared" si="43"/>
        <v>43931</v>
      </c>
      <c r="Y42" s="140">
        <f t="shared" si="43"/>
        <v>43943</v>
      </c>
      <c r="Z42" s="140">
        <f t="shared" si="43"/>
        <v>43955</v>
      </c>
      <c r="AA42" s="140">
        <f t="shared" si="43"/>
        <v>43967</v>
      </c>
      <c r="AB42" s="140">
        <f t="shared" si="43"/>
        <v>43979</v>
      </c>
      <c r="AC42" s="140">
        <f t="shared" si="43"/>
        <v>43991</v>
      </c>
      <c r="AD42" s="140">
        <f t="shared" si="43"/>
        <v>44003</v>
      </c>
      <c r="AE42" s="140">
        <f t="shared" si="43"/>
        <v>44015</v>
      </c>
      <c r="AF42" s="140"/>
      <c r="AG42" s="140"/>
      <c r="AH42" s="140"/>
      <c r="AI42" s="140"/>
      <c r="AJ42" s="140"/>
      <c r="AK42" s="140"/>
      <c r="AL42" s="140">
        <f t="shared" si="43"/>
        <v>44087</v>
      </c>
      <c r="AM42" s="140"/>
      <c r="AN42" s="45"/>
      <c r="AO42" s="45"/>
    </row>
    <row r="44" spans="1:42" x14ac:dyDescent="0.25">
      <c r="A44" s="52" t="s">
        <v>47</v>
      </c>
      <c r="B44" s="15"/>
      <c r="C44" s="16"/>
      <c r="D44" s="16"/>
      <c r="E44" s="16"/>
      <c r="F44" s="16"/>
      <c r="G44" s="16"/>
      <c r="H44" s="16"/>
      <c r="I44" s="16"/>
      <c r="J44" s="16"/>
      <c r="K44" s="16"/>
    </row>
    <row r="45" spans="1:42" s="66" customFormat="1" x14ac:dyDescent="0.25">
      <c r="A45" s="137" t="s">
        <v>101</v>
      </c>
      <c r="B45" s="25"/>
      <c r="C45" s="47"/>
      <c r="D45" s="47"/>
      <c r="E45" s="47"/>
      <c r="F45" s="47"/>
      <c r="G45" s="47"/>
      <c r="H45" s="47"/>
      <c r="I45" s="47"/>
      <c r="J45" s="47"/>
      <c r="K45" s="47"/>
      <c r="L45" s="255">
        <f t="shared" ref="L45:AM45" si="44">(L22-$B$19)/7</f>
        <v>5</v>
      </c>
      <c r="M45" s="255">
        <f t="shared" si="44"/>
        <v>5.7142857142857144</v>
      </c>
      <c r="N45" s="256">
        <f t="shared" si="44"/>
        <v>6.4285714285714288</v>
      </c>
      <c r="O45" s="255">
        <f t="shared" si="44"/>
        <v>7.1428571428571432</v>
      </c>
      <c r="P45" s="255">
        <f t="shared" si="44"/>
        <v>7.7142857142857144</v>
      </c>
      <c r="Q45" s="256">
        <f t="shared" si="44"/>
        <v>8.2857142857142865</v>
      </c>
      <c r="R45" s="257">
        <f t="shared" si="44"/>
        <v>8.8571428571428577</v>
      </c>
      <c r="S45" s="257">
        <f t="shared" si="44"/>
        <v>9.4285714285714288</v>
      </c>
      <c r="T45" s="255">
        <f t="shared" si="44"/>
        <v>10.142857142857142</v>
      </c>
      <c r="U45" s="258">
        <f t="shared" si="44"/>
        <v>11.285714285714286</v>
      </c>
      <c r="V45" s="281">
        <f t="shared" si="44"/>
        <v>12.857142857142858</v>
      </c>
      <c r="W45" s="257">
        <f t="shared" si="44"/>
        <v>14.428571428571429</v>
      </c>
      <c r="X45" s="255">
        <f t="shared" si="44"/>
        <v>16.142857142857142</v>
      </c>
      <c r="Y45" s="281">
        <f t="shared" si="44"/>
        <v>17.857142857142858</v>
      </c>
      <c r="Z45" s="256">
        <f t="shared" si="44"/>
        <v>19.571428571428573</v>
      </c>
      <c r="AA45" s="256">
        <f t="shared" si="44"/>
        <v>21.285714285714285</v>
      </c>
      <c r="AB45" s="255">
        <f t="shared" si="44"/>
        <v>23</v>
      </c>
      <c r="AC45" s="255">
        <f t="shared" si="44"/>
        <v>24.714285714285715</v>
      </c>
      <c r="AD45" s="256">
        <f t="shared" si="44"/>
        <v>26.428571428571427</v>
      </c>
      <c r="AE45" s="257">
        <f t="shared" si="44"/>
        <v>28.142857142857142</v>
      </c>
      <c r="AF45" s="281">
        <f t="shared" ref="AF45:AK45" si="45">(AF22-$B$19)/7</f>
        <v>29.857142857142858</v>
      </c>
      <c r="AG45" s="256">
        <f t="shared" si="45"/>
        <v>31.571428571428573</v>
      </c>
      <c r="AH45" s="138">
        <f t="shared" si="45"/>
        <v>33.285714285714285</v>
      </c>
      <c r="AI45" s="135">
        <f t="shared" si="45"/>
        <v>35</v>
      </c>
      <c r="AJ45" s="135">
        <f t="shared" si="45"/>
        <v>36.714285714285715</v>
      </c>
      <c r="AK45" s="138">
        <f t="shared" si="45"/>
        <v>36.714285714285715</v>
      </c>
      <c r="AL45" s="136">
        <f>(AL22-$B$19)/7</f>
        <v>38.428571428571431</v>
      </c>
      <c r="AM45" s="136">
        <f t="shared" si="44"/>
        <v>46.428571428571431</v>
      </c>
    </row>
    <row r="46" spans="1:42" s="66" customFormat="1" x14ac:dyDescent="0.25">
      <c r="A46" s="137" t="s">
        <v>100</v>
      </c>
      <c r="B46" s="25"/>
      <c r="C46" s="47"/>
      <c r="D46" s="47"/>
      <c r="E46" s="47"/>
      <c r="F46" s="47"/>
      <c r="G46" s="47"/>
      <c r="H46" s="47"/>
      <c r="I46" s="47"/>
      <c r="J46" s="47"/>
      <c r="K46" s="47"/>
      <c r="L46" s="263">
        <f>L22-$B$19</f>
        <v>35</v>
      </c>
      <c r="M46" s="221">
        <f t="shared" ref="M46:Q46" si="46">M22-$B$19</f>
        <v>40</v>
      </c>
      <c r="N46" s="221">
        <f t="shared" si="46"/>
        <v>45</v>
      </c>
      <c r="O46" s="221">
        <f t="shared" si="46"/>
        <v>50</v>
      </c>
      <c r="P46" s="221">
        <f t="shared" si="46"/>
        <v>54</v>
      </c>
      <c r="Q46" s="221">
        <f t="shared" si="46"/>
        <v>58</v>
      </c>
      <c r="R46" s="221">
        <f>R22-$B$19</f>
        <v>62</v>
      </c>
      <c r="S46" s="221">
        <f t="shared" ref="S46:AM46" si="47">S22-$B$19</f>
        <v>66</v>
      </c>
      <c r="T46" s="221">
        <f t="shared" si="47"/>
        <v>71</v>
      </c>
      <c r="U46" s="221">
        <f t="shared" si="47"/>
        <v>79</v>
      </c>
      <c r="V46" s="221">
        <f t="shared" si="47"/>
        <v>90</v>
      </c>
      <c r="W46" s="221">
        <f t="shared" si="47"/>
        <v>101</v>
      </c>
      <c r="X46" s="221">
        <f t="shared" si="47"/>
        <v>113</v>
      </c>
      <c r="Y46" s="221">
        <f t="shared" si="47"/>
        <v>125</v>
      </c>
      <c r="Z46" s="221">
        <f t="shared" si="47"/>
        <v>137</v>
      </c>
      <c r="AA46" s="221">
        <f t="shared" si="47"/>
        <v>149</v>
      </c>
      <c r="AB46" s="221">
        <f t="shared" si="47"/>
        <v>161</v>
      </c>
      <c r="AC46" s="221">
        <f t="shared" si="47"/>
        <v>173</v>
      </c>
      <c r="AD46" s="221">
        <f t="shared" si="47"/>
        <v>185</v>
      </c>
      <c r="AE46" s="221">
        <f t="shared" si="47"/>
        <v>197</v>
      </c>
      <c r="AF46" s="221">
        <f t="shared" ref="AF46:AK46" si="48">AF22-$B$19</f>
        <v>209</v>
      </c>
      <c r="AG46" s="222">
        <f t="shared" si="48"/>
        <v>221</v>
      </c>
      <c r="AH46" s="254">
        <f t="shared" si="48"/>
        <v>233</v>
      </c>
      <c r="AI46" s="177">
        <f t="shared" si="48"/>
        <v>245</v>
      </c>
      <c r="AJ46" s="177">
        <f t="shared" si="48"/>
        <v>257</v>
      </c>
      <c r="AK46" s="252">
        <f t="shared" si="48"/>
        <v>257</v>
      </c>
      <c r="AL46" s="252">
        <f t="shared" si="47"/>
        <v>269</v>
      </c>
      <c r="AM46" s="177">
        <f t="shared" si="47"/>
        <v>325</v>
      </c>
    </row>
    <row r="47" spans="1:42" x14ac:dyDescent="0.25">
      <c r="A47" s="209" t="s">
        <v>42</v>
      </c>
      <c r="B47" s="16"/>
      <c r="C47" s="16"/>
      <c r="D47" s="16"/>
      <c r="E47" s="16"/>
      <c r="F47" s="16"/>
      <c r="G47" s="16"/>
      <c r="H47" s="16"/>
      <c r="I47" s="16"/>
      <c r="J47" s="16"/>
      <c r="K47" s="16"/>
      <c r="L47" s="259">
        <v>30</v>
      </c>
      <c r="M47" s="260">
        <v>62</v>
      </c>
      <c r="N47" s="261">
        <v>114</v>
      </c>
      <c r="O47" s="261">
        <v>249</v>
      </c>
      <c r="P47" s="261">
        <v>536</v>
      </c>
      <c r="Q47" s="261">
        <v>987</v>
      </c>
      <c r="R47" s="261">
        <v>1998</v>
      </c>
      <c r="S47" s="261">
        <v>4289</v>
      </c>
      <c r="T47" s="261">
        <v>7600</v>
      </c>
      <c r="U47" s="261">
        <v>16365</v>
      </c>
      <c r="V47" s="261">
        <v>33062</v>
      </c>
      <c r="W47" s="261">
        <v>67161</v>
      </c>
      <c r="X47" s="261">
        <v>124794</v>
      </c>
      <c r="Y47" s="262">
        <f t="shared" ref="Y47:AG47" si="49">Y23</f>
        <v>256000</v>
      </c>
      <c r="Z47" s="262">
        <f t="shared" si="49"/>
        <v>512000</v>
      </c>
      <c r="AA47" s="262">
        <f t="shared" si="49"/>
        <v>1024000</v>
      </c>
      <c r="AB47" s="262">
        <f t="shared" si="49"/>
        <v>2048000</v>
      </c>
      <c r="AC47" s="262">
        <f t="shared" si="49"/>
        <v>4096000</v>
      </c>
      <c r="AD47" s="262">
        <f t="shared" si="49"/>
        <v>8192000</v>
      </c>
      <c r="AE47" s="262">
        <f t="shared" si="49"/>
        <v>16384000</v>
      </c>
      <c r="AF47" s="262">
        <f t="shared" si="49"/>
        <v>32768000</v>
      </c>
      <c r="AG47" s="262">
        <f t="shared" si="49"/>
        <v>65536000</v>
      </c>
      <c r="AH47" s="173">
        <f t="shared" ref="AH47" si="50">AG47*2</f>
        <v>131072000</v>
      </c>
      <c r="AI47" s="173">
        <f t="shared" ref="AI47:AJ47" si="51">AH47*2</f>
        <v>262144000</v>
      </c>
      <c r="AJ47" s="173">
        <f t="shared" si="51"/>
        <v>524288000</v>
      </c>
      <c r="AK47" s="173">
        <f t="shared" ref="AK47" si="52">AI47*2</f>
        <v>524288000</v>
      </c>
      <c r="AL47" s="173">
        <f>AL23</f>
        <v>1392156000</v>
      </c>
      <c r="AM47" s="174">
        <f>AL47</f>
        <v>1392156000</v>
      </c>
    </row>
    <row r="48" spans="1:42" x14ac:dyDescent="0.25">
      <c r="A48" s="41" t="s">
        <v>156</v>
      </c>
      <c r="B48" s="16"/>
      <c r="C48" s="16"/>
      <c r="D48" s="16"/>
      <c r="E48" s="16"/>
      <c r="F48" s="16"/>
      <c r="G48" s="16"/>
      <c r="H48" s="16"/>
      <c r="I48" s="16"/>
      <c r="J48" s="16"/>
      <c r="K48" s="16"/>
      <c r="L48" s="180">
        <f>(L22-B19)/(LOG(L47/1)/LOG(2))</f>
        <v>7.1328266481677165</v>
      </c>
      <c r="M48" s="163">
        <f>(M22-$L$22)/(LOG(M47/$L$47)/LOG(2))</f>
        <v>4.7741551768942267</v>
      </c>
      <c r="N48" s="163">
        <f t="shared" ref="N48:AM48" si="53">(N22-$L$22)/(LOG(N47/$L$47)/LOG(2))</f>
        <v>5.1921095633020746</v>
      </c>
      <c r="O48" s="163">
        <f t="shared" si="53"/>
        <v>4.9130209635244562</v>
      </c>
      <c r="P48" s="163">
        <f t="shared" si="53"/>
        <v>4.5681877329756686</v>
      </c>
      <c r="Q48" s="163">
        <f t="shared" si="53"/>
        <v>4.5634778670485563</v>
      </c>
      <c r="R48" s="163">
        <f t="shared" si="53"/>
        <v>4.4573209497047444</v>
      </c>
      <c r="S48" s="163">
        <f t="shared" si="53"/>
        <v>4.3298901364730362</v>
      </c>
      <c r="T48" s="163">
        <f>(T22-$L$22)/(LOG(T47/$L$47)/LOG(2))</f>
        <v>4.508513703920614</v>
      </c>
      <c r="U48" s="163">
        <f t="shared" si="53"/>
        <v>4.8397198165418311</v>
      </c>
      <c r="V48" s="163">
        <f t="shared" si="53"/>
        <v>5.4423137689055636</v>
      </c>
      <c r="W48" s="163">
        <f t="shared" si="53"/>
        <v>5.9307474729131977</v>
      </c>
      <c r="X48" s="163">
        <f t="shared" si="53"/>
        <v>6.487944074734358</v>
      </c>
      <c r="Y48" s="172">
        <f t="shared" si="53"/>
        <v>6.8918548648145608</v>
      </c>
      <c r="Z48" s="172">
        <f t="shared" si="53"/>
        <v>7.2551939189509964</v>
      </c>
      <c r="AA48" s="172">
        <f t="shared" si="53"/>
        <v>7.5702772297853143</v>
      </c>
      <c r="AB48" s="172">
        <f t="shared" si="53"/>
        <v>7.8461195671210548</v>
      </c>
      <c r="AC48" s="172">
        <f t="shared" si="53"/>
        <v>8.0896219013635395</v>
      </c>
      <c r="AD48" s="172">
        <f t="shared" si="53"/>
        <v>8.3061566551511845</v>
      </c>
      <c r="AE48" s="172">
        <f t="shared" si="53"/>
        <v>8.4999687097811094</v>
      </c>
      <c r="AF48" s="172">
        <f t="shared" ref="AF48" si="54">(AF22-$L$22)/(LOG(AF47/$L$47)/LOG(2))</f>
        <v>8.6744564629182079</v>
      </c>
      <c r="AG48" s="172">
        <f t="shared" ref="AG48" si="55">(AG22-$L$22)/(LOG(AG47/$L$47)/LOG(2))</f>
        <v>8.8323728086762205</v>
      </c>
      <c r="AH48" s="175">
        <f t="shared" ref="AH48" si="56">(AH22-$L$22)/(LOG(AH47/$L$47)/LOG(2))</f>
        <v>8.9759714512906346</v>
      </c>
      <c r="AI48" s="175">
        <f t="shared" ref="AI48:AJ48" si="57">(AI22-$L$22)/(LOG(AI47/$L$47)/LOG(2))</f>
        <v>9.1071151474925447</v>
      </c>
      <c r="AJ48" s="175">
        <f t="shared" si="57"/>
        <v>9.2273569545305669</v>
      </c>
      <c r="AK48" s="175">
        <f t="shared" ref="AK48" si="58">(AK22-$L$22)/(LOG(AK47/$L$47)/LOG(2))</f>
        <v>9.2273569545305669</v>
      </c>
      <c r="AL48" s="175">
        <f t="shared" si="53"/>
        <v>9.1880788640576476</v>
      </c>
      <c r="AM48" s="176">
        <f t="shared" si="53"/>
        <v>11.386935344344948</v>
      </c>
    </row>
    <row r="49" spans="1:39" x14ac:dyDescent="0.25">
      <c r="A49" s="41" t="s">
        <v>200</v>
      </c>
      <c r="B49" s="16"/>
      <c r="C49" s="16"/>
      <c r="D49" s="16"/>
      <c r="E49" s="16"/>
      <c r="F49" s="16"/>
      <c r="G49" s="16"/>
      <c r="H49" s="16"/>
      <c r="I49" s="16"/>
      <c r="J49" s="16"/>
      <c r="K49" s="16"/>
      <c r="L49" s="274">
        <v>27</v>
      </c>
      <c r="M49" s="275">
        <v>58</v>
      </c>
      <c r="N49" s="275">
        <v>99</v>
      </c>
      <c r="O49" s="275">
        <v>221</v>
      </c>
      <c r="P49" s="275">
        <v>486</v>
      </c>
      <c r="Q49" s="275">
        <v>879</v>
      </c>
      <c r="R49" s="275">
        <v>1792</v>
      </c>
      <c r="S49" s="275">
        <v>3843</v>
      </c>
      <c r="T49" s="275">
        <v>6577</v>
      </c>
      <c r="U49" s="275">
        <v>13381</v>
      </c>
      <c r="V49" s="275">
        <v>23546</v>
      </c>
      <c r="W49" s="275">
        <v>43980</v>
      </c>
      <c r="X49" s="275">
        <v>69244</v>
      </c>
      <c r="Y49" s="282"/>
      <c r="Z49" s="282"/>
      <c r="AA49" s="282"/>
      <c r="AB49" s="282"/>
      <c r="AC49" s="282"/>
      <c r="AD49" s="282"/>
      <c r="AE49" s="282"/>
      <c r="AF49" s="282"/>
      <c r="AG49" s="282"/>
      <c r="AH49" s="276"/>
      <c r="AI49" s="276"/>
      <c r="AJ49" s="276"/>
      <c r="AK49" s="276"/>
      <c r="AL49" s="276"/>
      <c r="AM49" s="277"/>
    </row>
    <row r="50" spans="1:39" x14ac:dyDescent="0.25">
      <c r="A50" s="41" t="s">
        <v>62</v>
      </c>
      <c r="B50" s="16"/>
      <c r="C50" s="16"/>
      <c r="D50" s="16"/>
      <c r="E50" s="16"/>
      <c r="F50" s="16"/>
      <c r="G50" s="16"/>
      <c r="H50" s="16"/>
      <c r="I50" s="16"/>
      <c r="J50" s="16"/>
      <c r="K50" s="16"/>
      <c r="L50" s="220">
        <f>L47-L51-L49</f>
        <v>3</v>
      </c>
      <c r="M50" s="139">
        <f t="shared" ref="M50:T50" si="59">M47-M51-M49</f>
        <v>4</v>
      </c>
      <c r="N50" s="139">
        <f t="shared" si="59"/>
        <v>13</v>
      </c>
      <c r="O50" s="139">
        <f t="shared" si="59"/>
        <v>23</v>
      </c>
      <c r="P50" s="139">
        <f t="shared" si="59"/>
        <v>40</v>
      </c>
      <c r="Q50" s="139">
        <f t="shared" si="59"/>
        <v>84</v>
      </c>
      <c r="R50" s="139">
        <f t="shared" si="59"/>
        <v>148</v>
      </c>
      <c r="S50" s="139">
        <f t="shared" si="59"/>
        <v>328</v>
      </c>
      <c r="T50" s="139">
        <f t="shared" si="59"/>
        <v>774</v>
      </c>
      <c r="U50" s="139">
        <f t="shared" ref="U50:V50" si="60">U47-U51-U49</f>
        <v>2463</v>
      </c>
      <c r="V50" s="139">
        <f t="shared" si="60"/>
        <v>8437</v>
      </c>
      <c r="W50" s="139">
        <f t="shared" ref="W50:X50" si="61">W47-W51-W49</f>
        <v>20969</v>
      </c>
      <c r="X50" s="139">
        <f t="shared" si="61"/>
        <v>51824</v>
      </c>
      <c r="Y50" s="283">
        <v>82627</v>
      </c>
      <c r="Z50" s="283"/>
      <c r="AA50" s="283"/>
      <c r="AB50" s="283"/>
      <c r="AC50" s="283"/>
      <c r="AD50" s="283"/>
      <c r="AE50" s="283"/>
      <c r="AF50" s="283"/>
      <c r="AG50" s="283"/>
      <c r="AH50" s="101"/>
      <c r="AI50" s="101"/>
      <c r="AJ50" s="101"/>
      <c r="AK50" s="101"/>
      <c r="AL50" s="101"/>
      <c r="AM50" s="102"/>
    </row>
    <row r="51" spans="1:39" x14ac:dyDescent="0.25">
      <c r="A51" s="49" t="s">
        <v>43</v>
      </c>
      <c r="B51" s="38"/>
      <c r="C51" s="39"/>
      <c r="D51" s="39"/>
      <c r="E51" s="39"/>
      <c r="F51" s="39"/>
      <c r="G51" s="39"/>
      <c r="H51" s="39"/>
      <c r="I51" s="39"/>
      <c r="J51" s="39"/>
      <c r="K51" s="39"/>
      <c r="L51" s="278">
        <v>0</v>
      </c>
      <c r="M51" s="279">
        <v>0</v>
      </c>
      <c r="N51" s="280">
        <v>2</v>
      </c>
      <c r="O51" s="280">
        <v>5</v>
      </c>
      <c r="P51" s="280">
        <v>10</v>
      </c>
      <c r="Q51" s="280">
        <v>24</v>
      </c>
      <c r="R51" s="280">
        <v>58</v>
      </c>
      <c r="S51" s="280">
        <v>118</v>
      </c>
      <c r="T51" s="280">
        <v>249</v>
      </c>
      <c r="U51" s="280">
        <v>521</v>
      </c>
      <c r="V51" s="280">
        <v>1079</v>
      </c>
      <c r="W51" s="280">
        <v>2212</v>
      </c>
      <c r="X51" s="280">
        <v>3726</v>
      </c>
      <c r="Y51" s="284">
        <v>4980</v>
      </c>
      <c r="Z51" s="284"/>
      <c r="AA51" s="284"/>
      <c r="AB51" s="284"/>
      <c r="AC51" s="284"/>
      <c r="AD51" s="284"/>
      <c r="AE51" s="284"/>
      <c r="AF51" s="284"/>
      <c r="AG51" s="284"/>
      <c r="AH51" s="81"/>
      <c r="AI51" s="81"/>
      <c r="AJ51" s="81"/>
      <c r="AK51" s="81"/>
      <c r="AL51" s="81"/>
      <c r="AM51" s="34"/>
    </row>
    <row r="52" spans="1:39" x14ac:dyDescent="0.25">
      <c r="B52" s="3"/>
      <c r="L52" s="35"/>
      <c r="M52" s="35"/>
      <c r="N52" s="35"/>
      <c r="O52" s="35"/>
      <c r="P52" s="35"/>
      <c r="Q52" s="35"/>
      <c r="R52" s="35"/>
      <c r="S52" s="35"/>
      <c r="T52" s="35"/>
      <c r="U52" s="35"/>
      <c r="V52" s="35"/>
      <c r="W52" s="35"/>
      <c r="X52" s="35"/>
      <c r="Y52" s="35"/>
      <c r="Z52" s="35"/>
      <c r="AA52" s="35"/>
      <c r="AB52" s="35"/>
      <c r="AC52" s="35"/>
    </row>
    <row r="53" spans="1:39" x14ac:dyDescent="0.25">
      <c r="A53" s="71" t="s">
        <v>48</v>
      </c>
      <c r="AC53" s="16"/>
    </row>
    <row r="54" spans="1:39" x14ac:dyDescent="0.25">
      <c r="A54" s="4" t="s">
        <v>0</v>
      </c>
      <c r="B54" s="179" t="s">
        <v>117</v>
      </c>
      <c r="C54" s="5" t="s">
        <v>3</v>
      </c>
      <c r="D54" s="179" t="s">
        <v>50</v>
      </c>
      <c r="E54" s="57" t="s">
        <v>2</v>
      </c>
      <c r="F54" s="58" t="s">
        <v>188</v>
      </c>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5"/>
      <c r="AM54" s="47"/>
    </row>
    <row r="55" spans="1:39" x14ac:dyDescent="0.25">
      <c r="A55" s="41" t="s">
        <v>12</v>
      </c>
      <c r="B55" s="13">
        <f>'Population by Age - Wikipedia'!D23</f>
        <v>9.323168516819004E-3</v>
      </c>
      <c r="C55" s="12">
        <f>$B$9*B55</f>
        <v>12979304.989700677</v>
      </c>
      <c r="D55" s="22">
        <f>'Infection Rate by Age'!B4</f>
        <v>0.01</v>
      </c>
      <c r="E55" s="5"/>
      <c r="F55" s="16"/>
      <c r="G55" s="16"/>
      <c r="H55" s="16"/>
      <c r="I55" s="16"/>
      <c r="J55" s="16"/>
      <c r="K55" s="16"/>
      <c r="L55" s="18">
        <f t="shared" ref="L55:AL55" si="62">L$23*$D$55</f>
        <v>0.3125</v>
      </c>
      <c r="M55" s="19">
        <f t="shared" si="62"/>
        <v>0.625</v>
      </c>
      <c r="N55" s="19">
        <f t="shared" si="62"/>
        <v>1.25</v>
      </c>
      <c r="O55" s="19">
        <f t="shared" si="62"/>
        <v>2.5</v>
      </c>
      <c r="P55" s="19">
        <f t="shared" si="62"/>
        <v>5</v>
      </c>
      <c r="Q55" s="19">
        <f t="shared" si="62"/>
        <v>10</v>
      </c>
      <c r="R55" s="19">
        <f t="shared" si="62"/>
        <v>20</v>
      </c>
      <c r="S55" s="19">
        <f t="shared" si="62"/>
        <v>40</v>
      </c>
      <c r="T55" s="19">
        <f t="shared" si="62"/>
        <v>80</v>
      </c>
      <c r="U55" s="19">
        <f t="shared" si="62"/>
        <v>160</v>
      </c>
      <c r="V55" s="19">
        <f t="shared" si="62"/>
        <v>320</v>
      </c>
      <c r="W55" s="19">
        <f t="shared" si="62"/>
        <v>640</v>
      </c>
      <c r="X55" s="19">
        <f t="shared" si="62"/>
        <v>1280</v>
      </c>
      <c r="Y55" s="19">
        <f t="shared" si="62"/>
        <v>2560</v>
      </c>
      <c r="Z55" s="19">
        <f t="shared" si="62"/>
        <v>5120</v>
      </c>
      <c r="AA55" s="19">
        <f t="shared" si="62"/>
        <v>10240</v>
      </c>
      <c r="AB55" s="19">
        <f t="shared" si="62"/>
        <v>20480</v>
      </c>
      <c r="AC55" s="19">
        <f t="shared" si="62"/>
        <v>40960</v>
      </c>
      <c r="AD55" s="19">
        <f t="shared" si="62"/>
        <v>81920</v>
      </c>
      <c r="AE55" s="19">
        <f t="shared" si="62"/>
        <v>163840</v>
      </c>
      <c r="AF55" s="19">
        <f t="shared" si="62"/>
        <v>327680</v>
      </c>
      <c r="AG55" s="59">
        <f t="shared" si="62"/>
        <v>655360</v>
      </c>
      <c r="AH55" s="18">
        <f t="shared" si="62"/>
        <v>1310720</v>
      </c>
      <c r="AI55" s="19">
        <f t="shared" si="62"/>
        <v>2621440</v>
      </c>
      <c r="AJ55" s="19">
        <f t="shared" si="62"/>
        <v>5242880</v>
      </c>
      <c r="AK55" s="19">
        <f t="shared" si="62"/>
        <v>10485760</v>
      </c>
      <c r="AL55" s="59">
        <f t="shared" si="62"/>
        <v>13921560</v>
      </c>
      <c r="AM55" s="45"/>
    </row>
    <row r="56" spans="1:39" x14ac:dyDescent="0.25">
      <c r="A56" s="41"/>
      <c r="B56" s="6"/>
      <c r="C56" s="10"/>
      <c r="D56" s="8"/>
      <c r="E56" s="27">
        <v>0.14799999999999999</v>
      </c>
      <c r="F56" s="15">
        <v>7.9000000000000001E-2</v>
      </c>
      <c r="G56" s="10"/>
      <c r="H56" s="10"/>
      <c r="I56" s="10"/>
      <c r="J56" s="15"/>
      <c r="K56" s="10"/>
      <c r="L56" s="29">
        <f t="shared" ref="L56:AL56" si="63">L$23*$D$55*$E$56</f>
        <v>4.6249999999999999E-2</v>
      </c>
      <c r="M56" s="30">
        <f t="shared" si="63"/>
        <v>9.2499999999999999E-2</v>
      </c>
      <c r="N56" s="30">
        <f t="shared" si="63"/>
        <v>0.185</v>
      </c>
      <c r="O56" s="30">
        <f t="shared" si="63"/>
        <v>0.37</v>
      </c>
      <c r="P56" s="30">
        <f t="shared" si="63"/>
        <v>0.74</v>
      </c>
      <c r="Q56" s="30">
        <f t="shared" si="63"/>
        <v>1.48</v>
      </c>
      <c r="R56" s="30">
        <f t="shared" si="63"/>
        <v>2.96</v>
      </c>
      <c r="S56" s="30">
        <f t="shared" si="63"/>
        <v>5.92</v>
      </c>
      <c r="T56" s="30">
        <f t="shared" si="63"/>
        <v>11.84</v>
      </c>
      <c r="U56" s="30">
        <f t="shared" si="63"/>
        <v>23.68</v>
      </c>
      <c r="V56" s="30">
        <f t="shared" si="63"/>
        <v>47.36</v>
      </c>
      <c r="W56" s="30">
        <f t="shared" si="63"/>
        <v>94.72</v>
      </c>
      <c r="X56" s="30">
        <f t="shared" si="63"/>
        <v>189.44</v>
      </c>
      <c r="Y56" s="30">
        <f t="shared" si="63"/>
        <v>378.88</v>
      </c>
      <c r="Z56" s="30">
        <f t="shared" si="63"/>
        <v>757.76</v>
      </c>
      <c r="AA56" s="30">
        <f t="shared" si="63"/>
        <v>1515.52</v>
      </c>
      <c r="AB56" s="30">
        <f t="shared" si="63"/>
        <v>3031.04</v>
      </c>
      <c r="AC56" s="30">
        <f t="shared" si="63"/>
        <v>6062.08</v>
      </c>
      <c r="AD56" s="30">
        <f t="shared" si="63"/>
        <v>12124.16</v>
      </c>
      <c r="AE56" s="30">
        <f t="shared" si="63"/>
        <v>24248.32</v>
      </c>
      <c r="AF56" s="30">
        <f t="shared" si="63"/>
        <v>48496.639999999999</v>
      </c>
      <c r="AG56" s="68">
        <f t="shared" si="63"/>
        <v>96993.279999999999</v>
      </c>
      <c r="AH56" s="29">
        <f t="shared" si="63"/>
        <v>193986.56</v>
      </c>
      <c r="AI56" s="30">
        <f t="shared" si="63"/>
        <v>387973.12</v>
      </c>
      <c r="AJ56" s="30">
        <f t="shared" si="63"/>
        <v>775946.23999999999</v>
      </c>
      <c r="AK56" s="30">
        <f t="shared" si="63"/>
        <v>1551892.48</v>
      </c>
      <c r="AL56" s="68">
        <f t="shared" si="63"/>
        <v>2060390.88</v>
      </c>
      <c r="AM56" s="45"/>
    </row>
    <row r="57" spans="1:39" x14ac:dyDescent="0.25">
      <c r="A57" s="41" t="s">
        <v>13</v>
      </c>
      <c r="B57" s="6">
        <f>'Population by Age - Wikipedia'!D18</f>
        <v>2.3488646898463382E-2</v>
      </c>
      <c r="C57" s="10">
        <f t="shared" ref="C57:C71" si="64">$B$9*B57</f>
        <v>32699860.711577188</v>
      </c>
      <c r="D57" s="23">
        <f>'Infection Rate by Age'!B5</f>
        <v>2.9000000000000001E-2</v>
      </c>
      <c r="E57" s="17"/>
      <c r="F57" s="16"/>
      <c r="G57" s="16"/>
      <c r="H57" s="16"/>
      <c r="I57" s="16"/>
      <c r="J57" s="16"/>
      <c r="K57" s="16"/>
      <c r="L57" s="20">
        <f t="shared" ref="L57:AL57" si="65">L$23*$D$57</f>
        <v>0.90625</v>
      </c>
      <c r="M57" s="21">
        <f t="shared" si="65"/>
        <v>1.8125</v>
      </c>
      <c r="N57" s="21">
        <f t="shared" si="65"/>
        <v>3.625</v>
      </c>
      <c r="O57" s="21">
        <f t="shared" si="65"/>
        <v>7.25</v>
      </c>
      <c r="P57" s="21">
        <f t="shared" si="65"/>
        <v>14.5</v>
      </c>
      <c r="Q57" s="21">
        <f t="shared" si="65"/>
        <v>29</v>
      </c>
      <c r="R57" s="21">
        <f t="shared" si="65"/>
        <v>58</v>
      </c>
      <c r="S57" s="21">
        <f t="shared" si="65"/>
        <v>116</v>
      </c>
      <c r="T57" s="21">
        <f t="shared" si="65"/>
        <v>232</v>
      </c>
      <c r="U57" s="21">
        <f t="shared" si="65"/>
        <v>464</v>
      </c>
      <c r="V57" s="21">
        <f t="shared" si="65"/>
        <v>928</v>
      </c>
      <c r="W57" s="21">
        <f t="shared" si="65"/>
        <v>1856</v>
      </c>
      <c r="X57" s="21">
        <f t="shared" si="65"/>
        <v>3712</v>
      </c>
      <c r="Y57" s="21">
        <f t="shared" si="65"/>
        <v>7424</v>
      </c>
      <c r="Z57" s="21">
        <f t="shared" si="65"/>
        <v>14848</v>
      </c>
      <c r="AA57" s="21">
        <f t="shared" si="65"/>
        <v>29696</v>
      </c>
      <c r="AB57" s="21">
        <f t="shared" si="65"/>
        <v>59392</v>
      </c>
      <c r="AC57" s="21">
        <f t="shared" si="65"/>
        <v>118784</v>
      </c>
      <c r="AD57" s="21">
        <f t="shared" si="65"/>
        <v>237568</v>
      </c>
      <c r="AE57" s="21">
        <f t="shared" si="65"/>
        <v>475136</v>
      </c>
      <c r="AF57" s="21">
        <f t="shared" si="65"/>
        <v>950272</v>
      </c>
      <c r="AG57" s="69">
        <f t="shared" si="65"/>
        <v>1900544</v>
      </c>
      <c r="AH57" s="20">
        <f t="shared" si="65"/>
        <v>3801088</v>
      </c>
      <c r="AI57" s="21">
        <f t="shared" si="65"/>
        <v>7602176</v>
      </c>
      <c r="AJ57" s="21">
        <f t="shared" si="65"/>
        <v>15204352</v>
      </c>
      <c r="AK57" s="21">
        <f t="shared" si="65"/>
        <v>30408704</v>
      </c>
      <c r="AL57" s="69">
        <f t="shared" si="65"/>
        <v>40372524</v>
      </c>
      <c r="AM57" s="45"/>
    </row>
    <row r="58" spans="1:39" x14ac:dyDescent="0.25">
      <c r="A58" s="41"/>
      <c r="B58" s="6"/>
      <c r="C58" s="10"/>
      <c r="D58" s="8"/>
      <c r="E58" s="27">
        <v>0.08</v>
      </c>
      <c r="F58" s="15">
        <v>0.13200000000000001</v>
      </c>
      <c r="G58" s="10"/>
      <c r="H58" s="10"/>
      <c r="I58" s="10"/>
      <c r="J58" s="15"/>
      <c r="K58" s="10"/>
      <c r="L58" s="29">
        <f t="shared" ref="L58:AL58" si="66">L$23*$D$57*$E$58</f>
        <v>7.2499999999999995E-2</v>
      </c>
      <c r="M58" s="30">
        <f t="shared" si="66"/>
        <v>0.14499999999999999</v>
      </c>
      <c r="N58" s="30">
        <f t="shared" si="66"/>
        <v>0.28999999999999998</v>
      </c>
      <c r="O58" s="30">
        <f t="shared" si="66"/>
        <v>0.57999999999999996</v>
      </c>
      <c r="P58" s="30">
        <f t="shared" si="66"/>
        <v>1.1599999999999999</v>
      </c>
      <c r="Q58" s="30">
        <f t="shared" si="66"/>
        <v>2.3199999999999998</v>
      </c>
      <c r="R58" s="30">
        <f t="shared" si="66"/>
        <v>4.6399999999999997</v>
      </c>
      <c r="S58" s="30">
        <f t="shared" si="66"/>
        <v>9.2799999999999994</v>
      </c>
      <c r="T58" s="30">
        <f t="shared" si="66"/>
        <v>18.559999999999999</v>
      </c>
      <c r="U58" s="30">
        <f t="shared" si="66"/>
        <v>37.119999999999997</v>
      </c>
      <c r="V58" s="30">
        <f t="shared" si="66"/>
        <v>74.239999999999995</v>
      </c>
      <c r="W58" s="30">
        <f t="shared" si="66"/>
        <v>148.47999999999999</v>
      </c>
      <c r="X58" s="30">
        <f t="shared" si="66"/>
        <v>296.95999999999998</v>
      </c>
      <c r="Y58" s="30">
        <f t="shared" si="66"/>
        <v>593.91999999999996</v>
      </c>
      <c r="Z58" s="30">
        <f t="shared" si="66"/>
        <v>1187.8399999999999</v>
      </c>
      <c r="AA58" s="30">
        <f t="shared" si="66"/>
        <v>2375.6799999999998</v>
      </c>
      <c r="AB58" s="30">
        <f t="shared" si="66"/>
        <v>4751.3599999999997</v>
      </c>
      <c r="AC58" s="30">
        <f t="shared" si="66"/>
        <v>9502.7199999999993</v>
      </c>
      <c r="AD58" s="30">
        <f t="shared" si="66"/>
        <v>19005.439999999999</v>
      </c>
      <c r="AE58" s="30">
        <f t="shared" si="66"/>
        <v>38010.879999999997</v>
      </c>
      <c r="AF58" s="30">
        <f t="shared" si="66"/>
        <v>76021.759999999995</v>
      </c>
      <c r="AG58" s="68">
        <f t="shared" si="66"/>
        <v>152043.51999999999</v>
      </c>
      <c r="AH58" s="29">
        <f t="shared" si="66"/>
        <v>304087.03999999998</v>
      </c>
      <c r="AI58" s="30">
        <f t="shared" si="66"/>
        <v>608174.07999999996</v>
      </c>
      <c r="AJ58" s="30">
        <f t="shared" si="66"/>
        <v>1216348.1599999999</v>
      </c>
      <c r="AK58" s="30">
        <f t="shared" si="66"/>
        <v>2432696.3199999998</v>
      </c>
      <c r="AL58" s="68">
        <f t="shared" si="66"/>
        <v>3229801.92</v>
      </c>
      <c r="AM58" s="45"/>
    </row>
    <row r="59" spans="1:39" x14ac:dyDescent="0.25">
      <c r="A59" s="41" t="s">
        <v>14</v>
      </c>
      <c r="B59" s="6">
        <f>'Population by Age - Wikipedia'!D16</f>
        <v>5.2953236529497287E-2</v>
      </c>
      <c r="C59" s="10">
        <f t="shared" si="64"/>
        <v>73719165.953958824</v>
      </c>
      <c r="D59" s="23">
        <f>'Infection Rate by Age'!B6</f>
        <v>0.121</v>
      </c>
      <c r="E59" s="17"/>
      <c r="F59" s="10"/>
      <c r="G59" s="10"/>
      <c r="H59" s="10"/>
      <c r="I59" s="10"/>
      <c r="J59" s="10"/>
      <c r="K59" s="10"/>
      <c r="L59" s="20">
        <f t="shared" ref="L59:AL59" si="67">L$23*$D$59</f>
        <v>3.78125</v>
      </c>
      <c r="M59" s="21">
        <f t="shared" si="67"/>
        <v>7.5625</v>
      </c>
      <c r="N59" s="21">
        <f t="shared" si="67"/>
        <v>15.125</v>
      </c>
      <c r="O59" s="21">
        <f t="shared" si="67"/>
        <v>30.25</v>
      </c>
      <c r="P59" s="21">
        <f t="shared" si="67"/>
        <v>60.5</v>
      </c>
      <c r="Q59" s="21">
        <f t="shared" si="67"/>
        <v>121</v>
      </c>
      <c r="R59" s="21">
        <f t="shared" si="67"/>
        <v>242</v>
      </c>
      <c r="S59" s="21">
        <f t="shared" si="67"/>
        <v>484</v>
      </c>
      <c r="T59" s="21">
        <f t="shared" si="67"/>
        <v>968</v>
      </c>
      <c r="U59" s="21">
        <f t="shared" si="67"/>
        <v>1936</v>
      </c>
      <c r="V59" s="21">
        <f t="shared" si="67"/>
        <v>3872</v>
      </c>
      <c r="W59" s="21">
        <f t="shared" si="67"/>
        <v>7744</v>
      </c>
      <c r="X59" s="21">
        <f t="shared" si="67"/>
        <v>15488</v>
      </c>
      <c r="Y59" s="21">
        <f t="shared" si="67"/>
        <v>30976</v>
      </c>
      <c r="Z59" s="21">
        <f t="shared" si="67"/>
        <v>61952</v>
      </c>
      <c r="AA59" s="21">
        <f t="shared" si="67"/>
        <v>123904</v>
      </c>
      <c r="AB59" s="21">
        <f t="shared" si="67"/>
        <v>247808</v>
      </c>
      <c r="AC59" s="21">
        <f t="shared" si="67"/>
        <v>495616</v>
      </c>
      <c r="AD59" s="21">
        <f t="shared" si="67"/>
        <v>991232</v>
      </c>
      <c r="AE59" s="21">
        <f t="shared" si="67"/>
        <v>1982464</v>
      </c>
      <c r="AF59" s="21">
        <f t="shared" si="67"/>
        <v>3964928</v>
      </c>
      <c r="AG59" s="69">
        <f t="shared" si="67"/>
        <v>7929856</v>
      </c>
      <c r="AH59" s="20">
        <f t="shared" si="67"/>
        <v>15859712</v>
      </c>
      <c r="AI59" s="21">
        <f t="shared" si="67"/>
        <v>31719424</v>
      </c>
      <c r="AJ59" s="21">
        <f t="shared" si="67"/>
        <v>63438848</v>
      </c>
      <c r="AK59" s="21">
        <f t="shared" si="67"/>
        <v>126877696</v>
      </c>
      <c r="AL59" s="69">
        <f t="shared" si="67"/>
        <v>168450876</v>
      </c>
      <c r="AM59" s="45"/>
    </row>
    <row r="60" spans="1:39" x14ac:dyDescent="0.25">
      <c r="A60" s="41"/>
      <c r="B60" s="6"/>
      <c r="C60" s="10"/>
      <c r="D60" s="8"/>
      <c r="E60" s="27">
        <v>3.5999999999999997E-2</v>
      </c>
      <c r="F60" s="15">
        <v>0.23699999999999999</v>
      </c>
      <c r="G60" s="10"/>
      <c r="H60" s="10"/>
      <c r="I60" s="10"/>
      <c r="J60" s="15"/>
      <c r="K60" s="10"/>
      <c r="L60" s="29">
        <f t="shared" ref="L60:AL60" si="68">L$23*$D$59*$E$60</f>
        <v>0.136125</v>
      </c>
      <c r="M60" s="30">
        <f t="shared" si="68"/>
        <v>0.27224999999999999</v>
      </c>
      <c r="N60" s="30">
        <f t="shared" si="68"/>
        <v>0.54449999999999998</v>
      </c>
      <c r="O60" s="30">
        <f t="shared" si="68"/>
        <v>1.089</v>
      </c>
      <c r="P60" s="30">
        <f t="shared" si="68"/>
        <v>2.1779999999999999</v>
      </c>
      <c r="Q60" s="30">
        <f t="shared" si="68"/>
        <v>4.3559999999999999</v>
      </c>
      <c r="R60" s="30">
        <f t="shared" si="68"/>
        <v>8.7119999999999997</v>
      </c>
      <c r="S60" s="30">
        <f t="shared" si="68"/>
        <v>17.423999999999999</v>
      </c>
      <c r="T60" s="30">
        <f t="shared" si="68"/>
        <v>34.847999999999999</v>
      </c>
      <c r="U60" s="30">
        <f t="shared" si="68"/>
        <v>69.695999999999998</v>
      </c>
      <c r="V60" s="30">
        <f t="shared" si="68"/>
        <v>139.392</v>
      </c>
      <c r="W60" s="30">
        <f t="shared" si="68"/>
        <v>278.78399999999999</v>
      </c>
      <c r="X60" s="30">
        <f t="shared" si="68"/>
        <v>557.56799999999998</v>
      </c>
      <c r="Y60" s="30">
        <f t="shared" si="68"/>
        <v>1115.136</v>
      </c>
      <c r="Z60" s="30">
        <f t="shared" si="68"/>
        <v>2230.2719999999999</v>
      </c>
      <c r="AA60" s="30">
        <f t="shared" si="68"/>
        <v>4460.5439999999999</v>
      </c>
      <c r="AB60" s="30">
        <f t="shared" si="68"/>
        <v>8921.0879999999997</v>
      </c>
      <c r="AC60" s="30">
        <f t="shared" si="68"/>
        <v>17842.175999999999</v>
      </c>
      <c r="AD60" s="30">
        <f t="shared" si="68"/>
        <v>35684.351999999999</v>
      </c>
      <c r="AE60" s="30">
        <f t="shared" si="68"/>
        <v>71368.703999999998</v>
      </c>
      <c r="AF60" s="30">
        <f t="shared" si="68"/>
        <v>142737.408</v>
      </c>
      <c r="AG60" s="68">
        <f t="shared" si="68"/>
        <v>285474.81599999999</v>
      </c>
      <c r="AH60" s="29">
        <f t="shared" si="68"/>
        <v>570949.63199999998</v>
      </c>
      <c r="AI60" s="30">
        <f t="shared" si="68"/>
        <v>1141899.264</v>
      </c>
      <c r="AJ60" s="30">
        <f t="shared" si="68"/>
        <v>2283798.5279999999</v>
      </c>
      <c r="AK60" s="30">
        <f t="shared" si="68"/>
        <v>4567597.0559999999</v>
      </c>
      <c r="AL60" s="68">
        <f t="shared" si="68"/>
        <v>6064231.5359999994</v>
      </c>
      <c r="AM60" s="45"/>
    </row>
    <row r="61" spans="1:39" x14ac:dyDescent="0.25">
      <c r="A61" s="41" t="s">
        <v>15</v>
      </c>
      <c r="B61" s="6">
        <f>'Population by Age - Wikipedia'!D14</f>
        <v>7.2853736141516481E-2</v>
      </c>
      <c r="C61" s="10">
        <f t="shared" si="64"/>
        <v>101423765.89182901</v>
      </c>
      <c r="D61" s="23">
        <f>'Infection Rate by Age'!B7</f>
        <v>0.159</v>
      </c>
      <c r="E61" s="17"/>
      <c r="F61" s="10"/>
      <c r="G61" s="10"/>
      <c r="H61" s="10"/>
      <c r="I61" s="10"/>
      <c r="J61" s="10"/>
      <c r="K61" s="10"/>
      <c r="L61" s="20">
        <f t="shared" ref="L61:AL61" si="69">L$23*$D$61</f>
        <v>4.96875</v>
      </c>
      <c r="M61" s="21">
        <f t="shared" si="69"/>
        <v>9.9375</v>
      </c>
      <c r="N61" s="21">
        <f t="shared" si="69"/>
        <v>19.875</v>
      </c>
      <c r="O61" s="21">
        <f t="shared" si="69"/>
        <v>39.75</v>
      </c>
      <c r="P61" s="21">
        <f t="shared" si="69"/>
        <v>79.5</v>
      </c>
      <c r="Q61" s="21">
        <f t="shared" si="69"/>
        <v>159</v>
      </c>
      <c r="R61" s="21">
        <f t="shared" si="69"/>
        <v>318</v>
      </c>
      <c r="S61" s="21">
        <f t="shared" si="69"/>
        <v>636</v>
      </c>
      <c r="T61" s="21">
        <f t="shared" si="69"/>
        <v>1272</v>
      </c>
      <c r="U61" s="21">
        <f t="shared" si="69"/>
        <v>2544</v>
      </c>
      <c r="V61" s="21">
        <f t="shared" si="69"/>
        <v>5088</v>
      </c>
      <c r="W61" s="21">
        <f t="shared" si="69"/>
        <v>10176</v>
      </c>
      <c r="X61" s="21">
        <f t="shared" si="69"/>
        <v>20352</v>
      </c>
      <c r="Y61" s="21">
        <f t="shared" si="69"/>
        <v>40704</v>
      </c>
      <c r="Z61" s="21">
        <f t="shared" si="69"/>
        <v>81408</v>
      </c>
      <c r="AA61" s="21">
        <f t="shared" si="69"/>
        <v>162816</v>
      </c>
      <c r="AB61" s="21">
        <f t="shared" si="69"/>
        <v>325632</v>
      </c>
      <c r="AC61" s="21">
        <f t="shared" si="69"/>
        <v>651264</v>
      </c>
      <c r="AD61" s="21">
        <f t="shared" si="69"/>
        <v>1302528</v>
      </c>
      <c r="AE61" s="21">
        <f t="shared" si="69"/>
        <v>2605056</v>
      </c>
      <c r="AF61" s="21">
        <f t="shared" si="69"/>
        <v>5210112</v>
      </c>
      <c r="AG61" s="69">
        <f t="shared" si="69"/>
        <v>10420224</v>
      </c>
      <c r="AH61" s="20">
        <f t="shared" si="69"/>
        <v>20840448</v>
      </c>
      <c r="AI61" s="21">
        <f t="shared" si="69"/>
        <v>41680896</v>
      </c>
      <c r="AJ61" s="21">
        <f t="shared" si="69"/>
        <v>83361792</v>
      </c>
      <c r="AK61" s="21">
        <f t="shared" si="69"/>
        <v>166723584</v>
      </c>
      <c r="AL61" s="69">
        <f t="shared" si="69"/>
        <v>221352804</v>
      </c>
      <c r="AM61" s="45"/>
    </row>
    <row r="62" spans="1:39" x14ac:dyDescent="0.25">
      <c r="A62" s="41"/>
      <c r="B62" s="6"/>
      <c r="C62" s="10"/>
      <c r="D62" s="8"/>
      <c r="E62" s="27">
        <v>1.2999999999999999E-2</v>
      </c>
      <c r="F62" s="15">
        <v>0.28899999999999998</v>
      </c>
      <c r="G62" s="10"/>
      <c r="H62" s="10"/>
      <c r="I62" s="10"/>
      <c r="J62" s="15"/>
      <c r="K62" s="10"/>
      <c r="L62" s="29">
        <f t="shared" ref="L62:AL62" si="70">L$23*$D$61*$E$62</f>
        <v>6.4593749999999991E-2</v>
      </c>
      <c r="M62" s="30">
        <f t="shared" si="70"/>
        <v>0.12918749999999998</v>
      </c>
      <c r="N62" s="30">
        <f t="shared" si="70"/>
        <v>0.25837499999999997</v>
      </c>
      <c r="O62" s="30">
        <f t="shared" si="70"/>
        <v>0.51674999999999993</v>
      </c>
      <c r="P62" s="30">
        <f t="shared" si="70"/>
        <v>1.0334999999999999</v>
      </c>
      <c r="Q62" s="30">
        <f t="shared" si="70"/>
        <v>2.0669999999999997</v>
      </c>
      <c r="R62" s="30">
        <f t="shared" si="70"/>
        <v>4.1339999999999995</v>
      </c>
      <c r="S62" s="30">
        <f t="shared" si="70"/>
        <v>8.2679999999999989</v>
      </c>
      <c r="T62" s="30">
        <f t="shared" si="70"/>
        <v>16.535999999999998</v>
      </c>
      <c r="U62" s="30">
        <f t="shared" si="70"/>
        <v>33.071999999999996</v>
      </c>
      <c r="V62" s="30">
        <f t="shared" si="70"/>
        <v>66.143999999999991</v>
      </c>
      <c r="W62" s="30">
        <f t="shared" si="70"/>
        <v>132.28799999999998</v>
      </c>
      <c r="X62" s="30">
        <f t="shared" si="70"/>
        <v>264.57599999999996</v>
      </c>
      <c r="Y62" s="30">
        <f t="shared" si="70"/>
        <v>529.15199999999993</v>
      </c>
      <c r="Z62" s="30">
        <f t="shared" si="70"/>
        <v>1058.3039999999999</v>
      </c>
      <c r="AA62" s="30">
        <f t="shared" si="70"/>
        <v>2116.6079999999997</v>
      </c>
      <c r="AB62" s="30">
        <f t="shared" si="70"/>
        <v>4233.2159999999994</v>
      </c>
      <c r="AC62" s="30">
        <f t="shared" si="70"/>
        <v>8466.4319999999989</v>
      </c>
      <c r="AD62" s="30">
        <f t="shared" si="70"/>
        <v>16932.863999999998</v>
      </c>
      <c r="AE62" s="30">
        <f t="shared" si="70"/>
        <v>33865.727999999996</v>
      </c>
      <c r="AF62" s="30">
        <f t="shared" si="70"/>
        <v>67731.455999999991</v>
      </c>
      <c r="AG62" s="68">
        <f t="shared" si="70"/>
        <v>135462.91199999998</v>
      </c>
      <c r="AH62" s="29">
        <f t="shared" si="70"/>
        <v>270925.82399999996</v>
      </c>
      <c r="AI62" s="30">
        <f t="shared" si="70"/>
        <v>541851.64799999993</v>
      </c>
      <c r="AJ62" s="30">
        <f t="shared" si="70"/>
        <v>1083703.2959999999</v>
      </c>
      <c r="AK62" s="30">
        <f t="shared" si="70"/>
        <v>2167406.5919999997</v>
      </c>
      <c r="AL62" s="68">
        <f t="shared" si="70"/>
        <v>2877586.452</v>
      </c>
      <c r="AM62" s="45"/>
    </row>
    <row r="63" spans="1:39" x14ac:dyDescent="0.25">
      <c r="A63" s="41" t="s">
        <v>16</v>
      </c>
      <c r="B63" s="6">
        <f>'Population by Age - Wikipedia'!D12</f>
        <v>0.11129032093824395</v>
      </c>
      <c r="C63" s="10">
        <f t="shared" si="64"/>
        <v>154933488.03610194</v>
      </c>
      <c r="D63" s="23">
        <f>'Infection Rate by Age'!B8</f>
        <v>0.17100000000000001</v>
      </c>
      <c r="E63" s="17"/>
      <c r="F63" s="10"/>
      <c r="G63" s="10"/>
      <c r="H63" s="10"/>
      <c r="I63" s="10"/>
      <c r="J63" s="10"/>
      <c r="K63" s="10"/>
      <c r="L63" s="20">
        <f t="shared" ref="L63:AL63" si="71">L$23*$D$63</f>
        <v>5.34375</v>
      </c>
      <c r="M63" s="21">
        <f t="shared" si="71"/>
        <v>10.6875</v>
      </c>
      <c r="N63" s="21">
        <f t="shared" si="71"/>
        <v>21.375</v>
      </c>
      <c r="O63" s="21">
        <f t="shared" si="71"/>
        <v>42.75</v>
      </c>
      <c r="P63" s="21">
        <f t="shared" si="71"/>
        <v>85.5</v>
      </c>
      <c r="Q63" s="21">
        <f t="shared" si="71"/>
        <v>171</v>
      </c>
      <c r="R63" s="21">
        <f t="shared" si="71"/>
        <v>342</v>
      </c>
      <c r="S63" s="21">
        <f t="shared" si="71"/>
        <v>684</v>
      </c>
      <c r="T63" s="21">
        <f t="shared" si="71"/>
        <v>1368</v>
      </c>
      <c r="U63" s="21">
        <f t="shared" si="71"/>
        <v>2736</v>
      </c>
      <c r="V63" s="21">
        <f t="shared" si="71"/>
        <v>5472</v>
      </c>
      <c r="W63" s="21">
        <f t="shared" si="71"/>
        <v>10944</v>
      </c>
      <c r="X63" s="21">
        <f t="shared" si="71"/>
        <v>21888</v>
      </c>
      <c r="Y63" s="21">
        <f t="shared" si="71"/>
        <v>43776</v>
      </c>
      <c r="Z63" s="21">
        <f t="shared" si="71"/>
        <v>87552</v>
      </c>
      <c r="AA63" s="21">
        <f t="shared" si="71"/>
        <v>175104</v>
      </c>
      <c r="AB63" s="21">
        <f t="shared" si="71"/>
        <v>350208</v>
      </c>
      <c r="AC63" s="21">
        <f t="shared" si="71"/>
        <v>700416</v>
      </c>
      <c r="AD63" s="21">
        <f t="shared" si="71"/>
        <v>1400832</v>
      </c>
      <c r="AE63" s="21">
        <f t="shared" si="71"/>
        <v>2801664</v>
      </c>
      <c r="AF63" s="21">
        <f t="shared" si="71"/>
        <v>5603328</v>
      </c>
      <c r="AG63" s="69">
        <f t="shared" si="71"/>
        <v>11206656</v>
      </c>
      <c r="AH63" s="20">
        <f t="shared" si="71"/>
        <v>22413312</v>
      </c>
      <c r="AI63" s="21">
        <f t="shared" si="71"/>
        <v>44826624</v>
      </c>
      <c r="AJ63" s="21">
        <f t="shared" si="71"/>
        <v>89653248</v>
      </c>
      <c r="AK63" s="21">
        <f t="shared" si="71"/>
        <v>179306496</v>
      </c>
      <c r="AL63" s="69">
        <f t="shared" si="71"/>
        <v>238058676.00000003</v>
      </c>
      <c r="AM63" s="45"/>
    </row>
    <row r="64" spans="1:39" x14ac:dyDescent="0.25">
      <c r="A64" s="41"/>
      <c r="B64" s="6"/>
      <c r="C64" s="10"/>
      <c r="D64" s="8"/>
      <c r="E64" s="27">
        <v>4.0000000000000001E-3</v>
      </c>
      <c r="F64" s="15">
        <v>0.21099999999999999</v>
      </c>
      <c r="G64" s="10"/>
      <c r="H64" s="10"/>
      <c r="I64" s="10"/>
      <c r="J64" s="15"/>
      <c r="K64" s="10"/>
      <c r="L64" s="29">
        <f t="shared" ref="L64:AL64" si="72">L$23*$D$63*$E$64</f>
        <v>2.1375000000000002E-2</v>
      </c>
      <c r="M64" s="30">
        <f t="shared" si="72"/>
        <v>4.2750000000000003E-2</v>
      </c>
      <c r="N64" s="30">
        <f t="shared" si="72"/>
        <v>8.5500000000000007E-2</v>
      </c>
      <c r="O64" s="30">
        <f t="shared" si="72"/>
        <v>0.17100000000000001</v>
      </c>
      <c r="P64" s="30">
        <f t="shared" si="72"/>
        <v>0.34200000000000003</v>
      </c>
      <c r="Q64" s="30">
        <f t="shared" si="72"/>
        <v>0.68400000000000005</v>
      </c>
      <c r="R64" s="30">
        <f t="shared" si="72"/>
        <v>1.3680000000000001</v>
      </c>
      <c r="S64" s="30">
        <f t="shared" si="72"/>
        <v>2.7360000000000002</v>
      </c>
      <c r="T64" s="30">
        <f t="shared" si="72"/>
        <v>5.4720000000000004</v>
      </c>
      <c r="U64" s="30">
        <f t="shared" si="72"/>
        <v>10.944000000000001</v>
      </c>
      <c r="V64" s="30">
        <f t="shared" si="72"/>
        <v>21.888000000000002</v>
      </c>
      <c r="W64" s="30">
        <f t="shared" si="72"/>
        <v>43.776000000000003</v>
      </c>
      <c r="X64" s="30">
        <f t="shared" si="72"/>
        <v>87.552000000000007</v>
      </c>
      <c r="Y64" s="30">
        <f t="shared" si="72"/>
        <v>175.10400000000001</v>
      </c>
      <c r="Z64" s="30">
        <f t="shared" si="72"/>
        <v>350.20800000000003</v>
      </c>
      <c r="AA64" s="30">
        <f t="shared" si="72"/>
        <v>700.41600000000005</v>
      </c>
      <c r="AB64" s="30">
        <f t="shared" si="72"/>
        <v>1400.8320000000001</v>
      </c>
      <c r="AC64" s="30">
        <f t="shared" si="72"/>
        <v>2801.6640000000002</v>
      </c>
      <c r="AD64" s="30">
        <f t="shared" si="72"/>
        <v>5603.3280000000004</v>
      </c>
      <c r="AE64" s="30">
        <f t="shared" si="72"/>
        <v>11206.656000000001</v>
      </c>
      <c r="AF64" s="30">
        <f t="shared" si="72"/>
        <v>22413.312000000002</v>
      </c>
      <c r="AG64" s="68">
        <f t="shared" si="72"/>
        <v>44826.624000000003</v>
      </c>
      <c r="AH64" s="29">
        <f t="shared" si="72"/>
        <v>89653.248000000007</v>
      </c>
      <c r="AI64" s="30">
        <f t="shared" si="72"/>
        <v>179306.49600000001</v>
      </c>
      <c r="AJ64" s="30">
        <f t="shared" si="72"/>
        <v>358612.99200000003</v>
      </c>
      <c r="AK64" s="30">
        <f t="shared" si="72"/>
        <v>717225.98400000005</v>
      </c>
      <c r="AL64" s="68">
        <f t="shared" si="72"/>
        <v>952234.70400000014</v>
      </c>
      <c r="AM64" s="45"/>
    </row>
    <row r="65" spans="1:39" x14ac:dyDescent="0.25">
      <c r="A65" s="41" t="s">
        <v>17</v>
      </c>
      <c r="B65" s="6">
        <f>'Population by Age - Wikipedia'!D10</f>
        <v>0.14348178625853722</v>
      </c>
      <c r="C65" s="10">
        <f t="shared" si="64"/>
        <v>199749029.63054013</v>
      </c>
      <c r="D65" s="23">
        <f>'Infection Rate by Age'!B9</f>
        <v>0.219</v>
      </c>
      <c r="E65" s="17"/>
      <c r="F65" s="10"/>
      <c r="G65" s="14"/>
      <c r="H65" s="14"/>
      <c r="I65" s="14"/>
      <c r="J65" s="10"/>
      <c r="K65" s="10"/>
      <c r="L65" s="20">
        <f t="shared" ref="L65:AL65" si="73">L$23*$D$65</f>
        <v>6.84375</v>
      </c>
      <c r="M65" s="21">
        <f t="shared" si="73"/>
        <v>13.6875</v>
      </c>
      <c r="N65" s="21">
        <f t="shared" si="73"/>
        <v>27.375</v>
      </c>
      <c r="O65" s="21">
        <f t="shared" si="73"/>
        <v>54.75</v>
      </c>
      <c r="P65" s="21">
        <f t="shared" si="73"/>
        <v>109.5</v>
      </c>
      <c r="Q65" s="21">
        <f t="shared" si="73"/>
        <v>219</v>
      </c>
      <c r="R65" s="21">
        <f t="shared" si="73"/>
        <v>438</v>
      </c>
      <c r="S65" s="21">
        <f t="shared" si="73"/>
        <v>876</v>
      </c>
      <c r="T65" s="21">
        <f t="shared" si="73"/>
        <v>1752</v>
      </c>
      <c r="U65" s="21">
        <f t="shared" si="73"/>
        <v>3504</v>
      </c>
      <c r="V65" s="21">
        <f t="shared" si="73"/>
        <v>7008</v>
      </c>
      <c r="W65" s="21">
        <f t="shared" si="73"/>
        <v>14016</v>
      </c>
      <c r="X65" s="21">
        <f t="shared" si="73"/>
        <v>28032</v>
      </c>
      <c r="Y65" s="21">
        <f t="shared" si="73"/>
        <v>56064</v>
      </c>
      <c r="Z65" s="21">
        <f t="shared" si="73"/>
        <v>112128</v>
      </c>
      <c r="AA65" s="21">
        <f t="shared" si="73"/>
        <v>224256</v>
      </c>
      <c r="AB65" s="21">
        <f t="shared" si="73"/>
        <v>448512</v>
      </c>
      <c r="AC65" s="21">
        <f t="shared" si="73"/>
        <v>897024</v>
      </c>
      <c r="AD65" s="21">
        <f t="shared" si="73"/>
        <v>1794048</v>
      </c>
      <c r="AE65" s="21">
        <f t="shared" si="73"/>
        <v>3588096</v>
      </c>
      <c r="AF65" s="21">
        <f t="shared" si="73"/>
        <v>7176192</v>
      </c>
      <c r="AG65" s="69">
        <f t="shared" si="73"/>
        <v>14352384</v>
      </c>
      <c r="AH65" s="20">
        <f t="shared" si="73"/>
        <v>28704768</v>
      </c>
      <c r="AI65" s="21">
        <f t="shared" si="73"/>
        <v>57409536</v>
      </c>
      <c r="AJ65" s="21">
        <f t="shared" si="73"/>
        <v>114819072</v>
      </c>
      <c r="AK65" s="21">
        <f t="shared" si="73"/>
        <v>229638144</v>
      </c>
      <c r="AL65" s="69">
        <f t="shared" si="73"/>
        <v>304882164</v>
      </c>
      <c r="AM65" s="45"/>
    </row>
    <row r="66" spans="1:39" x14ac:dyDescent="0.25">
      <c r="A66" s="41"/>
      <c r="B66" s="6"/>
      <c r="C66" s="10"/>
      <c r="D66" s="8"/>
      <c r="E66" s="27">
        <v>2E-3</v>
      </c>
      <c r="F66" s="15">
        <v>2.5999999999999999E-2</v>
      </c>
      <c r="G66" s="10"/>
      <c r="H66" s="10"/>
      <c r="I66" s="10"/>
      <c r="J66" s="15"/>
      <c r="K66" s="10"/>
      <c r="L66" s="29">
        <f t="shared" ref="L66:AL66" si="74">L$23*$D$65*$E$66</f>
        <v>1.36875E-2</v>
      </c>
      <c r="M66" s="30">
        <f t="shared" si="74"/>
        <v>2.7375E-2</v>
      </c>
      <c r="N66" s="30">
        <f t="shared" si="74"/>
        <v>5.475E-2</v>
      </c>
      <c r="O66" s="30">
        <f t="shared" si="74"/>
        <v>0.1095</v>
      </c>
      <c r="P66" s="30">
        <f t="shared" si="74"/>
        <v>0.219</v>
      </c>
      <c r="Q66" s="30">
        <f t="shared" si="74"/>
        <v>0.438</v>
      </c>
      <c r="R66" s="30">
        <f t="shared" si="74"/>
        <v>0.876</v>
      </c>
      <c r="S66" s="30">
        <f t="shared" si="74"/>
        <v>1.752</v>
      </c>
      <c r="T66" s="30">
        <f t="shared" si="74"/>
        <v>3.504</v>
      </c>
      <c r="U66" s="30">
        <f t="shared" si="74"/>
        <v>7.008</v>
      </c>
      <c r="V66" s="30">
        <f t="shared" si="74"/>
        <v>14.016</v>
      </c>
      <c r="W66" s="30">
        <f t="shared" si="74"/>
        <v>28.032</v>
      </c>
      <c r="X66" s="30">
        <f t="shared" si="74"/>
        <v>56.064</v>
      </c>
      <c r="Y66" s="30">
        <f t="shared" si="74"/>
        <v>112.128</v>
      </c>
      <c r="Z66" s="30">
        <f t="shared" si="74"/>
        <v>224.256</v>
      </c>
      <c r="AA66" s="30">
        <f t="shared" si="74"/>
        <v>448.512</v>
      </c>
      <c r="AB66" s="30">
        <f t="shared" si="74"/>
        <v>897.024</v>
      </c>
      <c r="AC66" s="30">
        <f t="shared" si="74"/>
        <v>1794.048</v>
      </c>
      <c r="AD66" s="30">
        <f t="shared" si="74"/>
        <v>3588.096</v>
      </c>
      <c r="AE66" s="30">
        <f t="shared" si="74"/>
        <v>7176.192</v>
      </c>
      <c r="AF66" s="30">
        <f t="shared" si="74"/>
        <v>14352.384</v>
      </c>
      <c r="AG66" s="68">
        <f t="shared" si="74"/>
        <v>28704.768</v>
      </c>
      <c r="AH66" s="29">
        <f t="shared" si="74"/>
        <v>57409.536</v>
      </c>
      <c r="AI66" s="30">
        <f t="shared" si="74"/>
        <v>114819.072</v>
      </c>
      <c r="AJ66" s="30">
        <f t="shared" si="74"/>
        <v>229638.144</v>
      </c>
      <c r="AK66" s="30">
        <f t="shared" si="74"/>
        <v>459276.288</v>
      </c>
      <c r="AL66" s="68">
        <f t="shared" si="74"/>
        <v>609764.32799999998</v>
      </c>
      <c r="AM66" s="45"/>
    </row>
    <row r="67" spans="1:39" x14ac:dyDescent="0.25">
      <c r="A67" s="41" t="s">
        <v>18</v>
      </c>
      <c r="B67" s="6">
        <f>'Population by Age - Wikipedia'!D8</f>
        <v>0.17577512670206416</v>
      </c>
      <c r="C67" s="10">
        <f t="shared" si="64"/>
        <v>244706397.28903884</v>
      </c>
      <c r="D67" s="23">
        <f>'Infection Rate by Age'!B10</f>
        <v>0.23200000000000001</v>
      </c>
      <c r="E67" s="17"/>
      <c r="F67" s="10"/>
      <c r="G67" s="10"/>
      <c r="H67" s="10"/>
      <c r="I67" s="10"/>
      <c r="J67" s="10"/>
      <c r="K67" s="10"/>
      <c r="L67" s="20">
        <f t="shared" ref="L67:AL67" si="75">L$23*$D$67</f>
        <v>7.25</v>
      </c>
      <c r="M67" s="21">
        <f t="shared" si="75"/>
        <v>14.5</v>
      </c>
      <c r="N67" s="21">
        <f t="shared" si="75"/>
        <v>29</v>
      </c>
      <c r="O67" s="21">
        <f t="shared" si="75"/>
        <v>58</v>
      </c>
      <c r="P67" s="21">
        <f t="shared" si="75"/>
        <v>116</v>
      </c>
      <c r="Q67" s="21">
        <f t="shared" si="75"/>
        <v>232</v>
      </c>
      <c r="R67" s="21">
        <f t="shared" si="75"/>
        <v>464</v>
      </c>
      <c r="S67" s="21">
        <f t="shared" si="75"/>
        <v>928</v>
      </c>
      <c r="T67" s="21">
        <f t="shared" si="75"/>
        <v>1856</v>
      </c>
      <c r="U67" s="21">
        <f t="shared" si="75"/>
        <v>3712</v>
      </c>
      <c r="V67" s="21">
        <f t="shared" si="75"/>
        <v>7424</v>
      </c>
      <c r="W67" s="21">
        <f t="shared" si="75"/>
        <v>14848</v>
      </c>
      <c r="X67" s="21">
        <f t="shared" si="75"/>
        <v>29696</v>
      </c>
      <c r="Y67" s="21">
        <f t="shared" si="75"/>
        <v>59392</v>
      </c>
      <c r="Z67" s="21">
        <f t="shared" si="75"/>
        <v>118784</v>
      </c>
      <c r="AA67" s="21">
        <f t="shared" si="75"/>
        <v>237568</v>
      </c>
      <c r="AB67" s="21">
        <f t="shared" si="75"/>
        <v>475136</v>
      </c>
      <c r="AC67" s="21">
        <f t="shared" si="75"/>
        <v>950272</v>
      </c>
      <c r="AD67" s="21">
        <f t="shared" si="75"/>
        <v>1900544</v>
      </c>
      <c r="AE67" s="21">
        <f t="shared" si="75"/>
        <v>3801088</v>
      </c>
      <c r="AF67" s="21">
        <f t="shared" si="75"/>
        <v>7602176</v>
      </c>
      <c r="AG67" s="69">
        <f t="shared" si="75"/>
        <v>15204352</v>
      </c>
      <c r="AH67" s="20">
        <f t="shared" si="75"/>
        <v>30408704</v>
      </c>
      <c r="AI67" s="21">
        <f t="shared" si="75"/>
        <v>60817408</v>
      </c>
      <c r="AJ67" s="21">
        <f t="shared" si="75"/>
        <v>121634816</v>
      </c>
      <c r="AK67" s="21">
        <f t="shared" si="75"/>
        <v>243269632</v>
      </c>
      <c r="AL67" s="69">
        <f t="shared" si="75"/>
        <v>322980192</v>
      </c>
      <c r="AM67" s="45"/>
    </row>
    <row r="68" spans="1:39" x14ac:dyDescent="0.25">
      <c r="A68" s="41"/>
      <c r="B68" s="6"/>
      <c r="C68" s="10"/>
      <c r="D68" s="8"/>
      <c r="E68" s="27">
        <v>2E-3</v>
      </c>
      <c r="F68" s="15">
        <v>2.5999999999999999E-2</v>
      </c>
      <c r="G68" s="10"/>
      <c r="H68" s="10"/>
      <c r="I68" s="10"/>
      <c r="J68" s="15"/>
      <c r="K68" s="10"/>
      <c r="L68" s="29">
        <f t="shared" ref="L68:AL68" si="76">L$23*$D$67*$E$68</f>
        <v>1.4500000000000001E-2</v>
      </c>
      <c r="M68" s="30">
        <f t="shared" si="76"/>
        <v>2.9000000000000001E-2</v>
      </c>
      <c r="N68" s="30">
        <f t="shared" si="76"/>
        <v>5.8000000000000003E-2</v>
      </c>
      <c r="O68" s="30">
        <f t="shared" si="76"/>
        <v>0.11600000000000001</v>
      </c>
      <c r="P68" s="30">
        <f t="shared" si="76"/>
        <v>0.23200000000000001</v>
      </c>
      <c r="Q68" s="30">
        <f t="shared" si="76"/>
        <v>0.46400000000000002</v>
      </c>
      <c r="R68" s="30">
        <f t="shared" si="76"/>
        <v>0.92800000000000005</v>
      </c>
      <c r="S68" s="30">
        <f t="shared" si="76"/>
        <v>1.8560000000000001</v>
      </c>
      <c r="T68" s="30">
        <f t="shared" si="76"/>
        <v>3.7120000000000002</v>
      </c>
      <c r="U68" s="30">
        <f t="shared" si="76"/>
        <v>7.4240000000000004</v>
      </c>
      <c r="V68" s="30">
        <f t="shared" si="76"/>
        <v>14.848000000000001</v>
      </c>
      <c r="W68" s="30">
        <f t="shared" si="76"/>
        <v>29.696000000000002</v>
      </c>
      <c r="X68" s="30">
        <f t="shared" si="76"/>
        <v>59.392000000000003</v>
      </c>
      <c r="Y68" s="30">
        <f t="shared" si="76"/>
        <v>118.78400000000001</v>
      </c>
      <c r="Z68" s="30">
        <f t="shared" si="76"/>
        <v>237.56800000000001</v>
      </c>
      <c r="AA68" s="30">
        <f t="shared" si="76"/>
        <v>475.13600000000002</v>
      </c>
      <c r="AB68" s="30">
        <f t="shared" si="76"/>
        <v>950.27200000000005</v>
      </c>
      <c r="AC68" s="30">
        <f t="shared" si="76"/>
        <v>1900.5440000000001</v>
      </c>
      <c r="AD68" s="30">
        <f t="shared" si="76"/>
        <v>3801.0880000000002</v>
      </c>
      <c r="AE68" s="30">
        <f t="shared" si="76"/>
        <v>7602.1760000000004</v>
      </c>
      <c r="AF68" s="30">
        <f t="shared" si="76"/>
        <v>15204.352000000001</v>
      </c>
      <c r="AG68" s="68">
        <f t="shared" si="76"/>
        <v>30408.704000000002</v>
      </c>
      <c r="AH68" s="29">
        <f t="shared" si="76"/>
        <v>60817.408000000003</v>
      </c>
      <c r="AI68" s="30">
        <f t="shared" si="76"/>
        <v>121634.81600000001</v>
      </c>
      <c r="AJ68" s="30">
        <f t="shared" si="76"/>
        <v>243269.63200000001</v>
      </c>
      <c r="AK68" s="30">
        <f t="shared" si="76"/>
        <v>486539.26400000002</v>
      </c>
      <c r="AL68" s="68">
        <f t="shared" si="76"/>
        <v>645960.38399999996</v>
      </c>
      <c r="AM68" s="45"/>
    </row>
    <row r="69" spans="1:39" x14ac:dyDescent="0.25">
      <c r="A69" s="42" t="s">
        <v>19</v>
      </c>
      <c r="B69" s="6">
        <f>'Population by Age - Wikipedia'!D6</f>
        <v>0.20913789496692137</v>
      </c>
      <c r="C69" s="10">
        <f t="shared" si="64"/>
        <v>291152575.30556941</v>
      </c>
      <c r="D69" s="23">
        <f>'Infection Rate by Age'!B11</f>
        <v>3.7999999999999999E-2</v>
      </c>
      <c r="E69" s="17"/>
      <c r="F69" s="10"/>
      <c r="G69" s="10"/>
      <c r="H69" s="10"/>
      <c r="I69" s="10"/>
      <c r="J69" s="10"/>
      <c r="K69" s="10"/>
      <c r="L69" s="20">
        <f t="shared" ref="L69:AL69" si="77">L$23*$D$69</f>
        <v>1.1875</v>
      </c>
      <c r="M69" s="21">
        <f t="shared" si="77"/>
        <v>2.375</v>
      </c>
      <c r="N69" s="21">
        <f t="shared" si="77"/>
        <v>4.75</v>
      </c>
      <c r="O69" s="21">
        <f t="shared" si="77"/>
        <v>9.5</v>
      </c>
      <c r="P69" s="21">
        <f t="shared" si="77"/>
        <v>19</v>
      </c>
      <c r="Q69" s="21">
        <f t="shared" si="77"/>
        <v>38</v>
      </c>
      <c r="R69" s="21">
        <f t="shared" si="77"/>
        <v>76</v>
      </c>
      <c r="S69" s="21">
        <f t="shared" si="77"/>
        <v>152</v>
      </c>
      <c r="T69" s="21">
        <f t="shared" si="77"/>
        <v>304</v>
      </c>
      <c r="U69" s="21">
        <f t="shared" si="77"/>
        <v>608</v>
      </c>
      <c r="V69" s="21">
        <f t="shared" si="77"/>
        <v>1216</v>
      </c>
      <c r="W69" s="21">
        <f t="shared" si="77"/>
        <v>2432</v>
      </c>
      <c r="X69" s="21">
        <f t="shared" si="77"/>
        <v>4864</v>
      </c>
      <c r="Y69" s="21">
        <f t="shared" si="77"/>
        <v>9728</v>
      </c>
      <c r="Z69" s="21">
        <f t="shared" si="77"/>
        <v>19456</v>
      </c>
      <c r="AA69" s="21">
        <f t="shared" si="77"/>
        <v>38912</v>
      </c>
      <c r="AB69" s="21">
        <f t="shared" si="77"/>
        <v>77824</v>
      </c>
      <c r="AC69" s="21">
        <f t="shared" si="77"/>
        <v>155648</v>
      </c>
      <c r="AD69" s="21">
        <f t="shared" si="77"/>
        <v>311296</v>
      </c>
      <c r="AE69" s="21">
        <f t="shared" si="77"/>
        <v>622592</v>
      </c>
      <c r="AF69" s="21">
        <f t="shared" si="77"/>
        <v>1245184</v>
      </c>
      <c r="AG69" s="69">
        <f t="shared" si="77"/>
        <v>2490368</v>
      </c>
      <c r="AH69" s="20">
        <f t="shared" si="77"/>
        <v>4980736</v>
      </c>
      <c r="AI69" s="21">
        <f t="shared" si="77"/>
        <v>9961472</v>
      </c>
      <c r="AJ69" s="21">
        <f t="shared" si="77"/>
        <v>19922944</v>
      </c>
      <c r="AK69" s="21">
        <f t="shared" si="77"/>
        <v>39845888</v>
      </c>
      <c r="AL69" s="69">
        <f t="shared" si="77"/>
        <v>52901928</v>
      </c>
      <c r="AM69" s="45"/>
    </row>
    <row r="70" spans="1:39" x14ac:dyDescent="0.25">
      <c r="A70" s="42"/>
      <c r="B70" s="6"/>
      <c r="C70" s="10"/>
      <c r="D70" s="8"/>
      <c r="E70" s="27">
        <v>2E-3</v>
      </c>
      <c r="F70" s="15"/>
      <c r="G70" s="10"/>
      <c r="H70" s="10"/>
      <c r="I70" s="10"/>
      <c r="J70" s="15"/>
      <c r="K70" s="10"/>
      <c r="L70" s="29">
        <f t="shared" ref="L70:AL70" si="78">L$23*$D$69*$E$70</f>
        <v>2.3749999999999999E-3</v>
      </c>
      <c r="M70" s="30">
        <f t="shared" si="78"/>
        <v>4.7499999999999999E-3</v>
      </c>
      <c r="N70" s="30">
        <f t="shared" si="78"/>
        <v>9.4999999999999998E-3</v>
      </c>
      <c r="O70" s="30">
        <f t="shared" si="78"/>
        <v>1.9E-2</v>
      </c>
      <c r="P70" s="30">
        <f t="shared" si="78"/>
        <v>3.7999999999999999E-2</v>
      </c>
      <c r="Q70" s="30">
        <f t="shared" si="78"/>
        <v>7.5999999999999998E-2</v>
      </c>
      <c r="R70" s="30">
        <f t="shared" si="78"/>
        <v>0.152</v>
      </c>
      <c r="S70" s="30">
        <f t="shared" si="78"/>
        <v>0.30399999999999999</v>
      </c>
      <c r="T70" s="30">
        <f t="shared" si="78"/>
        <v>0.60799999999999998</v>
      </c>
      <c r="U70" s="30">
        <f t="shared" si="78"/>
        <v>1.216</v>
      </c>
      <c r="V70" s="30">
        <f t="shared" si="78"/>
        <v>2.4319999999999999</v>
      </c>
      <c r="W70" s="30">
        <f t="shared" si="78"/>
        <v>4.8639999999999999</v>
      </c>
      <c r="X70" s="30">
        <f t="shared" si="78"/>
        <v>9.7279999999999998</v>
      </c>
      <c r="Y70" s="30">
        <f t="shared" si="78"/>
        <v>19.456</v>
      </c>
      <c r="Z70" s="30">
        <f t="shared" si="78"/>
        <v>38.911999999999999</v>
      </c>
      <c r="AA70" s="30">
        <f t="shared" si="78"/>
        <v>77.823999999999998</v>
      </c>
      <c r="AB70" s="30">
        <f t="shared" si="78"/>
        <v>155.648</v>
      </c>
      <c r="AC70" s="30">
        <f t="shared" si="78"/>
        <v>311.29599999999999</v>
      </c>
      <c r="AD70" s="30">
        <f t="shared" si="78"/>
        <v>622.59199999999998</v>
      </c>
      <c r="AE70" s="30">
        <f t="shared" si="78"/>
        <v>1245.184</v>
      </c>
      <c r="AF70" s="30">
        <f t="shared" si="78"/>
        <v>2490.3679999999999</v>
      </c>
      <c r="AG70" s="68">
        <f t="shared" si="78"/>
        <v>4980.7359999999999</v>
      </c>
      <c r="AH70" s="29">
        <f t="shared" si="78"/>
        <v>9961.4719999999998</v>
      </c>
      <c r="AI70" s="30">
        <f t="shared" si="78"/>
        <v>19922.944</v>
      </c>
      <c r="AJ70" s="30">
        <f t="shared" si="78"/>
        <v>39845.887999999999</v>
      </c>
      <c r="AK70" s="30">
        <f t="shared" si="78"/>
        <v>79691.775999999998</v>
      </c>
      <c r="AL70" s="68">
        <f t="shared" si="78"/>
        <v>105803.856</v>
      </c>
      <c r="AM70" s="45"/>
    </row>
    <row r="71" spans="1:39" x14ac:dyDescent="0.25">
      <c r="A71" s="42" t="s">
        <v>20</v>
      </c>
      <c r="B71" s="6">
        <f>'Population by Age - Wikipedia'!D4</f>
        <v>0.19798812289970874</v>
      </c>
      <c r="C71" s="10">
        <f t="shared" si="64"/>
        <v>275630353.22356695</v>
      </c>
      <c r="D71" s="23">
        <f>'Infection Rate by Age'!B12</f>
        <v>2.1000000000000001E-2</v>
      </c>
      <c r="E71" s="17"/>
      <c r="F71" s="10"/>
      <c r="G71" s="10"/>
      <c r="H71" s="10"/>
      <c r="I71" s="10"/>
      <c r="J71" s="10"/>
      <c r="K71" s="10"/>
      <c r="L71" s="20">
        <f t="shared" ref="L71:AL71" si="79">L$23*$D$71</f>
        <v>0.65625</v>
      </c>
      <c r="M71" s="21">
        <f t="shared" si="79"/>
        <v>1.3125</v>
      </c>
      <c r="N71" s="21">
        <f t="shared" si="79"/>
        <v>2.625</v>
      </c>
      <c r="O71" s="21">
        <f t="shared" si="79"/>
        <v>5.25</v>
      </c>
      <c r="P71" s="21">
        <f t="shared" si="79"/>
        <v>10.5</v>
      </c>
      <c r="Q71" s="21">
        <f t="shared" si="79"/>
        <v>21</v>
      </c>
      <c r="R71" s="21">
        <f t="shared" si="79"/>
        <v>42</v>
      </c>
      <c r="S71" s="21">
        <f t="shared" si="79"/>
        <v>84</v>
      </c>
      <c r="T71" s="21">
        <f t="shared" si="79"/>
        <v>168</v>
      </c>
      <c r="U71" s="21">
        <f t="shared" si="79"/>
        <v>336</v>
      </c>
      <c r="V71" s="21">
        <f t="shared" si="79"/>
        <v>672</v>
      </c>
      <c r="W71" s="21">
        <f t="shared" si="79"/>
        <v>1344</v>
      </c>
      <c r="X71" s="21">
        <f t="shared" si="79"/>
        <v>2688</v>
      </c>
      <c r="Y71" s="21">
        <f t="shared" si="79"/>
        <v>5376</v>
      </c>
      <c r="Z71" s="21">
        <f t="shared" si="79"/>
        <v>10752</v>
      </c>
      <c r="AA71" s="21">
        <f t="shared" si="79"/>
        <v>21504</v>
      </c>
      <c r="AB71" s="21">
        <f t="shared" si="79"/>
        <v>43008</v>
      </c>
      <c r="AC71" s="21">
        <f t="shared" si="79"/>
        <v>86016</v>
      </c>
      <c r="AD71" s="21">
        <f t="shared" si="79"/>
        <v>172032</v>
      </c>
      <c r="AE71" s="21">
        <f t="shared" si="79"/>
        <v>344064</v>
      </c>
      <c r="AF71" s="21">
        <f t="shared" si="79"/>
        <v>688128</v>
      </c>
      <c r="AG71" s="69">
        <f t="shared" si="79"/>
        <v>1376256</v>
      </c>
      <c r="AH71" s="20">
        <f t="shared" si="79"/>
        <v>2752512</v>
      </c>
      <c r="AI71" s="21">
        <f t="shared" si="79"/>
        <v>5505024</v>
      </c>
      <c r="AJ71" s="21">
        <f t="shared" si="79"/>
        <v>11010048</v>
      </c>
      <c r="AK71" s="21">
        <f t="shared" si="79"/>
        <v>22020096</v>
      </c>
      <c r="AL71" s="69">
        <f t="shared" si="79"/>
        <v>29235276</v>
      </c>
      <c r="AM71" s="45"/>
    </row>
    <row r="72" spans="1:39" x14ac:dyDescent="0.25">
      <c r="A72" s="42"/>
      <c r="B72" s="7"/>
      <c r="C72" s="11"/>
      <c r="D72" s="26"/>
      <c r="E72" s="28">
        <v>0</v>
      </c>
      <c r="F72" s="15"/>
      <c r="G72" s="10"/>
      <c r="H72" s="10"/>
      <c r="I72" s="10"/>
      <c r="J72" s="10"/>
      <c r="K72" s="10"/>
      <c r="L72" s="31">
        <f t="shared" ref="L72:AL72" si="80">L$23*$D$71*$E$72</f>
        <v>0</v>
      </c>
      <c r="M72" s="32">
        <f t="shared" si="80"/>
        <v>0</v>
      </c>
      <c r="N72" s="32">
        <f t="shared" si="80"/>
        <v>0</v>
      </c>
      <c r="O72" s="32">
        <f t="shared" si="80"/>
        <v>0</v>
      </c>
      <c r="P72" s="32">
        <f t="shared" si="80"/>
        <v>0</v>
      </c>
      <c r="Q72" s="32">
        <f t="shared" si="80"/>
        <v>0</v>
      </c>
      <c r="R72" s="32">
        <f t="shared" si="80"/>
        <v>0</v>
      </c>
      <c r="S72" s="32">
        <f t="shared" si="80"/>
        <v>0</v>
      </c>
      <c r="T72" s="32">
        <f t="shared" si="80"/>
        <v>0</v>
      </c>
      <c r="U72" s="32">
        <f t="shared" si="80"/>
        <v>0</v>
      </c>
      <c r="V72" s="32">
        <f t="shared" si="80"/>
        <v>0</v>
      </c>
      <c r="W72" s="32">
        <f t="shared" si="80"/>
        <v>0</v>
      </c>
      <c r="X72" s="32">
        <f t="shared" si="80"/>
        <v>0</v>
      </c>
      <c r="Y72" s="32">
        <f t="shared" si="80"/>
        <v>0</v>
      </c>
      <c r="Z72" s="32">
        <f t="shared" si="80"/>
        <v>0</v>
      </c>
      <c r="AA72" s="32">
        <f t="shared" si="80"/>
        <v>0</v>
      </c>
      <c r="AB72" s="32">
        <f t="shared" si="80"/>
        <v>0</v>
      </c>
      <c r="AC72" s="32">
        <f t="shared" si="80"/>
        <v>0</v>
      </c>
      <c r="AD72" s="32">
        <f t="shared" si="80"/>
        <v>0</v>
      </c>
      <c r="AE72" s="32">
        <f t="shared" si="80"/>
        <v>0</v>
      </c>
      <c r="AF72" s="32">
        <f t="shared" si="80"/>
        <v>0</v>
      </c>
      <c r="AG72" s="70">
        <f t="shared" si="80"/>
        <v>0</v>
      </c>
      <c r="AH72" s="29">
        <f t="shared" si="80"/>
        <v>0</v>
      </c>
      <c r="AI72" s="30">
        <f t="shared" si="80"/>
        <v>0</v>
      </c>
      <c r="AJ72" s="30">
        <f t="shared" si="80"/>
        <v>0</v>
      </c>
      <c r="AK72" s="30">
        <f t="shared" si="80"/>
        <v>0</v>
      </c>
      <c r="AL72" s="68">
        <f t="shared" si="80"/>
        <v>0</v>
      </c>
      <c r="AM72" s="45"/>
    </row>
    <row r="73" spans="1:39" x14ac:dyDescent="0.25">
      <c r="A73" s="41" t="s">
        <v>39</v>
      </c>
      <c r="B73" s="14"/>
      <c r="C73" s="10"/>
      <c r="D73" s="10"/>
      <c r="E73" s="15"/>
      <c r="F73" s="10"/>
      <c r="G73" s="10"/>
      <c r="H73" s="10"/>
      <c r="I73" s="10"/>
      <c r="J73" s="10"/>
      <c r="K73" s="10"/>
      <c r="L73" s="18">
        <f t="shared" ref="L73:AB73" si="81">SUM(L55,L57,L59,L61,L63,L65,L67,L69,L71)</f>
        <v>31.25</v>
      </c>
      <c r="M73" s="19">
        <f t="shared" si="81"/>
        <v>62.5</v>
      </c>
      <c r="N73" s="19">
        <f t="shared" si="81"/>
        <v>125</v>
      </c>
      <c r="O73" s="19">
        <f t="shared" si="81"/>
        <v>250</v>
      </c>
      <c r="P73" s="19">
        <f t="shared" si="81"/>
        <v>500</v>
      </c>
      <c r="Q73" s="19">
        <f>SUM(Q55,Q57,Q59,Q61,Q63,Q65,Q67,Q69,Q71)</f>
        <v>1000</v>
      </c>
      <c r="R73" s="19">
        <f t="shared" si="81"/>
        <v>2000</v>
      </c>
      <c r="S73" s="19">
        <f t="shared" si="81"/>
        <v>4000</v>
      </c>
      <c r="T73" s="19">
        <f t="shared" si="81"/>
        <v>8000</v>
      </c>
      <c r="U73" s="19">
        <f t="shared" si="81"/>
        <v>16000</v>
      </c>
      <c r="V73" s="19">
        <f t="shared" si="81"/>
        <v>32000</v>
      </c>
      <c r="W73" s="19">
        <f t="shared" si="81"/>
        <v>64000</v>
      </c>
      <c r="X73" s="19">
        <f t="shared" si="81"/>
        <v>128000</v>
      </c>
      <c r="Y73" s="19">
        <f t="shared" si="81"/>
        <v>256000</v>
      </c>
      <c r="Z73" s="19">
        <f t="shared" si="81"/>
        <v>512000</v>
      </c>
      <c r="AA73" s="19">
        <f t="shared" si="81"/>
        <v>1024000</v>
      </c>
      <c r="AB73" s="19">
        <f t="shared" si="81"/>
        <v>2048000</v>
      </c>
      <c r="AC73" s="19">
        <f t="shared" ref="AC73:AE74" si="82">SUM(AC55,AC57,AC59,AC61,AC63,AC65,AC67,AC69,AC71)</f>
        <v>4096000</v>
      </c>
      <c r="AD73" s="19">
        <f t="shared" si="82"/>
        <v>8192000</v>
      </c>
      <c r="AE73" s="19">
        <f t="shared" si="82"/>
        <v>16384000</v>
      </c>
      <c r="AF73" s="19">
        <f t="shared" ref="AF73:AL73" si="83">SUM(AF55,AF57,AF59,AF61,AF63,AF65,AF67,AF69,AF71)</f>
        <v>32768000</v>
      </c>
      <c r="AG73" s="19">
        <f t="shared" si="83"/>
        <v>65536000</v>
      </c>
      <c r="AH73" s="18">
        <f t="shared" si="83"/>
        <v>131072000</v>
      </c>
      <c r="AI73" s="19">
        <f t="shared" si="83"/>
        <v>262144000</v>
      </c>
      <c r="AJ73" s="19">
        <f t="shared" ref="AJ73" si="84">SUM(AJ55,AJ57,AJ59,AJ61,AJ63,AJ65,AJ67,AJ69,AJ71)</f>
        <v>524288000</v>
      </c>
      <c r="AK73" s="19">
        <f t="shared" si="83"/>
        <v>1048576000</v>
      </c>
      <c r="AL73" s="59">
        <f t="shared" si="83"/>
        <v>1392156000</v>
      </c>
      <c r="AM73" s="45"/>
    </row>
    <row r="74" spans="1:39" x14ac:dyDescent="0.25">
      <c r="A74" s="43" t="s">
        <v>38</v>
      </c>
      <c r="B74" s="44"/>
      <c r="C74" s="11"/>
      <c r="D74" s="11"/>
      <c r="E74" s="38"/>
      <c r="F74" s="11"/>
      <c r="G74" s="11"/>
      <c r="H74" s="11"/>
      <c r="I74" s="11"/>
      <c r="J74" s="11"/>
      <c r="K74" s="11"/>
      <c r="L74" s="31">
        <f>SUM(L56,L58,L60,L62,L64,L66,L68,L70,L72)</f>
        <v>0.37140624999999999</v>
      </c>
      <c r="M74" s="32">
        <f>SUM(M56,M58,M60,M62,M64,M66,M68,M70,M72)</f>
        <v>0.74281249999999999</v>
      </c>
      <c r="N74" s="32">
        <f t="shared" ref="N74:AB74" si="85">SUM(N56,N58,N60,N62,N64,N66,N68,N70,N72)</f>
        <v>1.485625</v>
      </c>
      <c r="O74" s="32">
        <f t="shared" si="85"/>
        <v>2.9712499999999999</v>
      </c>
      <c r="P74" s="32">
        <f t="shared" si="85"/>
        <v>5.9424999999999999</v>
      </c>
      <c r="Q74" s="32">
        <f t="shared" si="85"/>
        <v>11.885</v>
      </c>
      <c r="R74" s="32">
        <f t="shared" si="85"/>
        <v>23.77</v>
      </c>
      <c r="S74" s="32">
        <f t="shared" si="85"/>
        <v>47.54</v>
      </c>
      <c r="T74" s="32">
        <f t="shared" si="85"/>
        <v>95.08</v>
      </c>
      <c r="U74" s="32">
        <f t="shared" si="85"/>
        <v>190.16</v>
      </c>
      <c r="V74" s="32">
        <f t="shared" si="85"/>
        <v>380.32</v>
      </c>
      <c r="W74" s="32">
        <f t="shared" si="85"/>
        <v>760.64</v>
      </c>
      <c r="X74" s="32">
        <f t="shared" si="85"/>
        <v>1521.28</v>
      </c>
      <c r="Y74" s="32">
        <f t="shared" si="85"/>
        <v>3042.56</v>
      </c>
      <c r="Z74" s="32">
        <f t="shared" si="85"/>
        <v>6085.12</v>
      </c>
      <c r="AA74" s="32">
        <f t="shared" si="85"/>
        <v>12170.24</v>
      </c>
      <c r="AB74" s="32">
        <f t="shared" si="85"/>
        <v>24340.48</v>
      </c>
      <c r="AC74" s="32">
        <f t="shared" si="82"/>
        <v>48680.959999999999</v>
      </c>
      <c r="AD74" s="32">
        <f t="shared" si="82"/>
        <v>97361.919999999998</v>
      </c>
      <c r="AE74" s="32">
        <f t="shared" si="82"/>
        <v>194723.84</v>
      </c>
      <c r="AF74" s="32">
        <f t="shared" ref="AF74:AL74" si="86">SUM(AF56,AF58,AF60,AF62,AF64,AF66,AF68,AF70,AF72)</f>
        <v>389447.67999999999</v>
      </c>
      <c r="AG74" s="32">
        <f t="shared" si="86"/>
        <v>778895.35999999999</v>
      </c>
      <c r="AH74" s="31">
        <f t="shared" si="86"/>
        <v>1557790.72</v>
      </c>
      <c r="AI74" s="32">
        <f t="shared" si="86"/>
        <v>3115581.4399999999</v>
      </c>
      <c r="AJ74" s="32">
        <f t="shared" ref="AJ74" si="87">SUM(AJ56,AJ58,AJ60,AJ62,AJ64,AJ66,AJ68,AJ70,AJ72)</f>
        <v>6231162.8799999999</v>
      </c>
      <c r="AK74" s="32">
        <f t="shared" si="86"/>
        <v>12462325.76</v>
      </c>
      <c r="AL74" s="70">
        <f t="shared" si="86"/>
        <v>16545774.059999999</v>
      </c>
      <c r="AM74" s="45"/>
    </row>
    <row r="75" spans="1:39" x14ac:dyDescent="0.25">
      <c r="A75" s="42"/>
      <c r="B75" s="14"/>
      <c r="C75" s="10"/>
      <c r="D75" s="10"/>
      <c r="E75" s="15"/>
      <c r="F75" s="10"/>
      <c r="G75" s="10"/>
      <c r="H75" s="10"/>
      <c r="I75" s="10"/>
      <c r="J75" s="10"/>
      <c r="K75" s="10"/>
      <c r="L75" s="45"/>
      <c r="M75" s="45"/>
      <c r="N75" s="45"/>
      <c r="O75" s="45"/>
      <c r="P75" s="45"/>
      <c r="Q75" s="45"/>
      <c r="R75" s="45"/>
      <c r="S75" s="45"/>
      <c r="T75" s="45"/>
      <c r="U75" s="45"/>
      <c r="V75" s="45"/>
      <c r="W75" s="45"/>
      <c r="X75" s="45"/>
      <c r="Y75" s="45"/>
      <c r="Z75" s="45"/>
      <c r="AA75" s="45"/>
      <c r="AB75" s="45"/>
      <c r="AC75" s="45"/>
    </row>
    <row r="76" spans="1:39" x14ac:dyDescent="0.25">
      <c r="A76" s="53" t="s">
        <v>49</v>
      </c>
      <c r="B76" s="14"/>
      <c r="C76" s="10"/>
      <c r="D76" s="10"/>
      <c r="E76" s="15"/>
      <c r="F76" s="10"/>
      <c r="G76" s="10"/>
      <c r="H76" s="10"/>
      <c r="I76" s="10"/>
      <c r="J76" s="10"/>
      <c r="K76" s="10"/>
      <c r="L76" s="45"/>
      <c r="M76" s="45"/>
      <c r="N76" s="45"/>
      <c r="O76" s="45"/>
      <c r="P76" s="45"/>
      <c r="Q76" s="45"/>
      <c r="R76" s="45"/>
      <c r="S76" s="45"/>
      <c r="T76" s="45"/>
      <c r="U76" s="45"/>
      <c r="V76" s="45"/>
      <c r="W76" s="45"/>
      <c r="X76" s="45"/>
      <c r="Y76" s="45"/>
      <c r="Z76" s="45"/>
      <c r="AA76" s="45"/>
      <c r="AB76" s="45"/>
      <c r="AC76" s="45"/>
    </row>
    <row r="77" spans="1:39" x14ac:dyDescent="0.25">
      <c r="A77" s="4"/>
      <c r="B77" s="9" t="s">
        <v>5</v>
      </c>
      <c r="C77" s="9" t="s">
        <v>3</v>
      </c>
      <c r="D77" s="9"/>
      <c r="E77" s="58" t="s">
        <v>2</v>
      </c>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5"/>
      <c r="AM77" s="47"/>
    </row>
    <row r="78" spans="1:39" x14ac:dyDescent="0.25">
      <c r="A78" s="48" t="s">
        <v>1</v>
      </c>
      <c r="B78" s="24">
        <v>3.9E-2</v>
      </c>
      <c r="C78" s="10">
        <f>$B$9 * B78</f>
        <v>54294084</v>
      </c>
      <c r="D78" s="16"/>
      <c r="E78" s="16"/>
      <c r="F78" s="16"/>
      <c r="G78" s="16"/>
      <c r="H78" s="16"/>
      <c r="I78" s="16"/>
      <c r="J78" s="16"/>
      <c r="K78" s="16"/>
      <c r="L78" s="18">
        <f t="shared" ref="L78:AL78" si="88">L$23*$B$78</f>
        <v>1.21875</v>
      </c>
      <c r="M78" s="19">
        <f t="shared" si="88"/>
        <v>2.4375</v>
      </c>
      <c r="N78" s="19">
        <f t="shared" si="88"/>
        <v>4.875</v>
      </c>
      <c r="O78" s="19">
        <f t="shared" si="88"/>
        <v>9.75</v>
      </c>
      <c r="P78" s="19">
        <f t="shared" si="88"/>
        <v>19.5</v>
      </c>
      <c r="Q78" s="19">
        <f t="shared" si="88"/>
        <v>39</v>
      </c>
      <c r="R78" s="19">
        <f t="shared" si="88"/>
        <v>78</v>
      </c>
      <c r="S78" s="19">
        <f t="shared" si="88"/>
        <v>156</v>
      </c>
      <c r="T78" s="19">
        <f t="shared" si="88"/>
        <v>312</v>
      </c>
      <c r="U78" s="19">
        <f t="shared" si="88"/>
        <v>624</v>
      </c>
      <c r="V78" s="19">
        <f t="shared" si="88"/>
        <v>1248</v>
      </c>
      <c r="W78" s="19">
        <f t="shared" si="88"/>
        <v>2496</v>
      </c>
      <c r="X78" s="19">
        <f t="shared" si="88"/>
        <v>4992</v>
      </c>
      <c r="Y78" s="19">
        <f t="shared" si="88"/>
        <v>9984</v>
      </c>
      <c r="Z78" s="19">
        <f t="shared" si="88"/>
        <v>19968</v>
      </c>
      <c r="AA78" s="19">
        <f t="shared" si="88"/>
        <v>39936</v>
      </c>
      <c r="AB78" s="19">
        <f t="shared" si="88"/>
        <v>79872</v>
      </c>
      <c r="AC78" s="19">
        <f t="shared" si="88"/>
        <v>159744</v>
      </c>
      <c r="AD78" s="19">
        <f t="shared" si="88"/>
        <v>319488</v>
      </c>
      <c r="AE78" s="19">
        <f t="shared" si="88"/>
        <v>638976</v>
      </c>
      <c r="AF78" s="19">
        <f t="shared" si="88"/>
        <v>1277952</v>
      </c>
      <c r="AG78" s="19">
        <f t="shared" si="88"/>
        <v>2555904</v>
      </c>
      <c r="AH78" s="18">
        <f t="shared" si="88"/>
        <v>5111808</v>
      </c>
      <c r="AI78" s="19">
        <f t="shared" si="88"/>
        <v>10223616</v>
      </c>
      <c r="AJ78" s="19">
        <f t="shared" si="88"/>
        <v>20447232</v>
      </c>
      <c r="AK78" s="19">
        <f t="shared" si="88"/>
        <v>40894464</v>
      </c>
      <c r="AL78" s="59">
        <f t="shared" si="88"/>
        <v>54294084</v>
      </c>
      <c r="AM78" s="45"/>
    </row>
    <row r="79" spans="1:39" x14ac:dyDescent="0.25">
      <c r="A79" s="48"/>
      <c r="B79" s="16"/>
      <c r="C79" s="16"/>
      <c r="D79" s="25"/>
      <c r="E79" s="46">
        <v>0.105</v>
      </c>
      <c r="F79" s="16"/>
      <c r="G79" s="16"/>
      <c r="H79" s="16"/>
      <c r="I79" s="16"/>
      <c r="J79" s="16"/>
      <c r="K79" s="16"/>
      <c r="L79" s="29">
        <f>L78*$E$79</f>
        <v>0.12796874999999999</v>
      </c>
      <c r="M79" s="30">
        <f t="shared" ref="M79:AB79" si="89">M78*$E$79</f>
        <v>0.25593749999999998</v>
      </c>
      <c r="N79" s="30">
        <f t="shared" si="89"/>
        <v>0.51187499999999997</v>
      </c>
      <c r="O79" s="30">
        <f t="shared" si="89"/>
        <v>1.0237499999999999</v>
      </c>
      <c r="P79" s="30">
        <f t="shared" si="89"/>
        <v>2.0474999999999999</v>
      </c>
      <c r="Q79" s="30">
        <f t="shared" si="89"/>
        <v>4.0949999999999998</v>
      </c>
      <c r="R79" s="30">
        <f t="shared" si="89"/>
        <v>8.19</v>
      </c>
      <c r="S79" s="30">
        <f t="shared" si="89"/>
        <v>16.38</v>
      </c>
      <c r="T79" s="30">
        <f t="shared" si="89"/>
        <v>32.76</v>
      </c>
      <c r="U79" s="30">
        <f t="shared" si="89"/>
        <v>65.52</v>
      </c>
      <c r="V79" s="30">
        <f t="shared" si="89"/>
        <v>131.04</v>
      </c>
      <c r="W79" s="30">
        <f t="shared" si="89"/>
        <v>262.08</v>
      </c>
      <c r="X79" s="30">
        <f t="shared" si="89"/>
        <v>524.16</v>
      </c>
      <c r="Y79" s="30">
        <f t="shared" si="89"/>
        <v>1048.32</v>
      </c>
      <c r="Z79" s="30">
        <f t="shared" si="89"/>
        <v>2096.64</v>
      </c>
      <c r="AA79" s="30">
        <f t="shared" si="89"/>
        <v>4193.28</v>
      </c>
      <c r="AB79" s="30">
        <f t="shared" si="89"/>
        <v>8386.56</v>
      </c>
      <c r="AC79" s="30">
        <f>AC78*$E$79</f>
        <v>16773.12</v>
      </c>
      <c r="AD79" s="30">
        <f>AD78*$E$79</f>
        <v>33546.239999999998</v>
      </c>
      <c r="AE79" s="30">
        <f>AE78*$E$79</f>
        <v>67092.479999999996</v>
      </c>
      <c r="AF79" s="30">
        <f t="shared" ref="AF79:AL79" si="90">AF78*$E$79</f>
        <v>134184.95999999999</v>
      </c>
      <c r="AG79" s="30">
        <f t="shared" si="90"/>
        <v>268369.91999999998</v>
      </c>
      <c r="AH79" s="29">
        <f t="shared" si="90"/>
        <v>536739.83999999997</v>
      </c>
      <c r="AI79" s="30">
        <f t="shared" si="90"/>
        <v>1073479.6799999999</v>
      </c>
      <c r="AJ79" s="30">
        <f t="shared" ref="AJ79" si="91">AJ78*$E$79</f>
        <v>2146959.3599999999</v>
      </c>
      <c r="AK79" s="30">
        <f t="shared" si="90"/>
        <v>4293918.7199999997</v>
      </c>
      <c r="AL79" s="68">
        <f t="shared" si="90"/>
        <v>5700878.8199999994</v>
      </c>
      <c r="AM79" s="45"/>
    </row>
    <row r="80" spans="1:39" x14ac:dyDescent="0.25">
      <c r="A80" s="48" t="s">
        <v>4</v>
      </c>
      <c r="B80" s="24">
        <v>8.8999999999999996E-2</v>
      </c>
      <c r="C80" s="10">
        <f>$B$9 * B80</f>
        <v>123901884</v>
      </c>
      <c r="D80" s="47"/>
      <c r="E80" s="16"/>
      <c r="F80" s="16"/>
      <c r="G80" s="16"/>
      <c r="H80" s="16"/>
      <c r="I80" s="16"/>
      <c r="J80" s="16"/>
      <c r="K80" s="16"/>
      <c r="L80" s="20">
        <f t="shared" ref="L80:AL80" si="92">L$23*$B$80</f>
        <v>2.78125</v>
      </c>
      <c r="M80" s="21">
        <f t="shared" si="92"/>
        <v>5.5625</v>
      </c>
      <c r="N80" s="21">
        <f t="shared" si="92"/>
        <v>11.125</v>
      </c>
      <c r="O80" s="21">
        <f t="shared" si="92"/>
        <v>22.25</v>
      </c>
      <c r="P80" s="21">
        <f t="shared" si="92"/>
        <v>44.5</v>
      </c>
      <c r="Q80" s="21">
        <f t="shared" si="92"/>
        <v>89</v>
      </c>
      <c r="R80" s="21">
        <f t="shared" si="92"/>
        <v>178</v>
      </c>
      <c r="S80" s="21">
        <f t="shared" si="92"/>
        <v>356</v>
      </c>
      <c r="T80" s="21">
        <f t="shared" si="92"/>
        <v>712</v>
      </c>
      <c r="U80" s="21">
        <f t="shared" si="92"/>
        <v>1424</v>
      </c>
      <c r="V80" s="21">
        <f t="shared" si="92"/>
        <v>2848</v>
      </c>
      <c r="W80" s="21">
        <f t="shared" si="92"/>
        <v>5696</v>
      </c>
      <c r="X80" s="21">
        <f t="shared" si="92"/>
        <v>11392</v>
      </c>
      <c r="Y80" s="21">
        <f t="shared" si="92"/>
        <v>22784</v>
      </c>
      <c r="Z80" s="21">
        <f t="shared" si="92"/>
        <v>45568</v>
      </c>
      <c r="AA80" s="21">
        <f t="shared" si="92"/>
        <v>91136</v>
      </c>
      <c r="AB80" s="21">
        <f t="shared" si="92"/>
        <v>182272</v>
      </c>
      <c r="AC80" s="21">
        <f t="shared" si="92"/>
        <v>364544</v>
      </c>
      <c r="AD80" s="21">
        <f t="shared" si="92"/>
        <v>729088</v>
      </c>
      <c r="AE80" s="21">
        <f t="shared" si="92"/>
        <v>1458176</v>
      </c>
      <c r="AF80" s="21">
        <f t="shared" si="92"/>
        <v>2916352</v>
      </c>
      <c r="AG80" s="21">
        <f t="shared" si="92"/>
        <v>5832704</v>
      </c>
      <c r="AH80" s="20">
        <f t="shared" si="92"/>
        <v>11665408</v>
      </c>
      <c r="AI80" s="21">
        <f t="shared" si="92"/>
        <v>23330816</v>
      </c>
      <c r="AJ80" s="21">
        <f t="shared" si="92"/>
        <v>46661632</v>
      </c>
      <c r="AK80" s="21">
        <f t="shared" si="92"/>
        <v>93323264</v>
      </c>
      <c r="AL80" s="69">
        <f t="shared" si="92"/>
        <v>123901884</v>
      </c>
      <c r="AM80" s="45"/>
    </row>
    <row r="81" spans="1:39" x14ac:dyDescent="0.25">
      <c r="A81" s="48"/>
      <c r="B81" s="16"/>
      <c r="C81" s="16"/>
      <c r="D81" s="25"/>
      <c r="E81" s="46">
        <v>7.2999999999999995E-2</v>
      </c>
      <c r="F81" s="16"/>
      <c r="G81" s="16"/>
      <c r="H81" s="16"/>
      <c r="I81" s="16"/>
      <c r="J81" s="16"/>
      <c r="K81" s="16"/>
      <c r="L81" s="29">
        <f t="shared" ref="L81:AB81" si="93">L80*$E$81</f>
        <v>0.20303125</v>
      </c>
      <c r="M81" s="30">
        <f t="shared" si="93"/>
        <v>0.40606249999999999</v>
      </c>
      <c r="N81" s="30">
        <f t="shared" si="93"/>
        <v>0.81212499999999999</v>
      </c>
      <c r="O81" s="30">
        <f t="shared" si="93"/>
        <v>1.62425</v>
      </c>
      <c r="P81" s="30">
        <f t="shared" si="93"/>
        <v>3.2484999999999999</v>
      </c>
      <c r="Q81" s="30">
        <f t="shared" si="93"/>
        <v>6.4969999999999999</v>
      </c>
      <c r="R81" s="30">
        <f t="shared" si="93"/>
        <v>12.994</v>
      </c>
      <c r="S81" s="30">
        <f t="shared" si="93"/>
        <v>25.988</v>
      </c>
      <c r="T81" s="30">
        <f t="shared" si="93"/>
        <v>51.975999999999999</v>
      </c>
      <c r="U81" s="30">
        <f t="shared" si="93"/>
        <v>103.952</v>
      </c>
      <c r="V81" s="30">
        <f t="shared" si="93"/>
        <v>207.904</v>
      </c>
      <c r="W81" s="30">
        <f t="shared" si="93"/>
        <v>415.80799999999999</v>
      </c>
      <c r="X81" s="30">
        <f t="shared" si="93"/>
        <v>831.61599999999999</v>
      </c>
      <c r="Y81" s="30">
        <f t="shared" si="93"/>
        <v>1663.232</v>
      </c>
      <c r="Z81" s="30">
        <f t="shared" si="93"/>
        <v>3326.4639999999999</v>
      </c>
      <c r="AA81" s="30">
        <f t="shared" si="93"/>
        <v>6652.9279999999999</v>
      </c>
      <c r="AB81" s="30">
        <f t="shared" si="93"/>
        <v>13305.856</v>
      </c>
      <c r="AC81" s="30">
        <f>AC80*$E$81</f>
        <v>26611.712</v>
      </c>
      <c r="AD81" s="30">
        <f>AD80*$E$81</f>
        <v>53223.423999999999</v>
      </c>
      <c r="AE81" s="30">
        <f>AE80*$E$81</f>
        <v>106446.848</v>
      </c>
      <c r="AF81" s="30">
        <f t="shared" ref="AF81:AL81" si="94">AF80*$E$81</f>
        <v>212893.696</v>
      </c>
      <c r="AG81" s="30">
        <f t="shared" si="94"/>
        <v>425787.39199999999</v>
      </c>
      <c r="AH81" s="29">
        <f t="shared" si="94"/>
        <v>851574.78399999999</v>
      </c>
      <c r="AI81" s="30">
        <f t="shared" si="94"/>
        <v>1703149.568</v>
      </c>
      <c r="AJ81" s="30">
        <f t="shared" ref="AJ81" si="95">AJ80*$E$81</f>
        <v>3406299.1359999999</v>
      </c>
      <c r="AK81" s="30">
        <f t="shared" si="94"/>
        <v>6812598.2719999999</v>
      </c>
      <c r="AL81" s="68">
        <f t="shared" si="94"/>
        <v>9044837.5319999997</v>
      </c>
      <c r="AM81" s="45"/>
    </row>
    <row r="82" spans="1:39" x14ac:dyDescent="0.25">
      <c r="A82" s="48" t="s">
        <v>6</v>
      </c>
      <c r="B82" s="24">
        <v>0.2</v>
      </c>
      <c r="C82" s="10">
        <f>$B$9 * B82</f>
        <v>278431200</v>
      </c>
      <c r="D82" s="47"/>
      <c r="E82" s="16"/>
      <c r="F82" s="16"/>
      <c r="G82" s="16"/>
      <c r="H82" s="16"/>
      <c r="I82" s="16"/>
      <c r="J82" s="16"/>
      <c r="K82" s="16"/>
      <c r="L82" s="20">
        <f t="shared" ref="L82:AL82" si="96">L$23*$B$82</f>
        <v>6.25</v>
      </c>
      <c r="M82" s="21">
        <f t="shared" si="96"/>
        <v>12.5</v>
      </c>
      <c r="N82" s="21">
        <f t="shared" si="96"/>
        <v>25</v>
      </c>
      <c r="O82" s="21">
        <f t="shared" si="96"/>
        <v>50</v>
      </c>
      <c r="P82" s="21">
        <f t="shared" si="96"/>
        <v>100</v>
      </c>
      <c r="Q82" s="21">
        <f t="shared" si="96"/>
        <v>200</v>
      </c>
      <c r="R82" s="21">
        <f t="shared" si="96"/>
        <v>400</v>
      </c>
      <c r="S82" s="21">
        <f t="shared" si="96"/>
        <v>800</v>
      </c>
      <c r="T82" s="21">
        <f t="shared" si="96"/>
        <v>1600</v>
      </c>
      <c r="U82" s="21">
        <f t="shared" si="96"/>
        <v>3200</v>
      </c>
      <c r="V82" s="21">
        <f t="shared" si="96"/>
        <v>6400</v>
      </c>
      <c r="W82" s="21">
        <f t="shared" si="96"/>
        <v>12800</v>
      </c>
      <c r="X82" s="21">
        <f t="shared" si="96"/>
        <v>25600</v>
      </c>
      <c r="Y82" s="21">
        <f t="shared" si="96"/>
        <v>51200</v>
      </c>
      <c r="Z82" s="21">
        <f t="shared" si="96"/>
        <v>102400</v>
      </c>
      <c r="AA82" s="21">
        <f t="shared" si="96"/>
        <v>204800</v>
      </c>
      <c r="AB82" s="21">
        <f t="shared" si="96"/>
        <v>409600</v>
      </c>
      <c r="AC82" s="21">
        <f t="shared" si="96"/>
        <v>819200</v>
      </c>
      <c r="AD82" s="21">
        <f t="shared" si="96"/>
        <v>1638400</v>
      </c>
      <c r="AE82" s="21">
        <f t="shared" si="96"/>
        <v>3276800</v>
      </c>
      <c r="AF82" s="21">
        <f t="shared" si="96"/>
        <v>6553600</v>
      </c>
      <c r="AG82" s="21">
        <f t="shared" si="96"/>
        <v>13107200</v>
      </c>
      <c r="AH82" s="20">
        <f t="shared" si="96"/>
        <v>26214400</v>
      </c>
      <c r="AI82" s="21">
        <f t="shared" si="96"/>
        <v>52428800</v>
      </c>
      <c r="AJ82" s="21">
        <f t="shared" si="96"/>
        <v>104857600</v>
      </c>
      <c r="AK82" s="21">
        <f t="shared" si="96"/>
        <v>209715200</v>
      </c>
      <c r="AL82" s="69">
        <f t="shared" si="96"/>
        <v>278431200</v>
      </c>
      <c r="AM82" s="45"/>
    </row>
    <row r="83" spans="1:39" x14ac:dyDescent="0.25">
      <c r="A83" s="48"/>
      <c r="B83" s="16"/>
      <c r="C83" s="16"/>
      <c r="D83" s="25"/>
      <c r="E83" s="46">
        <v>6.3E-2</v>
      </c>
      <c r="F83" s="16"/>
      <c r="G83" s="16"/>
      <c r="H83" s="16"/>
      <c r="I83" s="16"/>
      <c r="J83" s="16"/>
      <c r="K83" s="16"/>
      <c r="L83" s="29">
        <f t="shared" ref="L83:AB83" si="97">L82*$E$83</f>
        <v>0.39374999999999999</v>
      </c>
      <c r="M83" s="30">
        <f t="shared" si="97"/>
        <v>0.78749999999999998</v>
      </c>
      <c r="N83" s="30">
        <f t="shared" si="97"/>
        <v>1.575</v>
      </c>
      <c r="O83" s="30">
        <f t="shared" si="97"/>
        <v>3.15</v>
      </c>
      <c r="P83" s="30">
        <f t="shared" si="97"/>
        <v>6.3</v>
      </c>
      <c r="Q83" s="30">
        <f t="shared" si="97"/>
        <v>12.6</v>
      </c>
      <c r="R83" s="30">
        <f t="shared" si="97"/>
        <v>25.2</v>
      </c>
      <c r="S83" s="30">
        <f t="shared" si="97"/>
        <v>50.4</v>
      </c>
      <c r="T83" s="30">
        <f t="shared" si="97"/>
        <v>100.8</v>
      </c>
      <c r="U83" s="30">
        <f t="shared" si="97"/>
        <v>201.6</v>
      </c>
      <c r="V83" s="30">
        <f t="shared" si="97"/>
        <v>403.2</v>
      </c>
      <c r="W83" s="30">
        <f t="shared" si="97"/>
        <v>806.4</v>
      </c>
      <c r="X83" s="30">
        <f t="shared" si="97"/>
        <v>1612.8</v>
      </c>
      <c r="Y83" s="30">
        <f t="shared" si="97"/>
        <v>3225.6</v>
      </c>
      <c r="Z83" s="30">
        <f t="shared" si="97"/>
        <v>6451.2</v>
      </c>
      <c r="AA83" s="30">
        <f t="shared" si="97"/>
        <v>12902.4</v>
      </c>
      <c r="AB83" s="30">
        <f t="shared" si="97"/>
        <v>25804.799999999999</v>
      </c>
      <c r="AC83" s="30">
        <f>AC82*$E$83</f>
        <v>51609.599999999999</v>
      </c>
      <c r="AD83" s="30">
        <f>AD82*$E$83</f>
        <v>103219.2</v>
      </c>
      <c r="AE83" s="30">
        <f>AE82*$E$83</f>
        <v>206438.39999999999</v>
      </c>
      <c r="AF83" s="30">
        <f t="shared" ref="AF83:AL83" si="98">AF82*$E$83</f>
        <v>412876.79999999999</v>
      </c>
      <c r="AG83" s="30">
        <f t="shared" si="98"/>
        <v>825753.59999999998</v>
      </c>
      <c r="AH83" s="29">
        <f>AH82*$E$83</f>
        <v>1651507.2</v>
      </c>
      <c r="AI83" s="30">
        <f t="shared" si="98"/>
        <v>3303014.3999999999</v>
      </c>
      <c r="AJ83" s="30">
        <f t="shared" ref="AJ83" si="99">AJ82*$E$83</f>
        <v>6606028.7999999998</v>
      </c>
      <c r="AK83" s="30">
        <f t="shared" si="98"/>
        <v>13212057.6</v>
      </c>
      <c r="AL83" s="68">
        <f t="shared" si="98"/>
        <v>17541165.600000001</v>
      </c>
      <c r="AM83" s="45"/>
    </row>
    <row r="84" spans="1:39" x14ac:dyDescent="0.25">
      <c r="A84" s="48" t="s">
        <v>7</v>
      </c>
      <c r="B84" s="24">
        <v>0.29799999999999999</v>
      </c>
      <c r="C84" s="10">
        <f>$B$9 * B84</f>
        <v>414862488</v>
      </c>
      <c r="D84" s="47"/>
      <c r="E84" s="16"/>
      <c r="F84" s="16"/>
      <c r="G84" s="16"/>
      <c r="H84" s="16"/>
      <c r="I84" s="16"/>
      <c r="J84" s="16"/>
      <c r="K84" s="16"/>
      <c r="L84" s="20">
        <f t="shared" ref="L84:AL84" si="100">L$23*$B$84</f>
        <v>9.3125</v>
      </c>
      <c r="M84" s="21">
        <f t="shared" si="100"/>
        <v>18.625</v>
      </c>
      <c r="N84" s="21">
        <f t="shared" si="100"/>
        <v>37.25</v>
      </c>
      <c r="O84" s="21">
        <f t="shared" si="100"/>
        <v>74.5</v>
      </c>
      <c r="P84" s="21">
        <f t="shared" si="100"/>
        <v>149</v>
      </c>
      <c r="Q84" s="21">
        <f t="shared" si="100"/>
        <v>298</v>
      </c>
      <c r="R84" s="21">
        <f t="shared" si="100"/>
        <v>596</v>
      </c>
      <c r="S84" s="21">
        <f t="shared" si="100"/>
        <v>1192</v>
      </c>
      <c r="T84" s="21">
        <f t="shared" si="100"/>
        <v>2384</v>
      </c>
      <c r="U84" s="21">
        <f t="shared" si="100"/>
        <v>4768</v>
      </c>
      <c r="V84" s="21">
        <f t="shared" si="100"/>
        <v>9536</v>
      </c>
      <c r="W84" s="21">
        <f t="shared" si="100"/>
        <v>19072</v>
      </c>
      <c r="X84" s="21">
        <f t="shared" si="100"/>
        <v>38144</v>
      </c>
      <c r="Y84" s="21">
        <f t="shared" si="100"/>
        <v>76288</v>
      </c>
      <c r="Z84" s="21">
        <f t="shared" si="100"/>
        <v>152576</v>
      </c>
      <c r="AA84" s="21">
        <f t="shared" si="100"/>
        <v>305152</v>
      </c>
      <c r="AB84" s="21">
        <f t="shared" si="100"/>
        <v>610304</v>
      </c>
      <c r="AC84" s="21">
        <f t="shared" si="100"/>
        <v>1220608</v>
      </c>
      <c r="AD84" s="21">
        <f t="shared" si="100"/>
        <v>2441216</v>
      </c>
      <c r="AE84" s="21">
        <f t="shared" si="100"/>
        <v>4882432</v>
      </c>
      <c r="AF84" s="21">
        <f t="shared" si="100"/>
        <v>9764864</v>
      </c>
      <c r="AG84" s="21">
        <f t="shared" si="100"/>
        <v>19529728</v>
      </c>
      <c r="AH84" s="20">
        <f t="shared" si="100"/>
        <v>39059456</v>
      </c>
      <c r="AI84" s="21">
        <f t="shared" si="100"/>
        <v>78118912</v>
      </c>
      <c r="AJ84" s="21">
        <f t="shared" si="100"/>
        <v>156237824</v>
      </c>
      <c r="AK84" s="21">
        <f t="shared" si="100"/>
        <v>312475648</v>
      </c>
      <c r="AL84" s="69">
        <f t="shared" si="100"/>
        <v>414862488</v>
      </c>
      <c r="AM84" s="45"/>
    </row>
    <row r="85" spans="1:39" x14ac:dyDescent="0.25">
      <c r="A85" s="48"/>
      <c r="B85" s="16"/>
      <c r="C85" s="16"/>
      <c r="D85" s="25"/>
      <c r="E85" s="46">
        <v>0.06</v>
      </c>
      <c r="F85" s="16"/>
      <c r="G85" s="16"/>
      <c r="H85" s="16"/>
      <c r="I85" s="16"/>
      <c r="J85" s="16"/>
      <c r="K85" s="16"/>
      <c r="L85" s="29">
        <f t="shared" ref="L85:AB85" si="101">L84*$E$85</f>
        <v>0.55874999999999997</v>
      </c>
      <c r="M85" s="30">
        <f t="shared" si="101"/>
        <v>1.1174999999999999</v>
      </c>
      <c r="N85" s="30">
        <f t="shared" si="101"/>
        <v>2.2349999999999999</v>
      </c>
      <c r="O85" s="30">
        <f t="shared" si="101"/>
        <v>4.47</v>
      </c>
      <c r="P85" s="30">
        <f t="shared" si="101"/>
        <v>8.94</v>
      </c>
      <c r="Q85" s="30">
        <f t="shared" si="101"/>
        <v>17.88</v>
      </c>
      <c r="R85" s="30">
        <f t="shared" si="101"/>
        <v>35.76</v>
      </c>
      <c r="S85" s="30">
        <f t="shared" si="101"/>
        <v>71.52</v>
      </c>
      <c r="T85" s="30">
        <f t="shared" si="101"/>
        <v>143.04</v>
      </c>
      <c r="U85" s="30">
        <f t="shared" si="101"/>
        <v>286.08</v>
      </c>
      <c r="V85" s="30">
        <f t="shared" si="101"/>
        <v>572.16</v>
      </c>
      <c r="W85" s="30">
        <f t="shared" si="101"/>
        <v>1144.32</v>
      </c>
      <c r="X85" s="30">
        <f t="shared" si="101"/>
        <v>2288.64</v>
      </c>
      <c r="Y85" s="30">
        <f t="shared" si="101"/>
        <v>4577.28</v>
      </c>
      <c r="Z85" s="30">
        <f t="shared" si="101"/>
        <v>9154.56</v>
      </c>
      <c r="AA85" s="30">
        <f t="shared" si="101"/>
        <v>18309.12</v>
      </c>
      <c r="AB85" s="30">
        <f t="shared" si="101"/>
        <v>36618.239999999998</v>
      </c>
      <c r="AC85" s="30">
        <f>AC84*$E$85</f>
        <v>73236.479999999996</v>
      </c>
      <c r="AD85" s="30">
        <f>AD84*$E$85</f>
        <v>146472.95999999999</v>
      </c>
      <c r="AE85" s="30">
        <f>AE84*$E$85</f>
        <v>292945.91999999998</v>
      </c>
      <c r="AF85" s="30">
        <f t="shared" ref="AF85:AL85" si="102">AF84*$E$85</f>
        <v>585891.83999999997</v>
      </c>
      <c r="AG85" s="30">
        <f t="shared" si="102"/>
        <v>1171783.6799999999</v>
      </c>
      <c r="AH85" s="29">
        <f t="shared" si="102"/>
        <v>2343567.3599999999</v>
      </c>
      <c r="AI85" s="30">
        <f t="shared" si="102"/>
        <v>4687134.7199999997</v>
      </c>
      <c r="AJ85" s="30">
        <f t="shared" ref="AJ85" si="103">AJ84*$E$85</f>
        <v>9374269.4399999995</v>
      </c>
      <c r="AK85" s="30">
        <f t="shared" si="102"/>
        <v>18748538.879999999</v>
      </c>
      <c r="AL85" s="68">
        <f t="shared" si="102"/>
        <v>24891749.279999997</v>
      </c>
      <c r="AM85" s="45"/>
    </row>
    <row r="86" spans="1:39" x14ac:dyDescent="0.25">
      <c r="A86" s="48" t="s">
        <v>8</v>
      </c>
      <c r="B86" s="24">
        <v>9.5E-4</v>
      </c>
      <c r="C86" s="10">
        <f>$B$9 * B86</f>
        <v>1322548.2</v>
      </c>
      <c r="D86" s="47"/>
      <c r="E86" s="16"/>
      <c r="F86" s="16"/>
      <c r="G86" s="16"/>
      <c r="H86" s="16"/>
      <c r="I86" s="16"/>
      <c r="J86" s="16"/>
      <c r="K86" s="16"/>
      <c r="L86" s="20">
        <f t="shared" ref="L86:AL86" si="104">L$23*$B$86</f>
        <v>2.9687499999999999E-2</v>
      </c>
      <c r="M86" s="21">
        <f t="shared" si="104"/>
        <v>5.9374999999999997E-2</v>
      </c>
      <c r="N86" s="21">
        <f t="shared" si="104"/>
        <v>0.11874999999999999</v>
      </c>
      <c r="O86" s="21">
        <f t="shared" si="104"/>
        <v>0.23749999999999999</v>
      </c>
      <c r="P86" s="21">
        <f t="shared" si="104"/>
        <v>0.47499999999999998</v>
      </c>
      <c r="Q86" s="21">
        <f t="shared" si="104"/>
        <v>0.95</v>
      </c>
      <c r="R86" s="21">
        <f t="shared" si="104"/>
        <v>1.9</v>
      </c>
      <c r="S86" s="21">
        <f t="shared" si="104"/>
        <v>3.8</v>
      </c>
      <c r="T86" s="21">
        <f t="shared" si="104"/>
        <v>7.6</v>
      </c>
      <c r="U86" s="21">
        <f t="shared" si="104"/>
        <v>15.2</v>
      </c>
      <c r="V86" s="21">
        <f t="shared" si="104"/>
        <v>30.4</v>
      </c>
      <c r="W86" s="21">
        <f t="shared" si="104"/>
        <v>60.8</v>
      </c>
      <c r="X86" s="21">
        <f t="shared" si="104"/>
        <v>121.6</v>
      </c>
      <c r="Y86" s="21">
        <f t="shared" si="104"/>
        <v>243.2</v>
      </c>
      <c r="Z86" s="21">
        <f t="shared" si="104"/>
        <v>486.4</v>
      </c>
      <c r="AA86" s="21">
        <f t="shared" si="104"/>
        <v>972.8</v>
      </c>
      <c r="AB86" s="21">
        <f t="shared" si="104"/>
        <v>1945.6</v>
      </c>
      <c r="AC86" s="21">
        <f t="shared" si="104"/>
        <v>3891.2</v>
      </c>
      <c r="AD86" s="21">
        <f t="shared" si="104"/>
        <v>7782.4</v>
      </c>
      <c r="AE86" s="21">
        <f t="shared" si="104"/>
        <v>15564.8</v>
      </c>
      <c r="AF86" s="21">
        <f t="shared" si="104"/>
        <v>31129.599999999999</v>
      </c>
      <c r="AG86" s="21">
        <f t="shared" si="104"/>
        <v>62259.199999999997</v>
      </c>
      <c r="AH86" s="20">
        <f t="shared" si="104"/>
        <v>124518.39999999999</v>
      </c>
      <c r="AI86" s="21">
        <f t="shared" si="104"/>
        <v>249036.79999999999</v>
      </c>
      <c r="AJ86" s="21">
        <f t="shared" si="104"/>
        <v>498073.59999999998</v>
      </c>
      <c r="AK86" s="21">
        <f t="shared" si="104"/>
        <v>996147.19999999995</v>
      </c>
      <c r="AL86" s="69">
        <f t="shared" si="104"/>
        <v>1322548.2</v>
      </c>
      <c r="AM86" s="45"/>
    </row>
    <row r="87" spans="1:39" x14ac:dyDescent="0.25">
      <c r="A87" s="48"/>
      <c r="B87" s="16"/>
      <c r="C87" s="16"/>
      <c r="D87" s="25"/>
      <c r="E87" s="46">
        <v>5.6000000000000001E-2</v>
      </c>
      <c r="F87" s="16"/>
      <c r="G87" s="16"/>
      <c r="H87" s="16"/>
      <c r="I87" s="16"/>
      <c r="J87" s="16"/>
      <c r="K87" s="16"/>
      <c r="L87" s="29">
        <f t="shared" ref="L87:AB87" si="105">L86*$E$87</f>
        <v>1.6624999999999999E-3</v>
      </c>
      <c r="M87" s="30">
        <f t="shared" si="105"/>
        <v>3.3249999999999998E-3</v>
      </c>
      <c r="N87" s="30">
        <f t="shared" si="105"/>
        <v>6.6499999999999997E-3</v>
      </c>
      <c r="O87" s="30">
        <f t="shared" si="105"/>
        <v>1.3299999999999999E-2</v>
      </c>
      <c r="P87" s="30">
        <f t="shared" si="105"/>
        <v>2.6599999999999999E-2</v>
      </c>
      <c r="Q87" s="30">
        <f t="shared" si="105"/>
        <v>5.3199999999999997E-2</v>
      </c>
      <c r="R87" s="30">
        <f t="shared" si="105"/>
        <v>0.10639999999999999</v>
      </c>
      <c r="S87" s="30">
        <f t="shared" si="105"/>
        <v>0.21279999999999999</v>
      </c>
      <c r="T87" s="30">
        <f t="shared" si="105"/>
        <v>0.42559999999999998</v>
      </c>
      <c r="U87" s="30">
        <f t="shared" si="105"/>
        <v>0.85119999999999996</v>
      </c>
      <c r="V87" s="30">
        <f t="shared" si="105"/>
        <v>1.7023999999999999</v>
      </c>
      <c r="W87" s="30">
        <f t="shared" si="105"/>
        <v>3.4047999999999998</v>
      </c>
      <c r="X87" s="30">
        <f t="shared" si="105"/>
        <v>6.8095999999999997</v>
      </c>
      <c r="Y87" s="30">
        <f t="shared" si="105"/>
        <v>13.619199999999999</v>
      </c>
      <c r="Z87" s="30">
        <f t="shared" si="105"/>
        <v>27.238399999999999</v>
      </c>
      <c r="AA87" s="30">
        <f t="shared" si="105"/>
        <v>54.476799999999997</v>
      </c>
      <c r="AB87" s="30">
        <f t="shared" si="105"/>
        <v>108.95359999999999</v>
      </c>
      <c r="AC87" s="30">
        <f>AC86*$E$87</f>
        <v>217.90719999999999</v>
      </c>
      <c r="AD87" s="30">
        <f>AD86*$E$87</f>
        <v>435.81439999999998</v>
      </c>
      <c r="AE87" s="30">
        <f>AE86*$E$87</f>
        <v>871.62879999999996</v>
      </c>
      <c r="AF87" s="30">
        <f t="shared" ref="AF87:AL87" si="106">AF86*$E$87</f>
        <v>1743.2575999999999</v>
      </c>
      <c r="AG87" s="30">
        <f t="shared" si="106"/>
        <v>3486.5151999999998</v>
      </c>
      <c r="AH87" s="29">
        <f t="shared" si="106"/>
        <v>6973.0303999999996</v>
      </c>
      <c r="AI87" s="30">
        <f t="shared" si="106"/>
        <v>13946.060799999999</v>
      </c>
      <c r="AJ87" s="30">
        <f t="shared" ref="AJ87" si="107">AJ86*$E$87</f>
        <v>27892.121599999999</v>
      </c>
      <c r="AK87" s="30">
        <f t="shared" si="106"/>
        <v>55784.243199999997</v>
      </c>
      <c r="AL87" s="68">
        <f t="shared" si="106"/>
        <v>74062.699200000003</v>
      </c>
      <c r="AM87" s="45"/>
    </row>
    <row r="88" spans="1:39" x14ac:dyDescent="0.25">
      <c r="A88" s="48" t="s">
        <v>9</v>
      </c>
      <c r="B88" s="24">
        <v>0.14000000000000001</v>
      </c>
      <c r="C88" s="10">
        <f>$B$9 * B88</f>
        <v>194901840.00000003</v>
      </c>
      <c r="D88" s="47"/>
      <c r="E88" s="16"/>
      <c r="F88" s="16"/>
      <c r="G88" s="16"/>
      <c r="H88" s="16"/>
      <c r="I88" s="16"/>
      <c r="J88" s="16"/>
      <c r="K88" s="16"/>
      <c r="L88" s="20">
        <f t="shared" ref="L88:AL88" si="108">L$23*$B$88</f>
        <v>4.375</v>
      </c>
      <c r="M88" s="21">
        <f t="shared" si="108"/>
        <v>8.75</v>
      </c>
      <c r="N88" s="21">
        <f t="shared" si="108"/>
        <v>17.5</v>
      </c>
      <c r="O88" s="21">
        <f t="shared" si="108"/>
        <v>35</v>
      </c>
      <c r="P88" s="21">
        <f t="shared" si="108"/>
        <v>70</v>
      </c>
      <c r="Q88" s="21">
        <f t="shared" si="108"/>
        <v>140</v>
      </c>
      <c r="R88" s="21">
        <f t="shared" si="108"/>
        <v>280</v>
      </c>
      <c r="S88" s="21">
        <f t="shared" si="108"/>
        <v>560</v>
      </c>
      <c r="T88" s="21">
        <f t="shared" si="108"/>
        <v>1120</v>
      </c>
      <c r="U88" s="21">
        <f t="shared" si="108"/>
        <v>2240</v>
      </c>
      <c r="V88" s="21">
        <f t="shared" si="108"/>
        <v>4480</v>
      </c>
      <c r="W88" s="21">
        <f t="shared" si="108"/>
        <v>8960</v>
      </c>
      <c r="X88" s="21">
        <f t="shared" si="108"/>
        <v>17920</v>
      </c>
      <c r="Y88" s="21">
        <f t="shared" si="108"/>
        <v>35840</v>
      </c>
      <c r="Z88" s="21">
        <f t="shared" si="108"/>
        <v>71680</v>
      </c>
      <c r="AA88" s="21">
        <f t="shared" si="108"/>
        <v>143360</v>
      </c>
      <c r="AB88" s="21">
        <f t="shared" si="108"/>
        <v>286720</v>
      </c>
      <c r="AC88" s="21">
        <f t="shared" si="108"/>
        <v>573440</v>
      </c>
      <c r="AD88" s="21">
        <f t="shared" si="108"/>
        <v>1146880</v>
      </c>
      <c r="AE88" s="21">
        <f t="shared" si="108"/>
        <v>2293760</v>
      </c>
      <c r="AF88" s="21">
        <f t="shared" si="108"/>
        <v>4587520</v>
      </c>
      <c r="AG88" s="21">
        <f t="shared" si="108"/>
        <v>9175040</v>
      </c>
      <c r="AH88" s="20">
        <f t="shared" si="108"/>
        <v>18350080</v>
      </c>
      <c r="AI88" s="21">
        <f t="shared" si="108"/>
        <v>36700160</v>
      </c>
      <c r="AJ88" s="21">
        <f t="shared" si="108"/>
        <v>73400320</v>
      </c>
      <c r="AK88" s="21">
        <f t="shared" si="108"/>
        <v>146800640</v>
      </c>
      <c r="AL88" s="69">
        <f t="shared" si="108"/>
        <v>194901840.00000003</v>
      </c>
      <c r="AM88" s="45"/>
    </row>
    <row r="89" spans="1:39" x14ac:dyDescent="0.25">
      <c r="A89" s="37"/>
      <c r="B89" s="39"/>
      <c r="C89" s="39"/>
      <c r="D89" s="54"/>
      <c r="E89" s="55" t="s">
        <v>10</v>
      </c>
      <c r="F89" s="39"/>
      <c r="G89" s="39"/>
      <c r="H89" s="39"/>
      <c r="I89" s="39"/>
      <c r="J89" s="39"/>
      <c r="K89" s="39"/>
      <c r="L89" s="29" t="s">
        <v>10</v>
      </c>
      <c r="M89" s="30" t="s">
        <v>10</v>
      </c>
      <c r="N89" s="30" t="s">
        <v>10</v>
      </c>
      <c r="O89" s="30" t="s">
        <v>10</v>
      </c>
      <c r="P89" s="30" t="s">
        <v>10</v>
      </c>
      <c r="Q89" s="30" t="s">
        <v>10</v>
      </c>
      <c r="R89" s="30" t="s">
        <v>10</v>
      </c>
      <c r="S89" s="30" t="s">
        <v>10</v>
      </c>
      <c r="T89" s="30" t="s">
        <v>10</v>
      </c>
      <c r="U89" s="30" t="s">
        <v>10</v>
      </c>
      <c r="V89" s="30" t="s">
        <v>10</v>
      </c>
      <c r="W89" s="30" t="s">
        <v>10</v>
      </c>
      <c r="X89" s="30" t="s">
        <v>10</v>
      </c>
      <c r="Y89" s="30" t="s">
        <v>10</v>
      </c>
      <c r="Z89" s="30" t="s">
        <v>10</v>
      </c>
      <c r="AA89" s="30" t="s">
        <v>10</v>
      </c>
      <c r="AB89" s="30" t="s">
        <v>10</v>
      </c>
      <c r="AC89" s="30" t="s">
        <v>10</v>
      </c>
      <c r="AD89" s="30" t="s">
        <v>10</v>
      </c>
      <c r="AE89" s="30" t="s">
        <v>10</v>
      </c>
      <c r="AF89" s="30" t="s">
        <v>10</v>
      </c>
      <c r="AG89" s="30" t="s">
        <v>10</v>
      </c>
      <c r="AH89" s="29" t="s">
        <v>10</v>
      </c>
      <c r="AI89" s="30" t="s">
        <v>10</v>
      </c>
      <c r="AJ89" s="30" t="s">
        <v>10</v>
      </c>
      <c r="AK89" s="30" t="s">
        <v>10</v>
      </c>
      <c r="AL89" s="68" t="s">
        <v>10</v>
      </c>
      <c r="AM89" s="45"/>
    </row>
    <row r="90" spans="1:39" x14ac:dyDescent="0.25">
      <c r="A90" s="41" t="s">
        <v>196</v>
      </c>
      <c r="B90" s="16"/>
      <c r="C90" s="16"/>
      <c r="D90" s="47"/>
      <c r="E90" s="16"/>
      <c r="F90" s="16"/>
      <c r="G90" s="16"/>
      <c r="H90" s="16"/>
      <c r="I90" s="16"/>
      <c r="J90" s="16"/>
      <c r="K90" s="16"/>
      <c r="L90" s="18">
        <f>SUM(L78,L80,L82,L84,L86,L88)</f>
        <v>23.967187500000001</v>
      </c>
      <c r="M90" s="19">
        <f t="shared" ref="M90:AB90" si="109">SUM(M78,M80,M82,M84,M86,M88)</f>
        <v>47.934375000000003</v>
      </c>
      <c r="N90" s="19">
        <f t="shared" si="109"/>
        <v>95.868750000000006</v>
      </c>
      <c r="O90" s="19">
        <f t="shared" si="109"/>
        <v>191.73750000000001</v>
      </c>
      <c r="P90" s="19">
        <f t="shared" si="109"/>
        <v>383.47500000000002</v>
      </c>
      <c r="Q90" s="19">
        <f t="shared" si="109"/>
        <v>766.95</v>
      </c>
      <c r="R90" s="19">
        <f>SUM(R78,R80,R82,R84,R86,R88)</f>
        <v>1533.9</v>
      </c>
      <c r="S90" s="19">
        <f t="shared" si="109"/>
        <v>3067.8</v>
      </c>
      <c r="T90" s="19">
        <f t="shared" si="109"/>
        <v>6135.6</v>
      </c>
      <c r="U90" s="19">
        <f t="shared" si="109"/>
        <v>12271.2</v>
      </c>
      <c r="V90" s="19">
        <f t="shared" si="109"/>
        <v>24542.400000000001</v>
      </c>
      <c r="W90" s="19">
        <f t="shared" si="109"/>
        <v>49084.800000000003</v>
      </c>
      <c r="X90" s="19">
        <f t="shared" si="109"/>
        <v>98169.600000000006</v>
      </c>
      <c r="Y90" s="19">
        <f t="shared" si="109"/>
        <v>196339.20000000001</v>
      </c>
      <c r="Z90" s="19">
        <f t="shared" si="109"/>
        <v>392678.40000000002</v>
      </c>
      <c r="AA90" s="19">
        <f t="shared" si="109"/>
        <v>785356.80000000005</v>
      </c>
      <c r="AB90" s="19">
        <f t="shared" si="109"/>
        <v>1570713.6000000001</v>
      </c>
      <c r="AC90" s="19">
        <f t="shared" ref="AC90:AE91" si="110">SUM(AC78,AC80,AC82,AC84,AC86,AC88)</f>
        <v>3141427.2000000002</v>
      </c>
      <c r="AD90" s="19">
        <f t="shared" si="110"/>
        <v>6282854.4000000004</v>
      </c>
      <c r="AE90" s="19">
        <f t="shared" si="110"/>
        <v>12565708.800000001</v>
      </c>
      <c r="AF90" s="19">
        <f t="shared" ref="AF90:AL90" si="111">SUM(AF78,AF80,AF82,AF84,AF86,AF88)</f>
        <v>25131417.600000001</v>
      </c>
      <c r="AG90" s="19">
        <f t="shared" si="111"/>
        <v>50262835.200000003</v>
      </c>
      <c r="AH90" s="18">
        <f t="shared" si="111"/>
        <v>100525670.40000001</v>
      </c>
      <c r="AI90" s="19">
        <f t="shared" si="111"/>
        <v>201051340.80000001</v>
      </c>
      <c r="AJ90" s="19">
        <f t="shared" ref="AJ90" si="112">SUM(AJ78,AJ80,AJ82,AJ84,AJ86,AJ88)</f>
        <v>402102681.60000002</v>
      </c>
      <c r="AK90" s="19">
        <f t="shared" si="111"/>
        <v>804205363.20000005</v>
      </c>
      <c r="AL90" s="59">
        <f t="shared" si="111"/>
        <v>1067714044.2</v>
      </c>
      <c r="AM90" s="45"/>
    </row>
    <row r="91" spans="1:39" x14ac:dyDescent="0.25">
      <c r="A91" s="37" t="s">
        <v>40</v>
      </c>
      <c r="B91" s="39"/>
      <c r="C91" s="39"/>
      <c r="D91" s="39"/>
      <c r="E91" s="39"/>
      <c r="F91" s="39"/>
      <c r="G91" s="39"/>
      <c r="H91" s="39"/>
      <c r="I91" s="39"/>
      <c r="J91" s="39"/>
      <c r="K91" s="39"/>
      <c r="L91" s="31">
        <f>SUM(L79,L81,L83,L85,L87,L89)</f>
        <v>1.2851625</v>
      </c>
      <c r="M91" s="32">
        <f t="shared" ref="M91:AB91" si="113">SUM(M79,M81,M83,M85,M87,M89)</f>
        <v>2.570325</v>
      </c>
      <c r="N91" s="32">
        <f t="shared" si="113"/>
        <v>5.1406499999999999</v>
      </c>
      <c r="O91" s="32">
        <f t="shared" si="113"/>
        <v>10.2813</v>
      </c>
      <c r="P91" s="32">
        <f t="shared" si="113"/>
        <v>20.5626</v>
      </c>
      <c r="Q91" s="32">
        <f t="shared" si="113"/>
        <v>41.1252</v>
      </c>
      <c r="R91" s="32">
        <f t="shared" si="113"/>
        <v>82.250399999999999</v>
      </c>
      <c r="S91" s="32">
        <f t="shared" si="113"/>
        <v>164.5008</v>
      </c>
      <c r="T91" s="32">
        <f t="shared" si="113"/>
        <v>329.0016</v>
      </c>
      <c r="U91" s="32">
        <f t="shared" si="113"/>
        <v>658.00319999999999</v>
      </c>
      <c r="V91" s="32">
        <f t="shared" si="113"/>
        <v>1316.0064</v>
      </c>
      <c r="W91" s="32">
        <f t="shared" si="113"/>
        <v>2632.0128</v>
      </c>
      <c r="X91" s="32">
        <f t="shared" si="113"/>
        <v>5264.0255999999999</v>
      </c>
      <c r="Y91" s="32">
        <f t="shared" si="113"/>
        <v>10528.0512</v>
      </c>
      <c r="Z91" s="32">
        <f t="shared" si="113"/>
        <v>21056.1024</v>
      </c>
      <c r="AA91" s="32">
        <f t="shared" si="113"/>
        <v>42112.2048</v>
      </c>
      <c r="AB91" s="32">
        <f t="shared" si="113"/>
        <v>84224.409599999999</v>
      </c>
      <c r="AC91" s="32">
        <f t="shared" si="110"/>
        <v>168448.8192</v>
      </c>
      <c r="AD91" s="32">
        <f t="shared" si="110"/>
        <v>336897.6384</v>
      </c>
      <c r="AE91" s="32">
        <f t="shared" si="110"/>
        <v>673795.27679999999</v>
      </c>
      <c r="AF91" s="32">
        <f t="shared" ref="AF91:AL91" si="114">SUM(AF79,AF81,AF83,AF85,AF87,AF89)</f>
        <v>1347590.5536</v>
      </c>
      <c r="AG91" s="32">
        <f t="shared" si="114"/>
        <v>2695181.1072</v>
      </c>
      <c r="AH91" s="31">
        <f t="shared" si="114"/>
        <v>5390362.2143999999</v>
      </c>
      <c r="AI91" s="32">
        <f t="shared" si="114"/>
        <v>10780724.4288</v>
      </c>
      <c r="AJ91" s="32">
        <f t="shared" ref="AJ91" si="115">SUM(AJ79,AJ81,AJ83,AJ85,AJ87,AJ89)</f>
        <v>21561448.8576</v>
      </c>
      <c r="AK91" s="32">
        <f t="shared" si="114"/>
        <v>43122897.7152</v>
      </c>
      <c r="AL91" s="70">
        <f t="shared" si="114"/>
        <v>57252693.93119999</v>
      </c>
      <c r="AM91" s="45"/>
    </row>
    <row r="95" spans="1:39" x14ac:dyDescent="0.25">
      <c r="E95" s="2"/>
    </row>
    <row r="96" spans="1:39" x14ac:dyDescent="0.25">
      <c r="E96" s="2"/>
    </row>
    <row r="98" spans="5:5" x14ac:dyDescent="0.25">
      <c r="E98" s="270"/>
    </row>
  </sheetData>
  <conditionalFormatting sqref="AH34:AM34 L34:AF34">
    <cfRule type="cellIs" dxfId="24" priority="34" operator="greaterThan">
      <formula>$C$13</formula>
    </cfRule>
  </conditionalFormatting>
  <conditionalFormatting sqref="L36:AL36">
    <cfRule type="cellIs" dxfId="23" priority="33" operator="greaterThan">
      <formula>$C$14</formula>
    </cfRule>
  </conditionalFormatting>
  <conditionalFormatting sqref="L55:AL55">
    <cfRule type="cellIs" dxfId="22" priority="32" operator="greaterThan">
      <formula>$C$55</formula>
    </cfRule>
  </conditionalFormatting>
  <conditionalFormatting sqref="L57:AL57">
    <cfRule type="cellIs" dxfId="21" priority="31" operator="greaterThan">
      <formula>$C$57</formula>
    </cfRule>
  </conditionalFormatting>
  <conditionalFormatting sqref="L59:AL59">
    <cfRule type="cellIs" dxfId="20" priority="30" operator="greaterThan">
      <formula>$C$59</formula>
    </cfRule>
  </conditionalFormatting>
  <conditionalFormatting sqref="L61:AL61">
    <cfRule type="cellIs" dxfId="19" priority="22" operator="greaterThan">
      <formula>$C$61</formula>
    </cfRule>
  </conditionalFormatting>
  <conditionalFormatting sqref="L63:AL63">
    <cfRule type="cellIs" dxfId="18" priority="21" operator="greaterThan">
      <formula>$C$63</formula>
    </cfRule>
  </conditionalFormatting>
  <conditionalFormatting sqref="L65:AL65">
    <cfRule type="cellIs" dxfId="17" priority="20" operator="greaterThan">
      <formula>$C$65</formula>
    </cfRule>
  </conditionalFormatting>
  <conditionalFormatting sqref="L67:AL67">
    <cfRule type="cellIs" dxfId="16" priority="19" operator="greaterThan">
      <formula>$C$67</formula>
    </cfRule>
  </conditionalFormatting>
  <conditionalFormatting sqref="L69:AL69">
    <cfRule type="cellIs" dxfId="15" priority="18" operator="greaterThan">
      <formula>$C$69</formula>
    </cfRule>
  </conditionalFormatting>
  <conditionalFormatting sqref="L71:AL71">
    <cfRule type="cellIs" dxfId="14" priority="17" operator="greaterThan">
      <formula>$C$71</formula>
    </cfRule>
  </conditionalFormatting>
  <conditionalFormatting sqref="L25:AL25">
    <cfRule type="cellIs" dxfId="13" priority="16" operator="equal">
      <formula>0</formula>
    </cfRule>
  </conditionalFormatting>
  <conditionalFormatting sqref="L32:AF32 AH32:AL32 AH34:AL34 M36:AL36 L34:AF34">
    <cfRule type="cellIs" dxfId="12" priority="15" operator="equal">
      <formula>0</formula>
    </cfRule>
  </conditionalFormatting>
  <conditionalFormatting sqref="D55">
    <cfRule type="cellIs" dxfId="11" priority="12" operator="greaterThan">
      <formula>$B$55</formula>
    </cfRule>
  </conditionalFormatting>
  <conditionalFormatting sqref="D57">
    <cfRule type="cellIs" dxfId="10" priority="11" operator="greaterThan">
      <formula>$B$57</formula>
    </cfRule>
  </conditionalFormatting>
  <conditionalFormatting sqref="D59">
    <cfRule type="cellIs" dxfId="9" priority="10" operator="greaterThan">
      <formula>$B$59</formula>
    </cfRule>
  </conditionalFormatting>
  <conditionalFormatting sqref="D61">
    <cfRule type="cellIs" dxfId="8" priority="9" operator="greaterThan">
      <formula>$B$61</formula>
    </cfRule>
  </conditionalFormatting>
  <conditionalFormatting sqref="D63">
    <cfRule type="cellIs" dxfId="7" priority="8" operator="greaterThan">
      <formula>$B$63</formula>
    </cfRule>
  </conditionalFormatting>
  <conditionalFormatting sqref="D65">
    <cfRule type="cellIs" dxfId="6" priority="7" operator="greaterThan">
      <formula>$B$65</formula>
    </cfRule>
  </conditionalFormatting>
  <conditionalFormatting sqref="D67">
    <cfRule type="cellIs" dxfId="5" priority="6" operator="greaterThan">
      <formula>$B$67</formula>
    </cfRule>
  </conditionalFormatting>
  <conditionalFormatting sqref="D69">
    <cfRule type="cellIs" dxfId="4" priority="5" operator="greaterThan">
      <formula>$B$69</formula>
    </cfRule>
  </conditionalFormatting>
  <conditionalFormatting sqref="D71">
    <cfRule type="cellIs" dxfId="3" priority="4" operator="greaterThan">
      <formula>$B$71</formula>
    </cfRule>
  </conditionalFormatting>
  <conditionalFormatting sqref="AG32">
    <cfRule type="cellIs" dxfId="2" priority="3" operator="equal">
      <formula>0</formula>
    </cfRule>
  </conditionalFormatting>
  <conditionalFormatting sqref="AG34">
    <cfRule type="cellIs" dxfId="1" priority="2" operator="greaterThan">
      <formula>$C$13</formula>
    </cfRule>
  </conditionalFormatting>
  <conditionalFormatting sqref="AG34">
    <cfRule type="cellIs" dxfId="0" priority="1" operator="equal">
      <formula>0</formula>
    </cfRule>
  </conditionalFormatting>
  <hyperlinks>
    <hyperlink ref="E54" r:id="rId1" location="case-fatality-rate-of-covid-19-by-age" xr:uid="{0058192C-B05A-45D2-8597-C1F9B3D9241E}"/>
    <hyperlink ref="E77" r:id="rId2" location="case-fatality-rate-of-covid-19-by-preexisting-health-conditions" xr:uid="{110A2613-24A6-4768-B90C-571B307D13E2}"/>
    <hyperlink ref="A47" r:id="rId3" xr:uid="{168ADFE7-28CA-4E37-B04A-0F894FC4F702}"/>
    <hyperlink ref="A9" r:id="rId4" xr:uid="{C82EF781-DCE9-40F2-B400-788BB6410A85}"/>
    <hyperlink ref="F54" r:id="rId5" xr:uid="{503A7334-7FEF-4AE6-896F-53AD99C1BBA1}"/>
    <hyperlink ref="B11" r:id="rId6" display="https://cmmid.github.io/topics/covid19/severity/global_cfr_estimates.html" xr:uid="{BFBD0714-5129-4D5C-8C1E-3168F1985A4F}"/>
    <hyperlink ref="A10"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Q13" sqref="Q13"/>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117</v>
      </c>
      <c r="C3" s="152">
        <f>Projections!B9</f>
        <v>1392156000</v>
      </c>
      <c r="J3" s="2"/>
    </row>
    <row r="4" spans="2:10" x14ac:dyDescent="0.25">
      <c r="B4" s="169" t="s">
        <v>134</v>
      </c>
      <c r="C4" s="152">
        <f>Projections!L23</f>
        <v>31.25</v>
      </c>
      <c r="J4" s="2"/>
    </row>
    <row r="5" spans="2:10" x14ac:dyDescent="0.25">
      <c r="B5" s="169" t="s">
        <v>135</v>
      </c>
      <c r="C5" s="150">
        <f>Projections!L22</f>
        <v>43895</v>
      </c>
      <c r="J5" s="2"/>
    </row>
    <row r="6" spans="2:10" x14ac:dyDescent="0.25">
      <c r="B6" s="169" t="s">
        <v>118</v>
      </c>
      <c r="C6" s="152">
        <v>173763</v>
      </c>
    </row>
    <row r="7" spans="2:10" x14ac:dyDescent="0.25">
      <c r="B7" s="169" t="s">
        <v>120</v>
      </c>
      <c r="C7" s="150">
        <f ca="1">NOW()</f>
        <v>43981.643229745372</v>
      </c>
    </row>
    <row r="8" spans="2:10" x14ac:dyDescent="0.25">
      <c r="B8" s="169" t="s">
        <v>136</v>
      </c>
      <c r="C8" s="151">
        <f ca="1">C7-C5</f>
        <v>86.643229745372082</v>
      </c>
    </row>
    <row r="9" spans="2:10" x14ac:dyDescent="0.25">
      <c r="B9" s="169" t="s">
        <v>119</v>
      </c>
      <c r="C9" s="153">
        <f ca="1">C8/(LOG(C6/C4)/LOG(2))</f>
        <v>6.9643428330102548</v>
      </c>
      <c r="D9" t="s">
        <v>97</v>
      </c>
      <c r="F9" t="s">
        <v>137</v>
      </c>
    </row>
    <row r="10" spans="2:10" x14ac:dyDescent="0.25">
      <c r="B10" s="169" t="s">
        <v>124</v>
      </c>
      <c r="C10" s="152">
        <f>Projections!C13</f>
        <v>689882.90580000007</v>
      </c>
    </row>
    <row r="11" spans="2:10" x14ac:dyDescent="0.25">
      <c r="B11" s="170" t="s">
        <v>125</v>
      </c>
      <c r="C11" s="157">
        <f>Projections!C14</f>
        <v>47959.774200000007</v>
      </c>
    </row>
    <row r="12" spans="2:10" s="66" customFormat="1" x14ac:dyDescent="0.25">
      <c r="B12" s="61" t="s">
        <v>165</v>
      </c>
      <c r="C12" s="158">
        <f>C6/Projections!B11</f>
        <v>359937.6428571429</v>
      </c>
    </row>
    <row r="13" spans="2:10" s="66" customFormat="1" x14ac:dyDescent="0.25">
      <c r="B13" s="48" t="s">
        <v>166</v>
      </c>
      <c r="C13" s="159">
        <f ca="1">(C4/Projections!B11)*(2^(((C7-21)-C5)/C9))</f>
        <v>44515.729556833336</v>
      </c>
    </row>
    <row r="14" spans="2:10" s="66" customFormat="1" x14ac:dyDescent="0.25">
      <c r="B14" s="49" t="s">
        <v>167</v>
      </c>
      <c r="C14" s="141">
        <f ca="1">C12-C13</f>
        <v>315421.91330030956</v>
      </c>
      <c r="E14" s="155"/>
      <c r="F14" s="156" t="s">
        <v>141</v>
      </c>
      <c r="G14" s="154"/>
    </row>
    <row r="15" spans="2:10" x14ac:dyDescent="0.25">
      <c r="B15" s="4" t="s">
        <v>138</v>
      </c>
      <c r="C15" s="63">
        <f>C6*Projections!B15</f>
        <v>140748.03</v>
      </c>
      <c r="I15" s="149"/>
    </row>
    <row r="16" spans="2:10" x14ac:dyDescent="0.25">
      <c r="B16" s="41" t="s">
        <v>148</v>
      </c>
      <c r="C16" s="77">
        <f ca="1">(C4*Projections!B15)*(2^(((C7-21)-C5)/C9))</f>
        <v>17407.185281878963</v>
      </c>
      <c r="I16" s="149"/>
    </row>
    <row r="17" spans="2:9" x14ac:dyDescent="0.25">
      <c r="B17" s="41" t="s">
        <v>139</v>
      </c>
      <c r="C17" s="77">
        <f ca="1">C15-C16</f>
        <v>123340.84471812104</v>
      </c>
      <c r="F17" t="s">
        <v>142</v>
      </c>
      <c r="I17" s="149"/>
    </row>
    <row r="18" spans="2:9" x14ac:dyDescent="0.25">
      <c r="B18" s="4" t="s">
        <v>144</v>
      </c>
      <c r="C18" s="63">
        <f>C6*Projections!B16</f>
        <v>24326.820000000003</v>
      </c>
    </row>
    <row r="19" spans="2:9" x14ac:dyDescent="0.25">
      <c r="B19" s="41" t="s">
        <v>149</v>
      </c>
      <c r="C19" s="77">
        <f ca="1">(C4*Projections!B16)*(2^(((C7-49)-C5)/C9))</f>
        <v>185.39009978026331</v>
      </c>
    </row>
    <row r="20" spans="2:9" x14ac:dyDescent="0.25">
      <c r="B20" s="41" t="s">
        <v>143</v>
      </c>
      <c r="C20" s="77">
        <f ca="1">C18-C19</f>
        <v>24141.42990021974</v>
      </c>
      <c r="F20" t="s">
        <v>147</v>
      </c>
    </row>
    <row r="21" spans="2:9" x14ac:dyDescent="0.25">
      <c r="B21" s="4" t="s">
        <v>145</v>
      </c>
      <c r="C21" s="63">
        <f>C6*Projections!B17</f>
        <v>8688.15</v>
      </c>
      <c r="I21" s="149"/>
    </row>
    <row r="22" spans="2:9" x14ac:dyDescent="0.25">
      <c r="B22" s="41" t="s">
        <v>150</v>
      </c>
      <c r="C22" s="77">
        <f ca="1">(C4*Projections!B17)*(2^(((C7-49)-C5)/C9))</f>
        <v>66.21074992152262</v>
      </c>
      <c r="I22" s="149"/>
    </row>
    <row r="23" spans="2:9" x14ac:dyDescent="0.25">
      <c r="B23" s="41" t="s">
        <v>146</v>
      </c>
      <c r="C23" s="77">
        <f ca="1">C21-C22</f>
        <v>8621.9392500784779</v>
      </c>
      <c r="I23" s="149"/>
    </row>
    <row r="24" spans="2:9" x14ac:dyDescent="0.25">
      <c r="B24" s="4" t="s">
        <v>151</v>
      </c>
      <c r="C24" s="63">
        <f>C6*Projections!B18</f>
        <v>5039.1270000000004</v>
      </c>
    </row>
    <row r="25" spans="2:9" x14ac:dyDescent="0.25">
      <c r="B25" s="37" t="s">
        <v>152</v>
      </c>
      <c r="C25" s="60">
        <f ca="1">(C4*Projections!B18)*(2^(((C7-42)-C5)/C9))</f>
        <v>77.07752451635308</v>
      </c>
      <c r="F25" t="s">
        <v>153</v>
      </c>
    </row>
    <row r="26" spans="2:9" x14ac:dyDescent="0.25">
      <c r="B26" s="41" t="s">
        <v>129</v>
      </c>
      <c r="C26" s="162">
        <f ca="1">C9*(LOG(C10/C21)/LOG(2))</f>
        <v>43.953072802501623</v>
      </c>
      <c r="D26" t="s">
        <v>97</v>
      </c>
      <c r="F26" s="66" t="s">
        <v>154</v>
      </c>
    </row>
    <row r="27" spans="2:9" x14ac:dyDescent="0.25">
      <c r="B27" s="37" t="s">
        <v>126</v>
      </c>
      <c r="C27" s="161">
        <f ca="1">C7+C26</f>
        <v>44025.59630254787</v>
      </c>
      <c r="F27" t="s">
        <v>155</v>
      </c>
    </row>
    <row r="28" spans="2:9" x14ac:dyDescent="0.25">
      <c r="B28" s="4" t="s">
        <v>130</v>
      </c>
      <c r="C28" s="160">
        <f ca="1">C9*(LOG(C11/C21)/LOG(2))</f>
        <v>17.165043289320767</v>
      </c>
      <c r="D28" t="s">
        <v>97</v>
      </c>
    </row>
    <row r="29" spans="2:9" x14ac:dyDescent="0.25">
      <c r="B29" s="37" t="s">
        <v>127</v>
      </c>
      <c r="C29" s="161">
        <f ca="1">C7+C28</f>
        <v>43998.808273034694</v>
      </c>
      <c r="F29" t="s">
        <v>155</v>
      </c>
    </row>
    <row r="30" spans="2:9" x14ac:dyDescent="0.25">
      <c r="B30" s="4" t="s">
        <v>131</v>
      </c>
      <c r="C30" s="160">
        <f ca="1">C9*(LOG((C3*0.6)/C12)/LOG(2))</f>
        <v>77.863586193868471</v>
      </c>
      <c r="D30" t="s">
        <v>97</v>
      </c>
    </row>
    <row r="31" spans="2:9" x14ac:dyDescent="0.25">
      <c r="B31" s="37" t="s">
        <v>128</v>
      </c>
      <c r="C31" s="161">
        <f ca="1">C7+C30</f>
        <v>44059.506815939239</v>
      </c>
    </row>
    <row r="34" spans="2:6" x14ac:dyDescent="0.25">
      <c r="B34" s="4" t="s">
        <v>132</v>
      </c>
      <c r="C34" s="150">
        <f ca="1">C7+30</f>
        <v>44011.643229745372</v>
      </c>
      <c r="F34" t="s">
        <v>168</v>
      </c>
    </row>
    <row r="35" spans="2:6" x14ac:dyDescent="0.25">
      <c r="B35" s="41" t="s">
        <v>133</v>
      </c>
      <c r="C35" s="77">
        <f ca="1">C6*(2^((C34-C7)/C9))</f>
        <v>3441052.2517520362</v>
      </c>
      <c r="F35" t="s">
        <v>140</v>
      </c>
    </row>
    <row r="36" spans="2:6" x14ac:dyDescent="0.25">
      <c r="B36" s="41" t="s">
        <v>174</v>
      </c>
      <c r="C36" s="77">
        <f ca="1">C35/Projections!B11</f>
        <v>7127893.9500577897</v>
      </c>
    </row>
    <row r="37" spans="2:6" x14ac:dyDescent="0.25">
      <c r="B37" s="41" t="s">
        <v>73</v>
      </c>
      <c r="C37" s="77">
        <f ca="1">C35*Projections!B15</f>
        <v>2787252.3239191496</v>
      </c>
    </row>
    <row r="38" spans="2:6" x14ac:dyDescent="0.25">
      <c r="B38" s="41" t="s">
        <v>121</v>
      </c>
      <c r="C38" s="77">
        <f ca="1">C35*Projections!B16</f>
        <v>481747.31524528511</v>
      </c>
    </row>
    <row r="39" spans="2:6" x14ac:dyDescent="0.25">
      <c r="B39" s="41" t="s">
        <v>122</v>
      </c>
      <c r="C39" s="77">
        <f ca="1">C35*Projections!B17</f>
        <v>172052.61258760182</v>
      </c>
    </row>
    <row r="40" spans="2:6" x14ac:dyDescent="0.25">
      <c r="B40" s="37" t="s">
        <v>123</v>
      </c>
      <c r="C40" s="60">
        <f ca="1">C35*Projections!B18</f>
        <v>99790.515300809056</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184</v>
      </c>
    </row>
    <row r="2" spans="1:4" x14ac:dyDescent="0.25">
      <c r="A2" s="238" t="s">
        <v>183</v>
      </c>
      <c r="B2" t="s">
        <v>46</v>
      </c>
      <c r="D2" t="s">
        <v>185</v>
      </c>
    </row>
    <row r="3" spans="1:4" x14ac:dyDescent="0.25">
      <c r="A3" s="241" t="s">
        <v>21</v>
      </c>
      <c r="B3" s="242">
        <v>112806778</v>
      </c>
      <c r="C3" s="243"/>
      <c r="D3" s="5"/>
    </row>
    <row r="4" spans="1:4" x14ac:dyDescent="0.25">
      <c r="A4" s="244" t="s">
        <v>22</v>
      </c>
      <c r="B4" s="245">
        <v>126928126</v>
      </c>
      <c r="C4" s="245">
        <f>SUM(B3:B4)</f>
        <v>239734904</v>
      </c>
      <c r="D4" s="246">
        <f>C4/$B$25</f>
        <v>0.19798812289970874</v>
      </c>
    </row>
    <row r="5" spans="1:4" x14ac:dyDescent="0.25">
      <c r="A5" s="241" t="s">
        <v>23</v>
      </c>
      <c r="B5" s="242">
        <v>132709212</v>
      </c>
      <c r="C5" s="243"/>
      <c r="D5" s="5"/>
    </row>
    <row r="6" spans="1:4" x14ac:dyDescent="0.25">
      <c r="A6" s="244" t="s">
        <v>24</v>
      </c>
      <c r="B6" s="245">
        <v>120526449</v>
      </c>
      <c r="C6" s="245">
        <f>SUM(B5:B6)</f>
        <v>253235661</v>
      </c>
      <c r="D6" s="246">
        <f>C6/$B$25</f>
        <v>0.20913789496692137</v>
      </c>
    </row>
    <row r="7" spans="1:4" x14ac:dyDescent="0.25">
      <c r="A7" s="241" t="s">
        <v>25</v>
      </c>
      <c r="B7" s="242">
        <v>111424222</v>
      </c>
      <c r="C7" s="243"/>
      <c r="D7" s="5"/>
    </row>
    <row r="8" spans="1:4" x14ac:dyDescent="0.25">
      <c r="A8" s="244" t="s">
        <v>26</v>
      </c>
      <c r="B8" s="245">
        <v>101413965</v>
      </c>
      <c r="C8" s="245">
        <f>SUM(B7:B8)</f>
        <v>212838187</v>
      </c>
      <c r="D8" s="246">
        <f>C8/$B$25</f>
        <v>0.17577512670206416</v>
      </c>
    </row>
    <row r="9" spans="1:4" x14ac:dyDescent="0.25">
      <c r="A9" s="241" t="s">
        <v>27</v>
      </c>
      <c r="B9" s="242">
        <v>88594951</v>
      </c>
      <c r="C9" s="243"/>
      <c r="D9" s="5"/>
    </row>
    <row r="10" spans="1:4" x14ac:dyDescent="0.25">
      <c r="A10" s="244" t="s">
        <v>28</v>
      </c>
      <c r="B10" s="245">
        <v>85140684</v>
      </c>
      <c r="C10" s="245">
        <f>SUM(B9:B10)</f>
        <v>173735635</v>
      </c>
      <c r="D10" s="246">
        <f>C10/$B$25</f>
        <v>0.14348178625853722</v>
      </c>
    </row>
    <row r="11" spans="1:4" x14ac:dyDescent="0.25">
      <c r="A11" s="241" t="s">
        <v>29</v>
      </c>
      <c r="B11" s="242">
        <v>72438112</v>
      </c>
      <c r="C11" s="243"/>
      <c r="D11" s="5"/>
    </row>
    <row r="12" spans="1:4" x14ac:dyDescent="0.25">
      <c r="A12" s="244" t="s">
        <v>30</v>
      </c>
      <c r="B12" s="245">
        <v>62318327</v>
      </c>
      <c r="C12" s="245">
        <f>SUM(B11:B12)</f>
        <v>134756439</v>
      </c>
      <c r="D12" s="246">
        <f>C12/$B$25</f>
        <v>0.11129032093824395</v>
      </c>
    </row>
    <row r="13" spans="1:4" x14ac:dyDescent="0.25">
      <c r="A13" s="241" t="s">
        <v>31</v>
      </c>
      <c r="B13" s="242">
        <v>49069254</v>
      </c>
      <c r="C13" s="243"/>
      <c r="D13" s="5"/>
    </row>
    <row r="14" spans="1:4" x14ac:dyDescent="0.25">
      <c r="A14" s="244" t="s">
        <v>32</v>
      </c>
      <c r="B14" s="245">
        <v>39146055</v>
      </c>
      <c r="C14" s="245">
        <f>SUM(B13:B14)</f>
        <v>88215309</v>
      </c>
      <c r="D14" s="246">
        <f>C14/$B$25</f>
        <v>7.2853736141516481E-2</v>
      </c>
    </row>
    <row r="15" spans="1:4" x14ac:dyDescent="0.25">
      <c r="A15" s="241" t="s">
        <v>33</v>
      </c>
      <c r="B15" s="242">
        <v>37663707</v>
      </c>
      <c r="C15" s="243"/>
      <c r="D15" s="5"/>
    </row>
    <row r="16" spans="1:4" x14ac:dyDescent="0.25">
      <c r="A16" s="244" t="s">
        <v>34</v>
      </c>
      <c r="B16" s="245">
        <v>26454983</v>
      </c>
      <c r="C16" s="245">
        <f>SUM(B15:B16)</f>
        <v>64118690</v>
      </c>
      <c r="D16" s="246">
        <f>C16/$B$25</f>
        <v>5.2953236529497287E-2</v>
      </c>
    </row>
    <row r="17" spans="1:4" x14ac:dyDescent="0.25">
      <c r="A17" s="241" t="s">
        <v>35</v>
      </c>
      <c r="B17" s="242">
        <v>19208842</v>
      </c>
      <c r="C17" s="243"/>
      <c r="D17" s="5"/>
    </row>
    <row r="18" spans="1:4" x14ac:dyDescent="0.25">
      <c r="A18" s="247" t="s">
        <v>36</v>
      </c>
      <c r="B18" s="248">
        <v>9232503</v>
      </c>
      <c r="C18" s="248">
        <f>SUM(B17:B18)</f>
        <v>28441345</v>
      </c>
      <c r="D18" s="212">
        <f>C18/$B$25</f>
        <v>2.3488646898463382E-2</v>
      </c>
    </row>
    <row r="19" spans="1:4" x14ac:dyDescent="0.25">
      <c r="A19" s="241" t="s">
        <v>37</v>
      </c>
      <c r="B19" s="242">
        <v>6220229</v>
      </c>
      <c r="C19" s="243"/>
      <c r="D19" s="5"/>
    </row>
    <row r="20" spans="1:4" x14ac:dyDescent="0.25">
      <c r="A20" s="247" t="s">
        <v>178</v>
      </c>
      <c r="B20" s="248">
        <v>2383167</v>
      </c>
      <c r="C20" s="248"/>
      <c r="D20" s="212"/>
    </row>
    <row r="21" spans="1:4" x14ac:dyDescent="0.25">
      <c r="A21" s="247" t="s">
        <v>179</v>
      </c>
      <c r="B21" s="248">
        <v>1446534</v>
      </c>
      <c r="C21" s="249"/>
      <c r="D21" s="17"/>
    </row>
    <row r="22" spans="1:4" x14ac:dyDescent="0.25">
      <c r="A22" s="247" t="s">
        <v>180</v>
      </c>
      <c r="B22" s="248">
        <v>633297</v>
      </c>
      <c r="C22" s="249"/>
      <c r="D22" s="17"/>
    </row>
    <row r="23" spans="1:4" x14ac:dyDescent="0.25">
      <c r="A23" s="244" t="s">
        <v>181</v>
      </c>
      <c r="B23" s="245">
        <v>605778</v>
      </c>
      <c r="C23" s="245">
        <f>SUM(B19:B23)</f>
        <v>11289005</v>
      </c>
      <c r="D23" s="246">
        <f>C23/$B$25</f>
        <v>9.323168516819004E-3</v>
      </c>
    </row>
    <row r="24" spans="1:4" x14ac:dyDescent="0.25">
      <c r="A24" s="244" t="s">
        <v>182</v>
      </c>
      <c r="B24" s="245">
        <v>4489802</v>
      </c>
      <c r="C24" s="250"/>
      <c r="D24" s="246">
        <f>B24/B25</f>
        <v>3.7079601482283868E-3</v>
      </c>
    </row>
    <row r="25" spans="1:4" x14ac:dyDescent="0.25">
      <c r="A25" s="239" t="s">
        <v>46</v>
      </c>
      <c r="B25" s="240">
        <f>SUM(B3:B24)</f>
        <v>1210854977</v>
      </c>
    </row>
    <row r="26" spans="1:4" x14ac:dyDescent="0.25">
      <c r="A26" s="218"/>
    </row>
    <row r="27" spans="1:4" x14ac:dyDescent="0.25">
      <c r="A27" s="219"/>
    </row>
    <row r="28" spans="1:4" x14ac:dyDescent="0.25">
      <c r="A28" s="218"/>
    </row>
    <row r="29" spans="1:4" x14ac:dyDescent="0.25">
      <c r="A29" s="219"/>
    </row>
    <row r="30" spans="1:4" x14ac:dyDescent="0.25">
      <c r="A30" s="218"/>
    </row>
    <row r="31" spans="1:4" x14ac:dyDescent="0.25">
      <c r="A31" s="219"/>
    </row>
    <row r="32" spans="1:4" x14ac:dyDescent="0.25">
      <c r="A32" s="218"/>
    </row>
    <row r="33" spans="1:1" x14ac:dyDescent="0.25">
      <c r="A33" s="219"/>
    </row>
    <row r="34" spans="1:1" x14ac:dyDescent="0.25">
      <c r="A34" s="218"/>
    </row>
    <row r="35" spans="1:1" x14ac:dyDescent="0.25">
      <c r="A35" s="219"/>
    </row>
    <row r="36" spans="1:1" x14ac:dyDescent="0.25">
      <c r="A36" s="218"/>
    </row>
    <row r="37" spans="1:1" x14ac:dyDescent="0.25">
      <c r="A37" s="219"/>
    </row>
    <row r="38" spans="1:1" x14ac:dyDescent="0.25">
      <c r="A38" s="218"/>
    </row>
    <row r="39" spans="1:1" x14ac:dyDescent="0.25">
      <c r="A39" s="219"/>
    </row>
    <row r="40" spans="1:1" x14ac:dyDescent="0.25">
      <c r="A40" s="218"/>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4" t="s">
        <v>187</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2020-05-30T05:26:15Z</dcterms:modified>
</cp:coreProperties>
</file>